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19440" windowHeight="12390" tabRatio="594" firstSheet="9" activeTab="19"/>
  </bookViews>
  <sheets>
    <sheet name="bevétfő " sheetId="1" r:id="rId1"/>
    <sheet name="kiadfő " sheetId="2" r:id="rId2"/>
    <sheet name="önállóan működő" sheetId="3" r:id="rId3"/>
    <sheet name="önállóan gazd." sheetId="4" r:id="rId4"/>
    <sheet name="hivatal1" sheetId="5" r:id="rId5"/>
    <sheet name="hivatal2" sheetId="6" r:id="rId6"/>
    <sheet name="hivatal3" sheetId="7" r:id="rId7"/>
    <sheet name="hivatal4" sheetId="8" r:id="rId8"/>
    <sheet name="hivatal5 " sheetId="9" r:id="rId9"/>
    <sheet name="hivatal6" sheetId="10" r:id="rId10"/>
    <sheet name="hivatal7" sheetId="11" r:id="rId11"/>
    <sheet name="hivatal8" sheetId="12" r:id="rId12"/>
    <sheet name="hivatal9" sheetId="13" r:id="rId13"/>
    <sheet name="támogatások" sheetId="14" r:id="rId14"/>
    <sheet name="segélyek" sheetId="15" r:id="rId15"/>
    <sheet name="felújítás" sheetId="16" r:id="rId16"/>
    <sheet name="beruházás" sheetId="17" r:id="rId17"/>
    <sheet name="tartalék" sheetId="18" r:id="rId18"/>
    <sheet name="pályázatok" sheetId="19" r:id="rId19"/>
    <sheet name="kötelező feladatok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16">'beruházás'!$1:$6</definedName>
    <definedName name="_xlnm.Print_Titles" localSheetId="15">'felújítás'!$1:$6</definedName>
    <definedName name="_xlnm.Print_Area" localSheetId="16">'beruházás'!$A$1:$E$134</definedName>
    <definedName name="_xlnm.Print_Area" localSheetId="0">'bevétfő '!$A$1:$I$92</definedName>
    <definedName name="_xlnm.Print_Area" localSheetId="15">'felújítás'!$A$1:$E$125</definedName>
    <definedName name="_xlnm.Print_Area" localSheetId="4">'hivatal1'!$A$1:$Q$63</definedName>
    <definedName name="_xlnm.Print_Area" localSheetId="5">'hivatal2'!$A$1:$Q$63</definedName>
    <definedName name="_xlnm.Print_Area" localSheetId="6">'hivatal3'!$A$1:$Q$63</definedName>
    <definedName name="_xlnm.Print_Area" localSheetId="7">'hivatal4'!$A$1:$Q$63</definedName>
    <definedName name="_xlnm.Print_Area" localSheetId="8">'hivatal5 '!$A$1:$Q$63</definedName>
    <definedName name="_xlnm.Print_Area" localSheetId="9">'hivatal6'!$A$1:$Q$63</definedName>
    <definedName name="_xlnm.Print_Area" localSheetId="10">'hivatal7'!$A$1:$N$63</definedName>
    <definedName name="_xlnm.Print_Area" localSheetId="11">'hivatal8'!$A$1:$K$63</definedName>
    <definedName name="_xlnm.Print_Area" localSheetId="12">'hivatal9'!$A$1:$K$63</definedName>
    <definedName name="_xlnm.Print_Area" localSheetId="1">'kiadfő '!$A$1:$H$78</definedName>
    <definedName name="_xlnm.Print_Area" localSheetId="19">'kötelező feladatok'!$B$1:$L$66</definedName>
    <definedName name="_xlnm.Print_Area" localSheetId="3">'önállóan gazd.'!$A$1:$T$63</definedName>
    <definedName name="_xlnm.Print_Area" localSheetId="2">'önállóan működő'!$A$1:$Q$63</definedName>
    <definedName name="_xlnm.Print_Area" localSheetId="18">'pályázatok'!$A$1:$L$22</definedName>
    <definedName name="_xlnm.Print_Area" localSheetId="14">'segélyek'!$A$1:$H$30</definedName>
    <definedName name="_xlnm.Print_Area" localSheetId="13">'támogatások'!$A$1:$F$80</definedName>
    <definedName name="_xlnm.Print_Area" localSheetId="17">'tartalék'!$A$1:$F$54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'[1]Kötvény'!#REF!</definedName>
    <definedName name="ppb">'[1]Kötvény'!#REF!</definedName>
    <definedName name="ppc">'[1]Kötvény'!#REF!</definedName>
    <definedName name="ppd">'[1]Kötvény'!#REF!</definedName>
    <definedName name="ppe">'[1]Kötvény'!#REF!</definedName>
    <definedName name="ppf">'[1]Kötvény'!#REF!</definedName>
    <definedName name="ppg">'[1]Kötvény'!$H$4</definedName>
    <definedName name="ppn">'[2]Kötvény'!#REF!</definedName>
    <definedName name="ppo">'[2]Kötvény'!#REF!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<sst xmlns="http://schemas.openxmlformats.org/spreadsheetml/2006/main" count="2296" uniqueCount="877">
  <si>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</si>
  <si>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</si>
  <si>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</si>
  <si>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</si>
  <si>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</si>
  <si>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</si>
  <si>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visszatérítendő támogatások, kölcsönök nyújtása áht-n kívülre</t>
  </si>
  <si>
    <t>K508</t>
  </si>
  <si>
    <t>Egyéb működési célú támogatások államháztartáson kívülre</t>
  </si>
  <si>
    <t>K512</t>
  </si>
  <si>
    <t xml:space="preserve">     Általános tartalék</t>
  </si>
  <si>
    <t>Beruházások</t>
  </si>
  <si>
    <t>K6</t>
  </si>
  <si>
    <t>Felújítások</t>
  </si>
  <si>
    <t>K7</t>
  </si>
  <si>
    <t>K8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</si>
  <si>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</si>
  <si>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</si>
  <si>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</si>
  <si>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</si>
  <si>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</si>
  <si>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</si>
  <si>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visszatérítendő támogatások, kölcsönök nyújtása áht-n kívülre</t>
  </si>
  <si>
    <t>K86</t>
  </si>
  <si>
    <t>Egyéb felhalmozási célú támogatások államháztartáson kívülre</t>
  </si>
  <si>
    <t>Belföldi finanszírozás kiadásai</t>
  </si>
  <si>
    <t>K91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</si>
  <si>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</si>
  <si>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</si>
  <si>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</si>
  <si>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</si>
  <si>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</si>
  <si>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</si>
  <si>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</si>
  <si>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Belföldi értékpapírok kiadásai</t>
  </si>
  <si>
    <t>K912</t>
  </si>
  <si>
    <t>Pénzeszközök betétként elhelyezése</t>
  </si>
  <si>
    <t>K916</t>
  </si>
  <si>
    <t>Adóssághoz nem kapcsolódó származékos ügyletek kiadásai</t>
  </si>
  <si>
    <t>K93</t>
  </si>
  <si>
    <t>B83</t>
  </si>
  <si>
    <t>TÁRGYÉVI BEVÉTELEK ÖSSZESEN (C. + D.)</t>
  </si>
  <si>
    <t>D.</t>
  </si>
  <si>
    <t>E.</t>
  </si>
  <si>
    <t>B8</t>
  </si>
  <si>
    <t>Központi, irányítószervi támogatás</t>
  </si>
  <si>
    <t>feladatfinanszírozás összege</t>
  </si>
  <si>
    <t>Kamatbevételek</t>
  </si>
  <si>
    <t>Igazgatási szolgáltatási díj</t>
  </si>
  <si>
    <t>Egyéb bírság</t>
  </si>
  <si>
    <t>Immateriális javak értékesítése</t>
  </si>
  <si>
    <t xml:space="preserve">Képviselő-testület </t>
  </si>
  <si>
    <t>Intézmények Gazdasági Irodája 
Központ</t>
  </si>
  <si>
    <t>5.</t>
  </si>
  <si>
    <t>6.</t>
  </si>
  <si>
    <t>Tartalékok</t>
  </si>
  <si>
    <t>9.</t>
  </si>
  <si>
    <t>a.</t>
  </si>
  <si>
    <t>b.</t>
  </si>
  <si>
    <t>Idegenfogalmi feladatok</t>
  </si>
  <si>
    <t>Szociális feladatellátás</t>
  </si>
  <si>
    <t>Vagyongazdálkodás</t>
  </si>
  <si>
    <t>Önkormányzati bérlakások pénzbeli térítése</t>
  </si>
  <si>
    <t>Városüzemeltetéti feladatok</t>
  </si>
  <si>
    <t>Közfoglalkoztatás</t>
  </si>
  <si>
    <t>Dél-Budai Egészségügyi Szolgálat Nkft.</t>
  </si>
  <si>
    <t>Dél-Budai Egészségügyi Szolgálat NKft.</t>
  </si>
  <si>
    <t>Dél-Budai Egészségügyi Szolgálat Nonprofit Kft.</t>
  </si>
  <si>
    <t>Nemzetiségi önkormányzatak támogatása</t>
  </si>
  <si>
    <t>Főépítészi,  városrendezési feladatok</t>
  </si>
  <si>
    <t>Budafok-Tétényért Városfejlesztő Kft.</t>
  </si>
  <si>
    <t>Közalkalmazottak 2 %-os keresetkiegészítése</t>
  </si>
  <si>
    <t>XXII. ker. Önkormányzat összesen</t>
  </si>
  <si>
    <t xml:space="preserve">Önkormányzati egyéb bevételek               </t>
  </si>
  <si>
    <t>h</t>
  </si>
  <si>
    <t>Bevételek</t>
  </si>
  <si>
    <t>Kiadások</t>
  </si>
  <si>
    <t>Dohnányi Ernő Szimfonikus Zenekar</t>
  </si>
  <si>
    <t>Önként vállalt feladatok</t>
  </si>
  <si>
    <t>államigazgatási feladatok</t>
  </si>
  <si>
    <t>Tervezett kiadások összesen</t>
  </si>
  <si>
    <t>állami hozzájárulás</t>
  </si>
  <si>
    <t>Tervezett bevételek összesen</t>
  </si>
  <si>
    <t xml:space="preserve">    Borlovagrend</t>
  </si>
  <si>
    <t>Alapok, alapítványok támogatása</t>
  </si>
  <si>
    <t>Kártalanítás, utcamegnyitás</t>
  </si>
  <si>
    <t>Klauzál Gábor Művelődési Központ</t>
  </si>
  <si>
    <t>Egyházi jogi személytől</t>
  </si>
  <si>
    <t>Háztartásoktól</t>
  </si>
  <si>
    <t>Egyéb felhalmozási célú átvett pénzeszközök áht-n kívülről</t>
  </si>
  <si>
    <t>KÖLTSÉGVETÉSI BEVÉTELEK ÖSSZESEN (A + B):</t>
  </si>
  <si>
    <t xml:space="preserve">                                                                                                                                          </t>
  </si>
  <si>
    <t>kötelező feladatok kiadásai</t>
  </si>
  <si>
    <t>Városüzemeltetési feladatok:</t>
  </si>
  <si>
    <t xml:space="preserve"> </t>
  </si>
  <si>
    <t>Kötelező-, önként vállalt és államigazgatási feladatok bontásban</t>
  </si>
  <si>
    <t>IGI</t>
  </si>
  <si>
    <t>Eredeti előirányzat</t>
  </si>
  <si>
    <t>Intézmények által elvégzett felújítások:</t>
  </si>
  <si>
    <t>Dohnányi NKft.</t>
  </si>
  <si>
    <t xml:space="preserve">    Budafoki Péter Pál Utca Polgári Kör</t>
  </si>
  <si>
    <t xml:space="preserve">    Újbuda Prizma Nkft. - Szociális forglalkoztatás</t>
  </si>
  <si>
    <t>Önkormányzati rendelethez</t>
  </si>
  <si>
    <t>Budafok-Tétény Budapest, XXII. kerületi Önkormányzat</t>
  </si>
  <si>
    <t>Sor-szám</t>
  </si>
  <si>
    <t>I.</t>
  </si>
  <si>
    <t>Építményadó</t>
  </si>
  <si>
    <t>Telekadó</t>
  </si>
  <si>
    <t>a</t>
  </si>
  <si>
    <t>b</t>
  </si>
  <si>
    <t>c</t>
  </si>
  <si>
    <t>d</t>
  </si>
  <si>
    <t>II.</t>
  </si>
  <si>
    <t>Kommunális adó</t>
  </si>
  <si>
    <t>Gépjárműadó</t>
  </si>
  <si>
    <t>III.</t>
  </si>
  <si>
    <t>IV.</t>
  </si>
  <si>
    <t>V.</t>
  </si>
  <si>
    <t>A</t>
  </si>
  <si>
    <t>B</t>
  </si>
  <si>
    <t>VIII.</t>
  </si>
  <si>
    <t>C.</t>
  </si>
  <si>
    <t>1.</t>
  </si>
  <si>
    <t>Személyi juttatások</t>
  </si>
  <si>
    <t>2.</t>
  </si>
  <si>
    <t>3.</t>
  </si>
  <si>
    <t>Dologi kiadások</t>
  </si>
  <si>
    <t>4.</t>
  </si>
  <si>
    <t>7.</t>
  </si>
  <si>
    <t>8.</t>
  </si>
  <si>
    <t>A.</t>
  </si>
  <si>
    <t>B.</t>
  </si>
  <si>
    <t>IX.</t>
  </si>
  <si>
    <t>1. oldal</t>
  </si>
  <si>
    <t>Budafok-Tétény Budapest, XXII. kerületi Önkormányzat Költségvetési Intézményeinek</t>
  </si>
  <si>
    <t>Sor-</t>
  </si>
  <si>
    <t>C í m r e n d</t>
  </si>
  <si>
    <t>szám</t>
  </si>
  <si>
    <t>Előirányzatok megnevezése</t>
  </si>
  <si>
    <t>módosítás            ( ± )</t>
  </si>
  <si>
    <t>K I A D Á S O K</t>
  </si>
  <si>
    <t>módosítás           ( ± )</t>
  </si>
  <si>
    <t>B E V É T E L E K</t>
  </si>
  <si>
    <t>2. oldal</t>
  </si>
  <si>
    <t>Intézmények összesen</t>
  </si>
  <si>
    <t>ezer Ft-ban</t>
  </si>
  <si>
    <t>Kerületi feladatok</t>
  </si>
  <si>
    <t>Kulturális feladatok</t>
  </si>
  <si>
    <t>Sajtó</t>
  </si>
  <si>
    <t>Környezetvédelem</t>
  </si>
  <si>
    <t>3. oldal</t>
  </si>
  <si>
    <t>Kerületi díjak</t>
  </si>
  <si>
    <t>Polgármesteri keret</t>
  </si>
  <si>
    <t>4. oldal</t>
  </si>
  <si>
    <t>5. oldal</t>
  </si>
  <si>
    <t>6. oldal</t>
  </si>
  <si>
    <t>7. oldal</t>
  </si>
  <si>
    <t>Tartalék</t>
  </si>
  <si>
    <t>Bevételek rendezése</t>
  </si>
  <si>
    <t>8. oldal</t>
  </si>
  <si>
    <t>9. oldal</t>
  </si>
  <si>
    <t>Környezetvédelmi Alap</t>
  </si>
  <si>
    <t>Feladat megnevezése</t>
  </si>
  <si>
    <t xml:space="preserve">Budafok -Tétény Budapest, XXII. kerületi Önkormányzat </t>
  </si>
  <si>
    <t>Önkormányzat egyéb bevételei</t>
  </si>
  <si>
    <t>Vízvezeték építés összesen :</t>
  </si>
  <si>
    <t>INTÉZMÉNYEK ÖSSZESEN</t>
  </si>
  <si>
    <t>Egyesített Bölcsőde</t>
  </si>
  <si>
    <t>Gyermekjóléti Központ</t>
  </si>
  <si>
    <t>s.sz.</t>
  </si>
  <si>
    <t>Szociális Szolgálat</t>
  </si>
  <si>
    <t>Védőnői Szolgálat</t>
  </si>
  <si>
    <t>Intézményi tartalék</t>
  </si>
  <si>
    <t>Közszolgálati műsorok támogatása (Sajtó)</t>
  </si>
  <si>
    <t xml:space="preserve">    Baross Gábor Telepi Polgári Kör</t>
  </si>
  <si>
    <t xml:space="preserve">    Budatétényi Polgári Kör</t>
  </si>
  <si>
    <t xml:space="preserve">    Nagytétényi Polgári Kör</t>
  </si>
  <si>
    <t xml:space="preserve">    Rózsavölgy Egyesület</t>
  </si>
  <si>
    <t xml:space="preserve">    Budafok-Tétény Baráti Körök </t>
  </si>
  <si>
    <t>Egyéb működési célú kiadások</t>
  </si>
  <si>
    <t>Ellátottak pénzbeli juttatásai</t>
  </si>
  <si>
    <t>Egyéb felhalmozási célú kiadások</t>
  </si>
  <si>
    <t>Beruházások   (ÁFA-val)</t>
  </si>
  <si>
    <t>egyéb közhatalmi bevételek</t>
  </si>
  <si>
    <t>Közhatalmi bevételek összesen</t>
  </si>
  <si>
    <t>Működési célú támogatások áht-n belülről</t>
  </si>
  <si>
    <t>felhalmozási célú támogatások áht-n belülről</t>
  </si>
  <si>
    <t>Finanszírozási célú kiadások összesen</t>
  </si>
  <si>
    <t>KIADÁSOK összesen:    (1-10-ig)</t>
  </si>
  <si>
    <t>Felhalmozási célú átvett pénzeszközök összesen:</t>
  </si>
  <si>
    <t xml:space="preserve">BEVÉTELEK összesen :                  (1-10-ig)      </t>
  </si>
  <si>
    <t>9/b</t>
  </si>
  <si>
    <t>Pénzmaradvány igénybevétele:</t>
  </si>
  <si>
    <t>sor-szám</t>
  </si>
  <si>
    <t>Tartalékolás jogcíme</t>
  </si>
  <si>
    <t>Általános tartalék</t>
  </si>
  <si>
    <t>Céltartalék</t>
  </si>
  <si>
    <t>Céltartalék összesen :</t>
  </si>
  <si>
    <t>Önkormányzati tartalék előirányzat összesen :</t>
  </si>
  <si>
    <t xml:space="preserve">Budafok-Tétény Budapest, XXII. kerületi Önkormányzat </t>
  </si>
  <si>
    <t>Útépítések összesen:</t>
  </si>
  <si>
    <t>Szociális feladatellátás támogatása összesen:</t>
  </si>
  <si>
    <t>e</t>
  </si>
  <si>
    <t>Egyházak támogatása</t>
  </si>
  <si>
    <t>INTÉZMÉNYEK GAZDASÁGI IRODÁJA
  ÖSSZESEN</t>
  </si>
  <si>
    <t>Kulturális feladatok összesen</t>
  </si>
  <si>
    <t xml:space="preserve">    Nagytétényi Kastély Közalapítvány</t>
  </si>
  <si>
    <t>Alapok, alapítványok összesen</t>
  </si>
  <si>
    <t>Kisegítő mezőgazdasági szolgáltatások összesen:</t>
  </si>
  <si>
    <t>Intézmények tervezett beruházásai:</t>
  </si>
  <si>
    <t xml:space="preserve">Budafok -Tétény Budapest XXII. kerületi Önkormányzat </t>
  </si>
  <si>
    <t>Egyéb nem lakás célú helyiségek felújítása</t>
  </si>
  <si>
    <t>Orvosi rendelők felújítása</t>
  </si>
  <si>
    <t>Munkaadót terhelő járulékok és szociális hozzájárulási adó</t>
  </si>
  <si>
    <t xml:space="preserve">Polgármesteri Hivatal összesen: </t>
  </si>
  <si>
    <t>Önkormányzati igazgatás (841169)</t>
  </si>
  <si>
    <t>Képviselő-testület</t>
  </si>
  <si>
    <t>Idegenforgalmi feladatok</t>
  </si>
  <si>
    <t>Intézmények összesen :</t>
  </si>
  <si>
    <t xml:space="preserve">Önkormányzati feladatok összesen: </t>
  </si>
  <si>
    <t>Útfenntartási kiadások összesen:</t>
  </si>
  <si>
    <t>Egyéb intézményi feladatok összesen:</t>
  </si>
  <si>
    <t>Műszaki ellenőrzések magas- és mélyépítési munkák</t>
  </si>
  <si>
    <t xml:space="preserve">Felszíni vizelvezetési fa.-ok  tervezés, építés </t>
  </si>
  <si>
    <t>Szennyvízcsatorna tervezés és építés</t>
  </si>
  <si>
    <t>Elektromos vezetékek kiép.közterületen</t>
  </si>
  <si>
    <t>Intézményekben tervezett beruházások</t>
  </si>
  <si>
    <t>Intézményekben tervezett felújítások</t>
  </si>
  <si>
    <t xml:space="preserve">Intézmények karbantartási kiadása </t>
  </si>
  <si>
    <t xml:space="preserve">Önkormányzat összesen: </t>
  </si>
  <si>
    <t>nem kötelező</t>
  </si>
  <si>
    <t>állíg</t>
  </si>
  <si>
    <t>éphat + pv + igazgatás + segély + anyakönyv</t>
  </si>
  <si>
    <t>bérlet+költségtér</t>
  </si>
  <si>
    <t>kötelező</t>
  </si>
  <si>
    <t>fenntartás</t>
  </si>
  <si>
    <t>KT döntött</t>
  </si>
  <si>
    <t>dologi</t>
  </si>
  <si>
    <t>közterületi jelenlét</t>
  </si>
  <si>
    <t>hiv-os kisaj+utcanyitás</t>
  </si>
  <si>
    <t>Hazai forrásból megvalósuló pályázatok</t>
  </si>
  <si>
    <t xml:space="preserve">    Szent Bernát Alapítvány</t>
  </si>
  <si>
    <t>Dél-Budai Eü. és Szoc. Szolg. Nonp. Kft.</t>
  </si>
  <si>
    <t xml:space="preserve">BERUHÁZÁSI KIADÁSOK ÖSSZESEN  (A+B): </t>
  </si>
  <si>
    <t>FELÚJÍTÁSI KIADÁSOK ÖSSZESEN (A+B):</t>
  </si>
  <si>
    <t>Rovat-
szám</t>
  </si>
  <si>
    <t>Működési célú támogatások államháztartáson belülről</t>
  </si>
  <si>
    <t>B1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</si>
  <si>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</si>
  <si>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</si>
  <si>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</si>
  <si>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</si>
  <si>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</si>
  <si>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</si>
  <si>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</si>
  <si>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</si>
  <si>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</si>
  <si>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</si>
  <si>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</si>
  <si>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</si>
  <si>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</si>
  <si>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</si>
  <si>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</si>
  <si>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</si>
  <si>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</si>
  <si>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</si>
  <si>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</si>
  <si>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ebből:</t>
  </si>
  <si>
    <t>Vagyoni típusú adók</t>
  </si>
  <si>
    <t>B34</t>
  </si>
  <si>
    <t>Termékek és szolgáltatások adói</t>
  </si>
  <si>
    <t>B35</t>
  </si>
  <si>
    <t>B351</t>
  </si>
  <si>
    <t>B354</t>
  </si>
  <si>
    <t>Egyéb áruhasználati és szolgáltatási adók</t>
  </si>
  <si>
    <t>B355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</si>
  <si>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</si>
  <si>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</si>
  <si>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</si>
  <si>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</si>
  <si>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</si>
  <si>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</si>
  <si>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</si>
  <si>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</si>
  <si>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</si>
  <si>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</si>
  <si>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</si>
  <si>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</si>
  <si>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</si>
  <si>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</si>
  <si>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</si>
  <si>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</si>
  <si>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</si>
  <si>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</si>
  <si>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</si>
  <si>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</si>
  <si>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</si>
  <si>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</si>
  <si>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</si>
  <si>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</si>
  <si>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</si>
  <si>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Működési célú visszatérítendő támogatások, kölcsönök visszatérülése áht-n kívülről</t>
  </si>
  <si>
    <t>Egyéb működési célú átvett pénzeszközök</t>
  </si>
  <si>
    <t>Felhalmozási célú támogatások államháztartáson belülről</t>
  </si>
  <si>
    <t>B2</t>
  </si>
  <si>
    <t>Felhalmozási célú önkormányzati támogatás</t>
  </si>
  <si>
    <t>B21</t>
  </si>
  <si>
    <t>Egyéb felhalmozási célú támogatások bevételei államháztartáson belülről</t>
  </si>
  <si>
    <t>B25</t>
  </si>
  <si>
    <t>Felhalmozási bevételek</t>
  </si>
  <si>
    <t>B5</t>
  </si>
  <si>
    <t>B51</t>
  </si>
  <si>
    <t>Ingatlanok értékesítése</t>
  </si>
  <si>
    <t>B52</t>
  </si>
  <si>
    <t>Egyéb tárgyi eszközök értékesítése</t>
  </si>
  <si>
    <t>B53</t>
  </si>
  <si>
    <t>Részesedések megszünéséhez kapcsolódó bevételek</t>
  </si>
  <si>
    <t>B55</t>
  </si>
  <si>
    <t>Felhalmozási célú átvett pénzeszközök</t>
  </si>
  <si>
    <t>B7</t>
  </si>
  <si>
    <t>Felhalmozási célú visszatérítendő támogatások, kölcsönök visszatérülése áht-n kívülről</t>
  </si>
  <si>
    <t>Belföldi finanszírozás bevételei</t>
  </si>
  <si>
    <t>B81</t>
  </si>
  <si>
    <t>Hitel-, kölcsönfelvétel államháztartáson kívülről</t>
  </si>
  <si>
    <t>B811</t>
  </si>
  <si>
    <t>Belföldi értékpapírok bevételei</t>
  </si>
  <si>
    <t>B812</t>
  </si>
  <si>
    <t>Maradvány igénybevétele</t>
  </si>
  <si>
    <t>B813</t>
  </si>
  <si>
    <t>B8131</t>
  </si>
  <si>
    <t>Betétek megszüntetése</t>
  </si>
  <si>
    <t>B817</t>
  </si>
  <si>
    <t>Sorszám</t>
  </si>
  <si>
    <t>Előirányzat (rovat) megnevezése</t>
  </si>
  <si>
    <t>Budafok - Tétény BudapestXXII. kerületi Önkormányzatának</t>
  </si>
  <si>
    <t>Önkormányzat működési támogatása (a - f)</t>
  </si>
  <si>
    <t>Társadalombiztosítás pénzügyi alajaitól</t>
  </si>
  <si>
    <t>Helyi önkormányzatoktól és költségvetési szerveiktől</t>
  </si>
  <si>
    <t>Szabálysértési bírság</t>
  </si>
  <si>
    <t>Tárgyi eszköz bérbeadásából származó bevétel</t>
  </si>
  <si>
    <t>HACCP+CSAO+HSNY</t>
  </si>
  <si>
    <t>állati tetemek</t>
  </si>
  <si>
    <t>Nemzetiségi önkormányzatok közüzemi díja</t>
  </si>
  <si>
    <t>Főépítészi, városrendezési feladatok</t>
  </si>
  <si>
    <t>VI.</t>
  </si>
  <si>
    <t>VII.</t>
  </si>
  <si>
    <t>Nemzetiségi önkormányzatok - pályázat</t>
  </si>
  <si>
    <t>Dohnányi Ernő Szimfonikus Zenekar Nonprofit Kft.</t>
  </si>
  <si>
    <t>Működési célú céltartalék</t>
  </si>
  <si>
    <t xml:space="preserve">Felhalmozási célú céltartalék </t>
  </si>
  <si>
    <t>Önkormányzati lakások felújítása</t>
  </si>
  <si>
    <t>Budafok - Tétény Budapest XXII. kerületi Önkormányzat</t>
  </si>
  <si>
    <t>Lakás felújítások:</t>
  </si>
  <si>
    <t xml:space="preserve">Nem lakás célú helyiségek: </t>
  </si>
  <si>
    <t>X.</t>
  </si>
  <si>
    <t>Talajterhelési díj</t>
  </si>
  <si>
    <t>Elektromos vezetékek kiépítése összesen:</t>
  </si>
  <si>
    <t>Környezetvédelmi bírság</t>
  </si>
  <si>
    <t>Építésügyi bírság</t>
  </si>
  <si>
    <t>f</t>
  </si>
  <si>
    <t xml:space="preserve">    Budafok -Tétény Budapest XXII. kerületi Önkormányzat </t>
  </si>
  <si>
    <t>g</t>
  </si>
  <si>
    <t>Egyesített Óvoda</t>
  </si>
  <si>
    <t>pályázat címe, pályázati cél</t>
  </si>
  <si>
    <t>pályázat / operatív program neve</t>
  </si>
  <si>
    <t xml:space="preserve">pályázati forrás </t>
  </si>
  <si>
    <t>saját forrás</t>
  </si>
  <si>
    <t>pályázati forrás</t>
  </si>
  <si>
    <t>tervezett összes kiadás</t>
  </si>
  <si>
    <t>Europai Uniós forrásból finanszírozott pályázatok összesen:</t>
  </si>
  <si>
    <t>Egyéb külföldi forrásból finanszírozott pályázatok összesen:</t>
  </si>
  <si>
    <t>Pályázatokból megvalósuló fejlesztések összesen (I+II+III.):</t>
  </si>
  <si>
    <t>Polgármesteri Hivatal</t>
  </si>
  <si>
    <t>Önkormányzati  feladatok mindösszesen</t>
  </si>
  <si>
    <t>Polgármesteri Hivatal által ellátott Önkormányzati feladatok összesen</t>
  </si>
  <si>
    <t>Önkormányzati igazgatás</t>
  </si>
  <si>
    <t>K1</t>
  </si>
  <si>
    <t>Munkaadókat terhelő járulékok és szociális hozzájárulási adó</t>
  </si>
  <si>
    <t>K2</t>
  </si>
  <si>
    <t>K3</t>
  </si>
  <si>
    <t>K4</t>
  </si>
  <si>
    <t>K5</t>
  </si>
  <si>
    <t>Elvonások és befizetések</t>
  </si>
  <si>
    <t>K502</t>
  </si>
  <si>
    <t xml:space="preserve">     Céltartalék</t>
  </si>
  <si>
    <t>Egyéb államháztartáson belüli szervezettől, központi kezelésű előirányzatból</t>
  </si>
  <si>
    <t>Egyéb</t>
  </si>
  <si>
    <t>Hitel-, kölcsöntörlesztés államháztartáson kívülre</t>
  </si>
  <si>
    <t>helyi  nemzetiségi önkorámnyzatok és költségvetési szerveik részére</t>
  </si>
  <si>
    <t>egyházi jogi személyek részére</t>
  </si>
  <si>
    <t>egyéb civil szervezetek részére</t>
  </si>
  <si>
    <t>háztartások részére</t>
  </si>
  <si>
    <t>önkormányzati tulajdonú gazdasági társaságoknak</t>
  </si>
  <si>
    <t>MŰKÖDÉSI KÖLTSÉGVETÉS EGYENLEGE (működési bevétel - működési kiadás)</t>
  </si>
  <si>
    <t>FELHALMOZÁSI KÖLTSÉGVETÉS EGYENLEGE (felhalmozási bevétel - felhalmozási kiadás)</t>
  </si>
  <si>
    <t>Önkormányzati beruházások</t>
  </si>
  <si>
    <t>Intézmények saját hatáskörben végrehajtott beruházásai</t>
  </si>
  <si>
    <t>Önkormányzati felújítások</t>
  </si>
  <si>
    <t>Intézmények saját hatáskörben végrehajtott felújításai</t>
  </si>
  <si>
    <t>egyéb gazdasági társaságnak</t>
  </si>
  <si>
    <t>KÖLTSÉGVETÉSI KIADÁSOK ÖSSZESEN (A + B):</t>
  </si>
  <si>
    <t>TÁRGYÉVI KIADÁSOK ÖSSZESEN (C. + D.)</t>
  </si>
  <si>
    <t>Értékesítési és forgalmi adók (Iparűzési adó)</t>
  </si>
  <si>
    <t>Egyéb bírság, pótlék</t>
  </si>
  <si>
    <t>Európai Uniótól</t>
  </si>
  <si>
    <t>elvonások és befizetések</t>
  </si>
  <si>
    <t>műk. célú visszatérintendő tám., kölcsön nyújtás áht-n belül</t>
  </si>
  <si>
    <t>műk. célú visszatérintendő tám., kölcsön törlesztése áht-n belül</t>
  </si>
  <si>
    <t>egyéb működési célú támogatások áht-n belülre</t>
  </si>
  <si>
    <t>műk. célú visszatérintendő tám., kölcsön nyújtás áht-n kívül</t>
  </si>
  <si>
    <t>műk. célú visszatérintendő tám., kölcsön törlesztése áht-n kívül</t>
  </si>
  <si>
    <t>egyéb működési célú támogatások áht-n kívül</t>
  </si>
  <si>
    <t>tartalékok</t>
  </si>
  <si>
    <t>felh.. célú visszatérintendő tám., kölcsön nyújtás áht-n belül</t>
  </si>
  <si>
    <t>felh. célú visszatérintendő tám., kölcsön törlesztése áht-n belül</t>
  </si>
  <si>
    <t>egyéb felhalmozási célú támogatások áht-n belülre</t>
  </si>
  <si>
    <t>felh. célú visszatérintendő tám., kölcsön nyújtás áht-n kívül</t>
  </si>
  <si>
    <t>egyéb felhalmozási célú támogatások áht-n kívül</t>
  </si>
  <si>
    <t>Önkormányzat működési támogatása</t>
  </si>
  <si>
    <t>Műk. célú visszat. tám-ok, kölcsönök visszatérülése áht-n belül</t>
  </si>
  <si>
    <t>vagyoni típusú adók</t>
  </si>
  <si>
    <t>termékek és szolgáltatások adói</t>
  </si>
  <si>
    <t>Felh. célú visszat. tám-ok, kölcsönök visszatérülése áht-n belül</t>
  </si>
  <si>
    <t>Egyéb műk.c. támogatások  bevételei áht-n belül</t>
  </si>
  <si>
    <t>felhalm c. tám-ok, kölcsönök visszatérülése áht-n kívülről</t>
  </si>
  <si>
    <t>egyéb felhalmozási célú átvett pénzeszközök áht-n kívül</t>
  </si>
  <si>
    <t>egyéb finanszírozási célú bevételek összesen:</t>
  </si>
  <si>
    <t>9/a</t>
  </si>
  <si>
    <t>Működési célú támogatások összesen:</t>
  </si>
  <si>
    <t>Működési célú támogatások áht-n kívűlre összesen:</t>
  </si>
  <si>
    <t>Működési célú támogatások áht- belülre összesen:</t>
  </si>
  <si>
    <t>központi költségvetési szervek részére</t>
  </si>
  <si>
    <t>Rovat-szám</t>
  </si>
  <si>
    <t>K42</t>
  </si>
  <si>
    <t>K46</t>
  </si>
  <si>
    <t>K48</t>
  </si>
  <si>
    <t>Ellátottak pénzbeli juttatása összesen:</t>
  </si>
  <si>
    <t xml:space="preserve">Családi támogatások </t>
  </si>
  <si>
    <t>Lakhatással kapcsolatos ellátások</t>
  </si>
  <si>
    <t>Egyéb nem intézményi ellátások</t>
  </si>
  <si>
    <t>köztemetés [Szoctv. 48.§]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</si>
  <si>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</si>
  <si>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</si>
  <si>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jegyzői hatáskörben lévő segélyek (PH-által fizetendő)</t>
  </si>
  <si>
    <r>
      <t xml:space="preserve">lakásfenntartási támogatás
[Szoctv. 38. § (1) bek. a) és b) pontok] </t>
    </r>
    <r>
      <rPr>
        <b/>
        <i/>
        <sz val="11"/>
        <rFont val="Arial"/>
        <family val="2"/>
      </rPr>
      <t>(jegyzői)</t>
    </r>
  </si>
  <si>
    <t>jövedelemadók</t>
  </si>
  <si>
    <t>Működési kiadások összesen (I+II+III+IV+V)</t>
  </si>
  <si>
    <t>Felhalmozási kiadások összesen (VI+VII+VIII)</t>
  </si>
  <si>
    <t>Működési bevételek összesen (I+II+III+IV)</t>
  </si>
  <si>
    <t>Felhalmozási bevételek összesen (V+VI+VII):</t>
  </si>
  <si>
    <t>Finanszírozási kiadások összesen: (IX+X)</t>
  </si>
  <si>
    <t>IX</t>
  </si>
  <si>
    <t>Finanszírozási bevételek (VIII+IX):</t>
  </si>
  <si>
    <t>Feladathoz kapcsolódó egyéb támogatás</t>
  </si>
  <si>
    <t>Egészségügyi és szociális feladatok</t>
  </si>
  <si>
    <t>Egyéb felh.c. támogatások  bevételei áht-n belül</t>
  </si>
  <si>
    <t>irányítószervi és feladattámogatás</t>
  </si>
  <si>
    <t>Egyéb szervezetektől</t>
  </si>
  <si>
    <t xml:space="preserve">egyéb államháztartáson belüli szervezettől, </t>
  </si>
  <si>
    <t>Ellátottak pénzbeli juttatása (segélyek)</t>
  </si>
  <si>
    <t>cafetéria + bérlet  +isik besz.keret</t>
  </si>
  <si>
    <t>j</t>
  </si>
  <si>
    <t>Adóssághoz nem kapcsolódó származékos ügyletek bevételei</t>
  </si>
  <si>
    <t>Érvényes előirányzat</t>
  </si>
  <si>
    <t>Felújítások   (ÁFA-val)</t>
  </si>
  <si>
    <t>Felhalmozási célú támogatások összesen:</t>
  </si>
  <si>
    <t>helyi önkormányzatok és költségvetési szerveik részére</t>
  </si>
  <si>
    <t>módosítás     
( ± )</t>
  </si>
  <si>
    <t>KÖLTSÉGVETÉSI HIÁNY(-) / TÖBBLET (+): (költségvetési bevétel-költségvetési kiadás)</t>
  </si>
  <si>
    <t>Iparűzési adó bírság, pótlék</t>
  </si>
  <si>
    <t>Ellátottak pénzbeli juttatása
(önkormányzati segélyek)</t>
  </si>
  <si>
    <t>Közszolgáltatás fejlesztési feladatok</t>
  </si>
  <si>
    <t>egyéb fejezeti kezelésű előirányzatok</t>
  </si>
  <si>
    <t>helyi  nemzetiségi önkormányzatok és költségvetési szerveik részére</t>
  </si>
  <si>
    <t>Önkormányzat által bevezett helyi adók bírság, pótlék</t>
  </si>
  <si>
    <t>Ingatlanok vásárlása</t>
  </si>
  <si>
    <t xml:space="preserve"> teljes program forrásának tervezett összetétele</t>
  </si>
  <si>
    <t>pályázat teljes költsége</t>
  </si>
  <si>
    <t>10.</t>
  </si>
  <si>
    <t>11.</t>
  </si>
  <si>
    <t>12.</t>
  </si>
  <si>
    <t xml:space="preserve">    OKTB pályázatok</t>
  </si>
  <si>
    <t xml:space="preserve">    Moldvai Magyarok a Moldvai Magyarokért Szövetség</t>
  </si>
  <si>
    <r>
      <t>Rendkívüli gyermekvédelmi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</si>
  <si>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Krízis segély
[Szoctv. 45.§]</t>
    </r>
    <r>
      <rPr>
        <b/>
        <i/>
        <sz val="11"/>
        <rFont val="Arial"/>
        <family val="2"/>
      </rPr>
      <t xml:space="preserve"> (települési támogatás)</t>
    </r>
  </si>
  <si>
    <r>
      <t>Temetési segély
[Szoctv. 45.§]</t>
    </r>
    <r>
      <rPr>
        <b/>
        <i/>
        <sz val="11"/>
        <rFont val="Arial"/>
        <family val="2"/>
      </rPr>
      <t xml:space="preserve"> (települési támogatás)</t>
    </r>
  </si>
  <si>
    <r>
      <t>Lakhatási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</si>
  <si>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Hátralékkezelési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</si>
  <si>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Beteggondozási díj
[Szoctv. 45.§]</t>
    </r>
    <r>
      <rPr>
        <b/>
        <i/>
        <sz val="11"/>
        <rFont val="Arial"/>
        <family val="2"/>
      </rPr>
      <t xml:space="preserve"> (települési támogatás)</t>
    </r>
  </si>
  <si>
    <t>Települési támogatás</t>
  </si>
  <si>
    <r>
      <t>Gyógyszertámogatás
[Szoctv. 45.§]</t>
    </r>
    <r>
      <rPr>
        <b/>
        <i/>
        <sz val="11"/>
        <rFont val="Arial"/>
        <family val="2"/>
      </rPr>
      <t xml:space="preserve"> (települési támogatás)</t>
    </r>
  </si>
  <si>
    <t>Egyéb önkormányzati segély, támogatás</t>
  </si>
  <si>
    <t>Lakótelepek energiatakarékos korszerűsítése, társasház</t>
  </si>
  <si>
    <t>Közvilágítás hálózatok és lámpák, díszkivilágítás</t>
  </si>
  <si>
    <t>Útépítések tervezése</t>
  </si>
  <si>
    <t>Járda építések  összesen:</t>
  </si>
  <si>
    <t>Járda felújítások:</t>
  </si>
  <si>
    <t>Út-,  támfal- és lépcsőfelújítások:</t>
  </si>
  <si>
    <t>Előző év költségvetési maradványának igénybevétele</t>
  </si>
  <si>
    <t>Előző év vállalkozási maradványának igénybevétele</t>
  </si>
  <si>
    <t>B8132</t>
  </si>
  <si>
    <t>klik</t>
  </si>
  <si>
    <t>Vízvezeték építés összesen</t>
  </si>
  <si>
    <t>Útépítések összesen</t>
  </si>
  <si>
    <t>Járda építések</t>
  </si>
  <si>
    <t>Járda felújítások</t>
  </si>
  <si>
    <t>Közszolgáltatásfejlesztési feladatok</t>
  </si>
  <si>
    <t>B814</t>
  </si>
  <si>
    <t>Államháztartáson belüli megelőlegezések</t>
  </si>
  <si>
    <t>Parkoló építések, felújítások</t>
  </si>
  <si>
    <t>Út-, támfal- és lépcsők felújítása, építése</t>
  </si>
  <si>
    <t>Bursa,</t>
  </si>
  <si>
    <t>tervtanács+ped. tovább+plakett</t>
  </si>
  <si>
    <t>üdülő</t>
  </si>
  <si>
    <t>saját</t>
  </si>
  <si>
    <t xml:space="preserve">Halacska, Demjén, sulivár, SZEB, verseny, </t>
  </si>
  <si>
    <t>támogatások</t>
  </si>
  <si>
    <t xml:space="preserve">dologi </t>
  </si>
  <si>
    <t>k</t>
  </si>
  <si>
    <t>főváros</t>
  </si>
  <si>
    <t>K513</t>
  </si>
  <si>
    <t>K89</t>
  </si>
  <si>
    <t>B411</t>
  </si>
  <si>
    <t>Biztosító által fizetett kártérítés</t>
  </si>
  <si>
    <t>B64</t>
  </si>
  <si>
    <t>B65</t>
  </si>
  <si>
    <t>B74</t>
  </si>
  <si>
    <t>B75</t>
  </si>
  <si>
    <t>Egyéb városüzemeltetési feladatok</t>
  </si>
  <si>
    <t>Fogyasztási adók (jövedéki adó)</t>
  </si>
  <si>
    <t>B352</t>
  </si>
  <si>
    <r>
      <t xml:space="preserve">Kiegészítő Gyermekvédelmi támogatás </t>
    </r>
    <r>
      <rPr>
        <b/>
        <i/>
        <sz val="11"/>
        <rFont val="Arial"/>
        <family val="2"/>
      </rPr>
      <t>(jegyzői)</t>
    </r>
  </si>
  <si>
    <t>Kisegítő mezőgazdasági szolgáltatások</t>
  </si>
  <si>
    <t>Út-, járda-, lépcső-, támfal felújítások tervezése</t>
  </si>
  <si>
    <t>Útfenntartási kiadások:</t>
  </si>
  <si>
    <t>Intézményi beruházások, felújítások tervezése</t>
  </si>
  <si>
    <t>intézményi fűtésfelújítások összesen:</t>
  </si>
  <si>
    <t>intézményi vizesblokkok, vízvezetékek és csatornák felújítása összesen:</t>
  </si>
  <si>
    <t>sportcélú helyiségek, sportudvarok, udvarok összesen:</t>
  </si>
  <si>
    <t>intézményi tetőfelújítások összesen:</t>
  </si>
  <si>
    <t>intézményi világítás felújítások összesen:</t>
  </si>
  <si>
    <t>konyhafelújítások összesen:</t>
  </si>
  <si>
    <t>homlokzatfelújítások összesen:</t>
  </si>
  <si>
    <t xml:space="preserve">Intézményekbe egyedi bútorok beszerzése </t>
  </si>
  <si>
    <t>akadálymentesítés összesen:</t>
  </si>
  <si>
    <t>egyéb intézményi beruházások összesen:</t>
  </si>
  <si>
    <t>i</t>
  </si>
  <si>
    <t>intézményekbe egyedi bútorok beszerzése:</t>
  </si>
  <si>
    <t>Intézményekben tervezett beruházások (a+b+...+k):</t>
  </si>
  <si>
    <t>Vagyongazdálkodási feladatok:</t>
  </si>
  <si>
    <t>Egészségügyi feladatok:</t>
  </si>
  <si>
    <t>Kártalanítás, utcamegnyitás:</t>
  </si>
  <si>
    <t>Önkormányzati bérlakások térítése</t>
  </si>
  <si>
    <t>Egyéb pályázatok</t>
  </si>
  <si>
    <t>Közterület felügyelet</t>
  </si>
  <si>
    <t xml:space="preserve">Budafoki Szomszédok Piacához kapcsolódó kisebb fejlesztések </t>
  </si>
  <si>
    <t>Felszíni vízelvezetések tervezése</t>
  </si>
  <si>
    <t>Idegenforgalmi adó</t>
  </si>
  <si>
    <r>
      <t xml:space="preserve">Babakelengye támogatás  </t>
    </r>
    <r>
      <rPr>
        <b/>
        <i/>
        <sz val="11"/>
        <rFont val="Arial"/>
        <family val="2"/>
      </rPr>
      <t>(települési támogatás)</t>
    </r>
  </si>
  <si>
    <r>
      <t xml:space="preserve">Ingatlan helyreállítási támogatás </t>
    </r>
    <r>
      <rPr>
        <b/>
        <i/>
        <sz val="11"/>
        <rFont val="Arial"/>
        <family val="2"/>
      </rPr>
      <t>(települési támogatás)</t>
    </r>
  </si>
  <si>
    <t>Felszíni vízelvezetési  feladatok összesen:</t>
  </si>
  <si>
    <t>Dél-budai Egészségügyi Szolgálat:</t>
  </si>
  <si>
    <t>Működési célú költségvetési támogatások és kiegészítő támogatások</t>
  </si>
  <si>
    <t>Elszámolásból származó bevételek</t>
  </si>
  <si>
    <t>CE331 - YouInHerit pályázat</t>
  </si>
  <si>
    <t>Interreg CENTRAL EUROPE</t>
  </si>
  <si>
    <t>program 2018. évi ütemezése</t>
  </si>
  <si>
    <t>Dél-budai Egészségügyi Szolgálat</t>
  </si>
  <si>
    <t>Közterület-felügyeleti feladatok</t>
  </si>
  <si>
    <t>2018. évi tervezett előirányzatai</t>
  </si>
  <si>
    <t>2018. évi tervezett bevételei</t>
  </si>
  <si>
    <t>2018. évi tervezett kiadásai</t>
  </si>
  <si>
    <t>2018. évi önkormányzati feladatainak tervezett előirányzatai</t>
  </si>
  <si>
    <t>2018. évi tervezett támogatások</t>
  </si>
  <si>
    <t>2018. évben lakosságnak önkormányzat által nyújtott 
szociális és rászorultsági ellátások</t>
  </si>
  <si>
    <t>2018. évi tervezett felújítási kiadásai</t>
  </si>
  <si>
    <t>2018. évi tervezett beruházási kiadásai</t>
  </si>
  <si>
    <t>2018. évi tervezett tartalék előirányzata</t>
  </si>
  <si>
    <t>pályázati forrásokból megvalósuló feladatai és azok 2018. évi üteme</t>
  </si>
  <si>
    <t>2018. évi költségvetési bevételei és kiadásai</t>
  </si>
  <si>
    <t>2018. évi létszámelőirányzat / fő</t>
  </si>
  <si>
    <t>Közfoglalkoztatottak 2018. évi létszámelőirányzata</t>
  </si>
  <si>
    <t>Meglévő közterületi sportpálya burkolatok karbantartása, felújítása</t>
  </si>
  <si>
    <t>Kisebb zöldterület fejlesztési munkák</t>
  </si>
  <si>
    <t xml:space="preserve">József Attila ltp. felújítása II. ütem </t>
  </si>
  <si>
    <t>Bartók B. ltp. zöldterület-fejlesztés (Bartók B. és Fácán u. között)</t>
  </si>
  <si>
    <t>VII. u. végig páratlan o.</t>
  </si>
  <si>
    <t>Komáromi u. páratlan oldal (kivéve Buzakalász és Dombóvári között)</t>
  </si>
  <si>
    <t>Szent István u. pártalan oldal</t>
  </si>
  <si>
    <t>Kócsag utca páratlan oldal (Zöldike-Mérleg u. között)</t>
  </si>
  <si>
    <t>Sárkány u. útfelújítása</t>
  </si>
  <si>
    <t>Kocsola u. útfelújítása</t>
  </si>
  <si>
    <t>BKISZ VI. - VII. nyomvonalon felüli aszfaltburkolatok helyreállítása</t>
  </si>
  <si>
    <t>Nagytétényi városközpont projekt fenntartása</t>
  </si>
  <si>
    <t>Sportpályák karbantartása</t>
  </si>
  <si>
    <t>Ingatlanfejlesztéshez kapcsolód előkészítő munkák (bontások, geodézia, telekalakítás )</t>
  </si>
  <si>
    <t>Rendezvények elektromos hálózatának kiépítése</t>
  </si>
  <si>
    <t>Szennyvízcsatorna tervezés és építés összesen:</t>
  </si>
  <si>
    <t xml:space="preserve">Szennyvízcsatorna tervezés </t>
  </si>
  <si>
    <t>Vízvezeték tervezések</t>
  </si>
  <si>
    <t>Előre nem tervezhető törzshálózati ivóvíz vezeték építés</t>
  </si>
  <si>
    <t>Pécsi utca közvilágítás II</t>
  </si>
  <si>
    <t>Jósika utca (zsákutca szakasz)</t>
  </si>
  <si>
    <t>Gyula vezér út (Névtelen u.-X. u.)</t>
  </si>
  <si>
    <t>Zala u. (Galga u.-Tátra u.)</t>
  </si>
  <si>
    <t>Rugó u.</t>
  </si>
  <si>
    <t>Pécsi u. II. ütem (részben 2017. évi forrásból)</t>
  </si>
  <si>
    <t>Bajcsy Zs. ( Park utca Őszibarack)</t>
  </si>
  <si>
    <t>XIII. u.( 71-73. sz.)</t>
  </si>
  <si>
    <t>Parkolók Összesen:</t>
  </si>
  <si>
    <t>Lenyka utca 38. sz. mögött gépkocsi parkoló építés + közvilágítás</t>
  </si>
  <si>
    <t>Húr utcai ltp parkoló kiépítése</t>
  </si>
  <si>
    <t>Közterület-felügyeleti feladatok:</t>
  </si>
  <si>
    <t>program 2019. évi ütemezése</t>
  </si>
  <si>
    <t>Budafok-Tétény Budapest XXII. kerületi Önkormányzata ASP központhoz való csatlakozása</t>
  </si>
  <si>
    <t>KÖFOP-1.2.1-VEKOP-16</t>
  </si>
  <si>
    <t>XXII. kerületi Egyesített Óvoda Bartók Tagóvoda és az Egyesített Bölcsőde Napraforgó Tagbölcsőde infrastruktúra-fejlesztése</t>
  </si>
  <si>
    <t>VEKOP-6.1.1-15-BP1-2016-00003</t>
  </si>
  <si>
    <t xml:space="preserve">Budapest XXII. kerület, Városház tér 11. szám alatti épület egyes felújítási munkái - folyosói padlólap rekonstrukció </t>
  </si>
  <si>
    <t>"Építészeti Örökségvédelmi Támogatás 2017"</t>
  </si>
  <si>
    <t xml:space="preserve">Játszóeszközök karbantartása, javítása, felújítása, dokum. közterületen </t>
  </si>
  <si>
    <t xml:space="preserve">Játszóeszközök karbantartása, javítása, felújítása, dokum.  intézményekben </t>
  </si>
  <si>
    <t>Rózsakert lakótelep felújítása</t>
  </si>
  <si>
    <t>Locsolóhálózat karbantartása</t>
  </si>
  <si>
    <t>Aszfaltjárdák, térkőburkolatú javítása, nagyjavítása</t>
  </si>
  <si>
    <t>Útépítések előtti közmű kiváltások</t>
  </si>
  <si>
    <t>l.</t>
  </si>
  <si>
    <t>Intézményekben burkolatok (hideg és meleg) felújítása</t>
  </si>
  <si>
    <t>Intézményi asztalos javítások</t>
  </si>
  <si>
    <t>Intézményekben hőérzet javítás és árnyékolás</t>
  </si>
  <si>
    <t>Útfenntartási kiadások összesen</t>
  </si>
  <si>
    <t>Gyalogátkelőhelyek létesítése közvilágítással</t>
  </si>
  <si>
    <r>
      <t>Utcabútorok pótlása</t>
    </r>
    <r>
      <rPr>
        <b/>
        <sz val="10"/>
        <rFont val="Arial"/>
        <family val="2"/>
      </rPr>
      <t xml:space="preserve"> </t>
    </r>
  </si>
  <si>
    <t xml:space="preserve">Játszóeszköz pótlás és csere közterületen és intézményekben </t>
  </si>
  <si>
    <t xml:space="preserve">Játszóeszközök alatti ütéscsillapító gumiburkolat javítása, cseréje </t>
  </si>
  <si>
    <t>Új játszótér Nagytétényben</t>
  </si>
  <si>
    <t>Általános állagmegóvó intézményi beruházások</t>
  </si>
  <si>
    <t>c.</t>
  </si>
  <si>
    <t>d.</t>
  </si>
  <si>
    <t>Rózsakerti Bölcsőde - tocsogó építése</t>
  </si>
  <si>
    <t xml:space="preserve">Napközi óvoda - játszó udvar további felújítása, tervezésnek megfelelő alakítása </t>
  </si>
  <si>
    <t xml:space="preserve">Napközi u. óvoda - elektromos tűzhely földelése, bojler földelése, vízkőmentesítése, elektromos rendszer az ellenőrzés során megállapítottak alapján történő javítása </t>
  </si>
  <si>
    <t xml:space="preserve">Mező u. óvoda - 3 oldalról zárt, fedett kuka - és ételhulladék tárolására alkalmas tároló kialakítása </t>
  </si>
  <si>
    <t xml:space="preserve">Szociális Szolgálat (Nagytétényi út 266.) - galériára vezető lépcsőlapok cseréje, csúszásmentesítése </t>
  </si>
  <si>
    <t>Külső ellenőrzések által előírt feladatok (NÉBIH HACCP)</t>
  </si>
  <si>
    <t>Mező u. óvoda - szennyvízelvezetés korszerűsítése</t>
  </si>
  <si>
    <t>Polgármesteri Hivatal (Városháza) - pincei vízszigetelés belső oldalfalon és padlón (II. ütem)</t>
  </si>
  <si>
    <t>Mező u. óvoda - bojler csere</t>
  </si>
  <si>
    <t xml:space="preserve">Gyermekjóléti Központ (Nagytétényi út 264.) - radiátorok egyedi hőfokszabályzásának kialakítása </t>
  </si>
  <si>
    <t>Mező óvoda - játszókert komplex felújítása</t>
  </si>
  <si>
    <t>Ják u. óvoda - világítás telepítése az udvarra</t>
  </si>
  <si>
    <t>Intézményekben tervezett felújítások (a+b+..+l) :</t>
  </si>
  <si>
    <t xml:space="preserve">Rózsakerti bölcsőde - kevertvíz cirkuláció megoldása </t>
  </si>
  <si>
    <t>Ják u. óvoda - ivókút javítása, cseréje a Nyuszi csoport udvarán</t>
  </si>
  <si>
    <t>Rákóczi u. óvoda - csapadékvíz ejtővezeték javítása</t>
  </si>
  <si>
    <t>Polgármesteri Hivatal (Városháza) - külső csatona felújítása</t>
  </si>
  <si>
    <t xml:space="preserve">Szociális Szolgálat (Nagytétényi út 266.) - tető (4 db) gyors javítása a szakvélemény szerint </t>
  </si>
  <si>
    <t xml:space="preserve">Művelődési Központ (Nagytétényi út 31-33) - földszint és emelet feletti PVC szigetelésű tető tetőlábazatának javítása </t>
  </si>
  <si>
    <t>Művelődési Központ (Nagytétényi út 31-33) - légkezelő rendszer rendbetétele Klauzál Ház</t>
  </si>
  <si>
    <t>Szociális Szolgálat (Köd u. 2-4.) - akadálymentesített feljáró csúszásmentesítése</t>
  </si>
  <si>
    <t xml:space="preserve">Ják u. óvoda - udvari játszóeszköz burkolatok kialakítása, felújítása </t>
  </si>
  <si>
    <t>Anna u. óvoda - galéria felújítás</t>
  </si>
  <si>
    <t xml:space="preserve">Anna u. óvoda - feljáró oldalsó támfalának megerősítése </t>
  </si>
  <si>
    <t xml:space="preserve">Kisfaludi óvoda - udvari tároló 4 ajtajának cseréje </t>
  </si>
  <si>
    <t>2018. évi iparűzési adó beszedésével kapcsolatos költségek (forrásmegosztás alapján)</t>
  </si>
  <si>
    <t>Módosított előirányzat</t>
  </si>
  <si>
    <t>Finanszírozási bevételek</t>
  </si>
  <si>
    <t xml:space="preserve">Hajó utca - Duna parti sétány környezetének fejl.-e </t>
  </si>
  <si>
    <t xml:space="preserve">Szent István tér komplex fejlesztése </t>
  </si>
  <si>
    <t>2017. évi iparűzési adó beszedésével kapcsolatos költségek (forrásmegosztás alapján)</t>
  </si>
  <si>
    <t>Közfoglalkoztatás támogatása</t>
  </si>
  <si>
    <t>Csatlakozás az Első Energia-beszerzési Önk. Társuláshoz</t>
  </si>
  <si>
    <t>További évekre képezett működési tartalék</t>
  </si>
  <si>
    <t>Önkormányzat és Hivatal által nyújtott, visszajött segélyek technikai rendezése</t>
  </si>
  <si>
    <t>Előző évi működési támogatások elszámolása</t>
  </si>
  <si>
    <t xml:space="preserve">2017. évi rendszeres gyermekvédelmi támogatás elszámolása </t>
  </si>
  <si>
    <t>2017. évi  "Határtalanul!" programban való részvétel támogatása</t>
  </si>
  <si>
    <t>Pályázatok önrésze</t>
  </si>
  <si>
    <t>Egyéb előre nem tervezhető felhalmozási kiadások</t>
  </si>
  <si>
    <t>MIS - információs rendszer bevezetése</t>
  </si>
  <si>
    <t>Budapest Komplex Integrált szennyvízelvezetés</t>
  </si>
  <si>
    <t>Pécsi u. (Tűzoltó u. - Mihalik u. között)</t>
  </si>
  <si>
    <t>MVLSZ medence bővítés  pályázat</t>
  </si>
  <si>
    <t>Egyházat támogatása</t>
  </si>
  <si>
    <t>Intézményi fejlesztések</t>
  </si>
  <si>
    <t>SECAP  klímastratégia</t>
  </si>
  <si>
    <t>Veréb utcai Barlanglakás felújítása</t>
  </si>
  <si>
    <t>Önkormányzati ingatlanfejlesztés</t>
  </si>
  <si>
    <t>Óvoda tetők következő évi felújítása</t>
  </si>
  <si>
    <t>Kiemelt fejlesztések tartaléka</t>
  </si>
  <si>
    <t>További évekre képezett felhalmozási célú tartalék</t>
  </si>
  <si>
    <t>Nádasdy Művészeti Iskola - dobogó és színpad hátsó felületének akusztikai borítása</t>
  </si>
  <si>
    <t>Sportcélú fejlesztések</t>
  </si>
  <si>
    <t>K914</t>
  </si>
  <si>
    <t>Államháztartáson belüli megelőlegezések visszafizetése</t>
  </si>
  <si>
    <t>Felhalmozási támogatások áht-n belül összesen:</t>
  </si>
  <si>
    <t>Felhalmozási célú támogatások áht-n kívűlre:</t>
  </si>
  <si>
    <t xml:space="preserve">    Budafok Belváros megújul program III. ütem</t>
  </si>
  <si>
    <t xml:space="preserve">    Kerületi kapuk felújítása pályázat II. ütem</t>
  </si>
  <si>
    <t>Vagyongazdálkodási feladatok összesen</t>
  </si>
  <si>
    <t>Egészségügyi alapellátás fejlesztése (Eü.-i és szoc. feladatok)</t>
  </si>
  <si>
    <t>Budapest Komplex Integrált szennyvízelvezetés (VÜZ feladatok)</t>
  </si>
  <si>
    <t xml:space="preserve">    Művészeti Programok szervezése</t>
  </si>
  <si>
    <t xml:space="preserve">    Nagytétényi Polgári Kör kiállítótér költségei</t>
  </si>
  <si>
    <t xml:space="preserve">    Sportcélú pályázatok  (SZEB)</t>
  </si>
  <si>
    <t xml:space="preserve">    Rendőr és Gyermeknap támogatása</t>
  </si>
  <si>
    <t xml:space="preserve">    Képző- és Iparművészeti Közalapítvány a XXII. Ker. Kultúrájáért </t>
  </si>
  <si>
    <t xml:space="preserve">    Kiemelt kerületi rendezvények</t>
  </si>
  <si>
    <t xml:space="preserve">    Sportegyesületek támogatása összesen</t>
  </si>
  <si>
    <t xml:space="preserve">    Halacska Református Óvoda</t>
  </si>
  <si>
    <t xml:space="preserve">    Budafok-Tétény Polgárőrség</t>
  </si>
  <si>
    <t xml:space="preserve">   BRFK XXII. Kerületi Rendőrkapitányság</t>
  </si>
  <si>
    <t xml:space="preserve">    -- BMTE</t>
  </si>
  <si>
    <t xml:space="preserve">    -- BLC</t>
  </si>
  <si>
    <t xml:space="preserve">    -- Nagytétényi SE</t>
  </si>
  <si>
    <t xml:space="preserve">    -- Budatétényi SE</t>
  </si>
  <si>
    <t xml:space="preserve">    -- Budafoki Kézilabda SE</t>
  </si>
  <si>
    <t xml:space="preserve">    -- BKK</t>
  </si>
  <si>
    <t>Kerületi feladatok összesen</t>
  </si>
  <si>
    <t>Közterületi jelenlét (Kerületi feladatok)</t>
  </si>
  <si>
    <t>Bursa Hungarica ösztöndíj (Ellátottak pénzbeli juttatása)</t>
  </si>
  <si>
    <r>
      <t xml:space="preserve">Rendszeres gyermekvédelmi kedvezmény </t>
    </r>
    <r>
      <rPr>
        <b/>
        <i/>
        <sz val="11"/>
        <rFont val="Arial"/>
        <family val="2"/>
      </rPr>
      <t>(jegyzői)</t>
    </r>
  </si>
  <si>
    <t>Kerületi feladatok:</t>
  </si>
  <si>
    <t>Önkormányzati felújítások összesen (I+II+III):</t>
  </si>
  <si>
    <t>Nem lakáscélú ingatlanok karbantartása</t>
  </si>
  <si>
    <t>Kubinyi Ágoston Program (Barlanglakás felújítása pályázat)</t>
  </si>
  <si>
    <t>Vagyongazdálkodási feladatok tervezett kiadásai összesen (a+...+j):</t>
  </si>
  <si>
    <t>Szakorvosi rendelő - gépészet és mosdók felújítása I. ütem</t>
  </si>
  <si>
    <t xml:space="preserve">Szakorvosi rendelő - felújítás III. ütem + belső funkciómegtartó felújítás folytatása IV. ütem </t>
  </si>
  <si>
    <t>Zöldterületek fejlesztésének tervezése</t>
  </si>
  <si>
    <t>Kormorán utcai játszótér bővítése (Pannonplaszt)</t>
  </si>
  <si>
    <t xml:space="preserve">Kártya utca </t>
  </si>
  <si>
    <t>Gyöngyszem</t>
  </si>
  <si>
    <t xml:space="preserve">Tatárka u. (Országalma u. - Vincellér u.) járdával </t>
  </si>
  <si>
    <t>BKISZ keretében végzett szennyvízcsatorna építések utáni útfelújítások - Árpád u.</t>
  </si>
  <si>
    <t xml:space="preserve">Előre nem tervezhető járda és park felújításfelújítás </t>
  </si>
  <si>
    <t>XIII. u. végig páros oldal.</t>
  </si>
  <si>
    <t>Hosszúhegy utca 8. közterületi támfal megerősítése</t>
  </si>
  <si>
    <t xml:space="preserve">Vöröskereszt Bölcsőde - alapvezetékek, tető, csapadékvíz elvezető rendszer felújítása </t>
  </si>
  <si>
    <t xml:space="preserve">Vöröskereszt Óvoda - alapvezetékek, tető, csapadékvíz elvezető rendszer felújítása </t>
  </si>
  <si>
    <t>Anna utcai Óvóda - rézsűs terület lekerítése, felújítása, megtámasztása II.,csapadékvíz elvez.</t>
  </si>
  <si>
    <t>Rózsakerti Óvoda - tető felülvizsgálata és felújítása</t>
  </si>
  <si>
    <t xml:space="preserve">Bartók Béla úti óvoda - homlokzat- és tetőszigetelés </t>
  </si>
  <si>
    <t>Rózsakerti Óvoda - rámpák, lépcsők felújítása</t>
  </si>
  <si>
    <t>Gyermekjóléti Központ - CSAO felújítása</t>
  </si>
  <si>
    <t>Polgármesteri Hivatal (Városház tér) - pincei vízszigetelés I. ütem</t>
  </si>
  <si>
    <t>Polgármesteri Hivatal - folyosói padlóburkolat rekonstrukciója</t>
  </si>
  <si>
    <t>Általános hibaelhárítás</t>
  </si>
  <si>
    <t xml:space="preserve">  ebből: -- Gyermekjóléti Központ (CSAO) - válaszfal átépítése</t>
  </si>
  <si>
    <t>Intézményekben lapostetők és csapadékvíz elvezetés felülvizsgálata és javítása</t>
  </si>
  <si>
    <t xml:space="preserve">  ebből: -- Művelődés Központ (Nagytétényi út 31-33) - színház terem feletti lapostető javítása</t>
  </si>
  <si>
    <t>Intézményi gépészeti vezeték, berendezés</t>
  </si>
  <si>
    <t xml:space="preserve">  ebből: -- Bartók bölcsőde - vezetékek cseréje, kerti csap téli víztelenítő r. kialakítása</t>
  </si>
  <si>
    <t>Egyéb pályázatok:</t>
  </si>
  <si>
    <t>Hajó utca - Duna parti sétány környezetének fejl.-e:</t>
  </si>
  <si>
    <t xml:space="preserve">Új játszótér kialakítása - Cankó tér </t>
  </si>
  <si>
    <t>Péter Pál utcai játszótér felújítása</t>
  </si>
  <si>
    <t>Gyár utcai szennyvízcsatorna</t>
  </si>
  <si>
    <t xml:space="preserve">Hegybíró utca csapadékvízelvezetés </t>
  </si>
  <si>
    <t>Kártya utca ideiglenes parti védmű állandósítása</t>
  </si>
  <si>
    <r>
      <t>Tátra utca (hrsz.: 230868/5; 230867/5;230866/5) közterületeken kb. 70 fm.</t>
    </r>
    <r>
      <rPr>
        <b/>
        <sz val="10"/>
        <rFont val="Arial"/>
        <family val="2"/>
      </rPr>
      <t xml:space="preserve"> </t>
    </r>
  </si>
  <si>
    <t>Gyulavezér lépcső közvilágítási hálózat</t>
  </si>
  <si>
    <t>József Attila ltp. közvilágítás korszerűsítése</t>
  </si>
  <si>
    <t>Bíbic u. (Klauzál G. u.-Bíbic u. 19/A.)</t>
  </si>
  <si>
    <r>
      <t>Országalma u.</t>
    </r>
    <r>
      <rPr>
        <b/>
        <sz val="10"/>
        <rFont val="Arial"/>
        <family val="2"/>
      </rPr>
      <t xml:space="preserve"> </t>
    </r>
  </si>
  <si>
    <t xml:space="preserve">Páfrány forduló  </t>
  </si>
  <si>
    <r>
      <t xml:space="preserve">Tatár forduló </t>
    </r>
    <r>
      <rPr>
        <b/>
        <sz val="10"/>
        <rFont val="Arial"/>
        <family val="2"/>
      </rPr>
      <t xml:space="preserve"> </t>
    </r>
  </si>
  <si>
    <t xml:space="preserve">Csöngő u. (Nyél u.-Kacor u.) </t>
  </si>
  <si>
    <t>Tompa utcai Általános Iskola előtti parkoló építése</t>
  </si>
  <si>
    <t xml:space="preserve">Egyéb forgalomtechnikai létesítmények </t>
  </si>
  <si>
    <t xml:space="preserve">Bartók bölcsőde - homlokzat- és tetőszigetelés </t>
  </si>
  <si>
    <t xml:space="preserve">  ebből: -- Bartók óvoda - galéria készítése a Pipacs csoportoba</t>
  </si>
  <si>
    <t xml:space="preserve">            -- Ják óvoda - 4 db LED reflektor felszerelése és üzembe helyezése</t>
  </si>
  <si>
    <t>Intézményekben hőérzet javítása</t>
  </si>
  <si>
    <t>Intézményekben előírások szerinti vízpermetezők</t>
  </si>
  <si>
    <t xml:space="preserve">  ebből: -- Bölcsődei tocsogók kialakítása (épületgépészeti munkákkal), ivókút felállítása</t>
  </si>
  <si>
    <t>XI.</t>
  </si>
  <si>
    <t>Szent István tér komplex fejlesztése:</t>
  </si>
  <si>
    <t>Főépítészi, városrendezési feladatok:</t>
  </si>
  <si>
    <t>Nemzetiségi önkormányzatok támogatása</t>
  </si>
  <si>
    <t>Memento Szmolenszkért emlékmű</t>
  </si>
  <si>
    <t>XII.</t>
  </si>
  <si>
    <t>Memento Szmolenszkért emlékmű:</t>
  </si>
  <si>
    <t>Intézményekbenmagastetők és csapadékvíz elvezetés felülvizsgálata és javítása</t>
  </si>
  <si>
    <t>Leányka óvoda - meglévő medence elbontása (az udvari medence felújítása, v. párakapuk felszerelése)</t>
  </si>
  <si>
    <t xml:space="preserve">Mező u. óvoda - pincevilágítás kiépítése és az épület sötétedés utáni kivilágításának korszerűsítése </t>
  </si>
  <si>
    <t>Rózsakerti óvoda - 6 csoportszobába a beépített szekrény ajtajának cseréje (72 db ajtó)</t>
  </si>
  <si>
    <t>Gyermekjólét Központ (Ntétényi 276.) - 5.számú iroda falának javítása</t>
  </si>
  <si>
    <t>Gyermekjólét Központ (Ntétényi 276.) - mosdó előtti folyosó plafon javítása</t>
  </si>
  <si>
    <t>Parkfenntartási részleg szerszám- és anyagszükséglete</t>
  </si>
  <si>
    <t>Leányka óvoda - tocsogó építése</t>
  </si>
  <si>
    <t>Vöröskereszt óvoda - Felnőtt öltöző és mosdó helyiségben tolóajtó, vagy harmonika ajtó felszerelése</t>
  </si>
  <si>
    <t>Szociális Szolgálat (Ntétényi 266.) - személyzeti wc előterének kialakítása</t>
  </si>
  <si>
    <t>Közszolgáltatás fejlesztési feladatok:</t>
  </si>
  <si>
    <t>XIII.</t>
  </si>
  <si>
    <t>Ingatlanok vásárlása:</t>
  </si>
  <si>
    <t>Tüzér u.</t>
  </si>
  <si>
    <t>Történelmi emlékhelyek kialakítása (Memento Szmolenszkért emlékmű)</t>
  </si>
  <si>
    <t>helyi  önkorámnyzatok és költségvetési szerveik részére</t>
  </si>
  <si>
    <t>Környezetvédelem (Környezeti nevelési programok)</t>
  </si>
  <si>
    <t>"Kerületi kapuk felújítása III." és  "Budafok-Belváros Megújul IV. ütem"pályázat</t>
  </si>
  <si>
    <t>Balatonakali üdülőházak cseréje</t>
  </si>
  <si>
    <t>Érvényes előiárnyzat</t>
  </si>
  <si>
    <t>módosítás 
(± )</t>
  </si>
  <si>
    <t>módosítás 
( ± )</t>
  </si>
  <si>
    <t xml:space="preserve">Érvényes előirányzat          </t>
  </si>
  <si>
    <t>I. félév</t>
  </si>
  <si>
    <t>Önkormányzati igazgatás:</t>
  </si>
  <si>
    <t>2018. évi bérkompenzáció támogatása</t>
  </si>
  <si>
    <t>Út-, járda- és közterületek fejlesztésének, felújításának támogatása (2017)</t>
  </si>
  <si>
    <t>Társasházak kamerabeszerzése</t>
  </si>
  <si>
    <t xml:space="preserve">    Kerületi kapuk felújítása III. és  "Budafok-Belváros Megújul IV.
    ütem"pályázathoz fedezet biztosítás</t>
  </si>
  <si>
    <t xml:space="preserve">    Kerületi kapuk felújítása IV. és  "Budafok-Belváros Megújul V.
    ütem"pályázathoz fedezet biztosítás</t>
  </si>
  <si>
    <t xml:space="preserve">    Környezeti nevelési programok</t>
  </si>
  <si>
    <t xml:space="preserve">    Környezetvédelmi pályázatok</t>
  </si>
  <si>
    <t>Szent István tér komplex fejlesztése</t>
  </si>
  <si>
    <t xml:space="preserve">Polgármesteri Hivatal - országgyűlési választások </t>
  </si>
  <si>
    <t xml:space="preserve">    Kastélymúzeumi rendezvény</t>
  </si>
  <si>
    <t>"Határtalanul" prg.-ban való részvétel tám.-a (Egyéb pályázatok)</t>
  </si>
  <si>
    <t xml:space="preserve">Önkormányzati igazgatás </t>
  </si>
  <si>
    <t>Nemzetiségi önkormányzatok támogatása összesen</t>
  </si>
  <si>
    <t xml:space="preserve">    Bolgár Nemzetiségi Önkormányzat</t>
  </si>
  <si>
    <t xml:space="preserve">    Görög Nemzetiségi Önkormányzat</t>
  </si>
  <si>
    <t xml:space="preserve">    Horvát Önkormányzat</t>
  </si>
  <si>
    <t xml:space="preserve">    Német Nemzetiségi Önkormányzat</t>
  </si>
  <si>
    <t xml:space="preserve">    Romai Önkormányzat</t>
  </si>
  <si>
    <t>Lakáskarbantartás</t>
  </si>
  <si>
    <t>Parkolók összesen:</t>
  </si>
  <si>
    <t>Városüzemeltetési feladatok összesen (1+…+7):</t>
  </si>
  <si>
    <t xml:space="preserve">  ebből: -- Kereszt u. óvoda - belső járdák javítása lábazat szigeteléssel</t>
  </si>
  <si>
    <t xml:space="preserve">             -- Rózsakerti óvoda - padozati fűtési vezetékek és víz alapvezeték cseréje</t>
  </si>
  <si>
    <t xml:space="preserve">             -- intézmények PVC javítási munkái</t>
  </si>
  <si>
    <t>Városüzemeltetés feladatok összesen (1-től 11-ig) :</t>
  </si>
  <si>
    <t>Árpád u. óvoda</t>
  </si>
  <si>
    <t>Bartók u. óvoda</t>
  </si>
  <si>
    <t>Ják u. óvoda</t>
  </si>
  <si>
    <t>Kereszt u. óvoda</t>
  </si>
  <si>
    <t>Kisfaludy u. óvoda</t>
  </si>
  <si>
    <t>Mező u. óvoda</t>
  </si>
  <si>
    <t>Rákóczi u. óvoda</t>
  </si>
  <si>
    <t>Rózsakert u. óvoda</t>
  </si>
  <si>
    <t>Vöröskereszt u. óvoda</t>
  </si>
  <si>
    <t>VII. u. óvoda</t>
  </si>
  <si>
    <t xml:space="preserve">            -- Nagytétényi út 104 (parkfenntartók) - vízlágyító berendezés telepítése</t>
  </si>
  <si>
    <t xml:space="preserve">  ebből: --  Bartók óvoda és bölcsőde - árnyékoló napvitorlák kialakítása</t>
  </si>
  <si>
    <t xml:space="preserve">              -- Bartók óvoda és bölcsőde - tocsogó és párakapu építése</t>
  </si>
  <si>
    <t xml:space="preserve">              -- Bartók bölcsőde - napvitorlák kialakítása (2 db homokózó fölé)</t>
  </si>
  <si>
    <t xml:space="preserve">              -- Rózsakerti bölcsőde - napvitorlák kialakítása (terasztetők alá)</t>
  </si>
  <si>
    <t xml:space="preserve">              -- Vöröskereszt bölcsőde - napvitorlák kialakítása (2 db játszókerti)</t>
  </si>
  <si>
    <t xml:space="preserve">              -- Kisfaludy u. óvoda - napvitorlák kialakítása (öltöző elé)</t>
  </si>
  <si>
    <t xml:space="preserve">              -- Leányka u. óvoda - napvitorlák kialakítása (homokozó fölé 5 db)</t>
  </si>
  <si>
    <t xml:space="preserve">              -- Szociális Szolgálat (Köd u.) - épület klimatízálása</t>
  </si>
  <si>
    <t xml:space="preserve">              -- Szociális Szolgálat (XVI. u.) - klimatízálás </t>
  </si>
  <si>
    <t>XIV.</t>
  </si>
  <si>
    <t>Önkormányzati beruházások összesen (I-től XIV-ig):</t>
  </si>
  <si>
    <t>Hajó utca – Duna-parti sétány környezetének fejlesztése című városrehabilitációs projekt megvalósítására</t>
  </si>
  <si>
    <t>Fővárosi TÉR_KÖZ Pályázat 2016</t>
  </si>
  <si>
    <t>a „Szent István tér komplex fejlesztése” című városrehabilitációs projekt megvalósítására</t>
  </si>
  <si>
    <t>Mementó Szmolenszkért-Kaczynski Emlékmű</t>
  </si>
  <si>
    <t>KV-0000/254/2018</t>
  </si>
  <si>
    <t>2018 évi közművelődési érdekeltségnővelő támogatás
35465/2018/KOZOSMUV</t>
  </si>
  <si>
    <t>A Budafoki Barlanglakás Emlékkiállítás infrastrukturális fejlesztése</t>
  </si>
  <si>
    <t xml:space="preserve">2017. évi muzeális intézmények szakmai támogatása (Kubinyi Ágoston Program) </t>
  </si>
  <si>
    <t>Klauzál Gábor Budafok-Tétényi Műveledési Központ kommunikációs eszközpark, ledfal beszerzése és felszerelése</t>
  </si>
  <si>
    <t>Felügyeleti díj</t>
  </si>
  <si>
    <t>Zöldfelületek felújítása, infrastruktúra fejlesztése</t>
  </si>
  <si>
    <t>2 db bölcsődében  férőhely bővítésével  kapcsolatos helykialakítás és tárgyi feltételek</t>
  </si>
  <si>
    <t>1. melléklet a 15/2018.(IX.18.)</t>
  </si>
  <si>
    <t>2. melléklet a 15/2018.(IX.18.)</t>
  </si>
  <si>
    <t>3. melléklet a 15/2018.(IX.18.)</t>
  </si>
  <si>
    <t>4. melléklet a  15/2018.(IX.18.)</t>
  </si>
  <si>
    <t>4. melléklet a 15/2018.(IX.18.)</t>
  </si>
  <si>
    <t>5. melléklet a 15/2018.(IX.18.)</t>
  </si>
  <si>
    <t>6. melléklet a 15/2018.(IX.18.)</t>
  </si>
  <si>
    <t>9. melléklet a 15/2018.(IX.18.)</t>
  </si>
  <si>
    <t>10. melléklet a 15/2018.(IX.18.)</t>
  </si>
  <si>
    <t>11. melléklet a 15/2018.(IX.18.)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</si>
</sst>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0">
    <font>
      <sz val="10"/>
      <name val="Times New Roman CE"/>
      <family val="0"/>
    </font>
    <font>
      <sz val="12"/>
      <color indexed="8"/>
      <name val="Times New Roman"/>
      <family val="2"/>
    </font>
    <font>
      <b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color indexed="9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8"/>
      <name val="Times New Roman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0"/>
      <name val="Wingdings"/>
      <family val="0"/>
    </font>
    <font>
      <sz val="12"/>
      <name val="MS Sans Serif"/>
      <family val="2"/>
    </font>
    <font>
      <sz val="9"/>
      <name val="Times New Roman CE"/>
      <family val="0"/>
    </font>
    <font>
      <b/>
      <sz val="12"/>
      <name val="Times New Roman CE"/>
      <family val="1"/>
    </font>
    <font>
      <b/>
      <sz val="1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6"/>
      <name val="Arial CE"/>
      <family val="2"/>
    </font>
    <font>
      <b/>
      <sz val="14"/>
      <name val="Times New Roman CE"/>
      <family val="1"/>
    </font>
    <font>
      <b/>
      <sz val="10"/>
      <name val="Wingdings"/>
      <family val="0"/>
    </font>
    <font>
      <sz val="10"/>
      <name val="Arial"/>
      <family val="2"/>
    </font>
    <font>
      <sz val="11"/>
      <color indexed="10"/>
      <name val="Times New Roman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0"/>
    </font>
    <font>
      <sz val="8"/>
      <color indexed="10"/>
      <name val="Arial CE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0"/>
      <color indexed="24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Times New Roman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Times New Roman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9"/>
      <name val="Times New Roman CE"/>
      <family val="0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b/>
      <sz val="11"/>
      <color indexed="63"/>
      <name val="Arial CE"/>
      <family val="0"/>
    </font>
    <font>
      <b/>
      <sz val="11"/>
      <color indexed="10"/>
      <name val="Arial CE"/>
      <family val="2"/>
    </font>
    <font>
      <b/>
      <sz val="10"/>
      <color indexed="10"/>
      <name val="Times New Roman CE"/>
      <family val="0"/>
    </font>
    <font>
      <b/>
      <sz val="10"/>
      <color indexed="10"/>
      <name val="Arial"/>
      <family val="2"/>
    </font>
    <font>
      <b/>
      <i/>
      <sz val="10"/>
      <color indexed="10"/>
      <name val="Times New Roman CE"/>
      <family val="0"/>
    </font>
    <font>
      <b/>
      <sz val="10"/>
      <color indexed="10"/>
      <name val="Arial CE"/>
      <family val="2"/>
    </font>
    <font>
      <b/>
      <sz val="11"/>
      <color indexed="9"/>
      <name val="Arial C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Times New Roman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Times New Roman CE"/>
      <family val="0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theme="0"/>
      <name val="Arial CE"/>
      <family val="2"/>
    </font>
    <font>
      <sz val="10"/>
      <color theme="0"/>
      <name val="Times New Roman CE"/>
      <family val="0"/>
    </font>
    <font>
      <b/>
      <sz val="16"/>
      <color theme="0"/>
      <name val="Arial CE"/>
      <family val="2"/>
    </font>
    <font>
      <b/>
      <sz val="14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12"/>
      <color theme="0"/>
      <name val="Arial CE"/>
      <family val="2"/>
    </font>
    <font>
      <sz val="10"/>
      <color theme="1"/>
      <name val="Arial"/>
      <family val="2"/>
    </font>
    <font>
      <sz val="8"/>
      <color theme="0"/>
      <name val="Arial CE"/>
      <family val="2"/>
    </font>
    <font>
      <b/>
      <sz val="11"/>
      <color theme="1" tint="0.15000000596046448"/>
      <name val="Arial CE"/>
      <family val="0"/>
    </font>
    <font>
      <b/>
      <sz val="11"/>
      <color rgb="FFFF0000"/>
      <name val="Arial CE"/>
      <family val="2"/>
    </font>
    <font>
      <b/>
      <sz val="10"/>
      <color rgb="FFFF0000"/>
      <name val="Times New Roman CE"/>
      <family val="0"/>
    </font>
    <font>
      <b/>
      <sz val="10"/>
      <color rgb="FFFF0000"/>
      <name val="Arial"/>
      <family val="2"/>
    </font>
    <font>
      <b/>
      <i/>
      <sz val="10"/>
      <color rgb="FFFF0000"/>
      <name val="Times New Roman CE"/>
      <family val="0"/>
    </font>
    <font>
      <b/>
      <sz val="10"/>
      <color rgb="FFFF0000"/>
      <name val="Arial CE"/>
      <family val="2"/>
    </font>
    <font>
      <b/>
      <sz val="11"/>
      <color theme="0"/>
      <name val="Arial CE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FFF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FEFC"/>
        <bgColor indexed="64"/>
      </patternFill>
    </fill>
    <fill>
      <patternFill patternType="solid">
        <fgColor indexed="15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double"/>
      <bottom style="double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ck"/>
      <bottom style="thick"/>
    </border>
    <border>
      <left/>
      <right/>
      <top style="thick"/>
      <bottom style="double"/>
    </border>
    <border>
      <left style="medium"/>
      <right/>
      <top style="thick"/>
      <bottom style="double"/>
    </border>
    <border>
      <left style="medium"/>
      <right style="medium"/>
      <top style="thick"/>
      <bottom style="double"/>
    </border>
    <border>
      <left/>
      <right style="medium"/>
      <top style="thick"/>
      <bottom style="double"/>
    </border>
    <border>
      <left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 style="medium"/>
      <top style="double"/>
      <bottom style="double"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medium"/>
      <right/>
      <top style="thick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/>
      <right/>
      <top style="thick"/>
      <bottom>
        <color indexed="63"/>
      </bottom>
    </border>
    <border>
      <left/>
      <right style="medium"/>
      <top style="thick"/>
      <bottom>
        <color indexed="63"/>
      </bottom>
    </border>
    <border>
      <left>
        <color indexed="63"/>
      </left>
      <right/>
      <top style="double"/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n"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40" fillId="3" borderId="0" applyNumberFormat="0" applyBorder="0" applyAlignment="0" applyProtection="0"/>
    <xf numFmtId="0" fontId="104" fillId="4" borderId="0" applyNumberFormat="0" applyBorder="0" applyAlignment="0" applyProtection="0"/>
    <xf numFmtId="0" fontId="40" fillId="5" borderId="0" applyNumberFormat="0" applyBorder="0" applyAlignment="0" applyProtection="0"/>
    <xf numFmtId="0" fontId="104" fillId="6" borderId="0" applyNumberFormat="0" applyBorder="0" applyAlignment="0" applyProtection="0"/>
    <xf numFmtId="0" fontId="40" fillId="7" borderId="0" applyNumberFormat="0" applyBorder="0" applyAlignment="0" applyProtection="0"/>
    <xf numFmtId="0" fontId="104" fillId="8" borderId="0" applyNumberFormat="0" applyBorder="0" applyAlignment="0" applyProtection="0"/>
    <xf numFmtId="0" fontId="40" fillId="9" borderId="0" applyNumberFormat="0" applyBorder="0" applyAlignment="0" applyProtection="0"/>
    <xf numFmtId="0" fontId="104" fillId="10" borderId="0" applyNumberFormat="0" applyBorder="0" applyAlignment="0" applyProtection="0"/>
    <xf numFmtId="0" fontId="40" fillId="11" borderId="0" applyNumberFormat="0" applyBorder="0" applyAlignment="0" applyProtection="0"/>
    <xf numFmtId="0" fontId="104" fillId="12" borderId="0" applyNumberFormat="0" applyBorder="0" applyAlignment="0" applyProtection="0"/>
    <xf numFmtId="0" fontId="40" fillId="7" borderId="0" applyNumberFormat="0" applyBorder="0" applyAlignment="0" applyProtection="0"/>
    <xf numFmtId="0" fontId="104" fillId="13" borderId="0" applyNumberFormat="0" applyBorder="0" applyAlignment="0" applyProtection="0"/>
    <xf numFmtId="0" fontId="40" fillId="11" borderId="0" applyNumberFormat="0" applyBorder="0" applyAlignment="0" applyProtection="0"/>
    <xf numFmtId="0" fontId="104" fillId="14" borderId="0" applyNumberFormat="0" applyBorder="0" applyAlignment="0" applyProtection="0"/>
    <xf numFmtId="0" fontId="40" fillId="5" borderId="0" applyNumberFormat="0" applyBorder="0" applyAlignment="0" applyProtection="0"/>
    <xf numFmtId="0" fontId="104" fillId="15" borderId="0" applyNumberFormat="0" applyBorder="0" applyAlignment="0" applyProtection="0"/>
    <xf numFmtId="0" fontId="40" fillId="16" borderId="0" applyNumberFormat="0" applyBorder="0" applyAlignment="0" applyProtection="0"/>
    <xf numFmtId="0" fontId="104" fillId="17" borderId="0" applyNumberFormat="0" applyBorder="0" applyAlignment="0" applyProtection="0"/>
    <xf numFmtId="0" fontId="40" fillId="18" borderId="0" applyNumberFormat="0" applyBorder="0" applyAlignment="0" applyProtection="0"/>
    <xf numFmtId="0" fontId="104" fillId="19" borderId="0" applyNumberFormat="0" applyBorder="0" applyAlignment="0" applyProtection="0"/>
    <xf numFmtId="0" fontId="40" fillId="11" borderId="0" applyNumberFormat="0" applyBorder="0" applyAlignment="0" applyProtection="0"/>
    <xf numFmtId="0" fontId="104" fillId="20" borderId="0" applyNumberFormat="0" applyBorder="0" applyAlignment="0" applyProtection="0"/>
    <xf numFmtId="0" fontId="40" fillId="7" borderId="0" applyNumberFormat="0" applyBorder="0" applyAlignment="0" applyProtection="0"/>
    <xf numFmtId="0" fontId="105" fillId="21" borderId="0" applyNumberFormat="0" applyBorder="0" applyAlignment="0" applyProtection="0"/>
    <xf numFmtId="0" fontId="59" fillId="11" borderId="0" applyNumberFormat="0" applyBorder="0" applyAlignment="0" applyProtection="0"/>
    <xf numFmtId="0" fontId="105" fillId="22" borderId="0" applyNumberFormat="0" applyBorder="0" applyAlignment="0" applyProtection="0"/>
    <xf numFmtId="0" fontId="59" fillId="23" borderId="0" applyNumberFormat="0" applyBorder="0" applyAlignment="0" applyProtection="0"/>
    <xf numFmtId="0" fontId="105" fillId="24" borderId="0" applyNumberFormat="0" applyBorder="0" applyAlignment="0" applyProtection="0"/>
    <xf numFmtId="0" fontId="59" fillId="25" borderId="0" applyNumberFormat="0" applyBorder="0" applyAlignment="0" applyProtection="0"/>
    <xf numFmtId="0" fontId="105" fillId="26" borderId="0" applyNumberFormat="0" applyBorder="0" applyAlignment="0" applyProtection="0"/>
    <xf numFmtId="0" fontId="59" fillId="18" borderId="0" applyNumberFormat="0" applyBorder="0" applyAlignment="0" applyProtection="0"/>
    <xf numFmtId="0" fontId="105" fillId="27" borderId="0" applyNumberFormat="0" applyBorder="0" applyAlignment="0" applyProtection="0"/>
    <xf numFmtId="0" fontId="59" fillId="11" borderId="0" applyNumberFormat="0" applyBorder="0" applyAlignment="0" applyProtection="0"/>
    <xf numFmtId="0" fontId="105" fillId="28" borderId="0" applyNumberFormat="0" applyBorder="0" applyAlignment="0" applyProtection="0"/>
    <xf numFmtId="0" fontId="59" fillId="5" borderId="0" applyNumberFormat="0" applyBorder="0" applyAlignment="0" applyProtection="0"/>
    <xf numFmtId="0" fontId="106" fillId="29" borderId="1" applyNumberFormat="0" applyAlignment="0" applyProtection="0"/>
    <xf numFmtId="0" fontId="60" fillId="16" borderId="2" applyNumberFormat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3" applyNumberFormat="0" applyFill="0" applyAlignment="0" applyProtection="0"/>
    <xf numFmtId="0" fontId="61" fillId="0" borderId="4" applyNumberFormat="0" applyFill="0" applyAlignment="0" applyProtection="0"/>
    <xf numFmtId="0" fontId="109" fillId="0" borderId="5" applyNumberFormat="0" applyFill="0" applyAlignment="0" applyProtection="0"/>
    <xf numFmtId="0" fontId="62" fillId="0" borderId="6" applyNumberFormat="0" applyFill="0" applyAlignment="0" applyProtection="0"/>
    <xf numFmtId="0" fontId="110" fillId="0" borderId="7" applyNumberFormat="0" applyFill="0" applyAlignment="0" applyProtection="0"/>
    <xf numFmtId="0" fontId="63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" fontId="51" fillId="0" borderId="0" applyFont="0" applyFill="0" applyBorder="0" applyAlignment="0">
      <protection locked="0"/>
    </xf>
    <xf numFmtId="0" fontId="111" fillId="30" borderId="9" applyNumberFormat="0" applyAlignment="0" applyProtection="0"/>
    <xf numFmtId="0" fontId="64" fillId="31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1" applyNumberFormat="0" applyFill="0" applyAlignment="0" applyProtection="0"/>
    <xf numFmtId="0" fontId="65" fillId="0" borderId="12" applyNumberFormat="0" applyFill="0" applyAlignment="0" applyProtection="0"/>
    <xf numFmtId="0" fontId="0" fillId="32" borderId="13" applyNumberFormat="0" applyFont="0" applyAlignment="0" applyProtection="0"/>
    <xf numFmtId="0" fontId="0" fillId="7" borderId="14" applyNumberFormat="0" applyFont="0" applyAlignment="0" applyProtection="0"/>
    <xf numFmtId="0" fontId="59" fillId="33" borderId="0" applyNumberFormat="0" applyBorder="0" applyAlignment="0" applyProtection="0"/>
    <xf numFmtId="0" fontId="59" fillId="23" borderId="0" applyNumberFormat="0" applyBorder="0" applyAlignment="0" applyProtection="0"/>
    <xf numFmtId="0" fontId="59" fillId="25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8" borderId="0" applyNumberFormat="0" applyBorder="0" applyAlignment="0" applyProtection="0"/>
    <xf numFmtId="0" fontId="105" fillId="39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2" borderId="0" applyNumberFormat="0" applyBorder="0" applyAlignment="0" applyProtection="0"/>
    <xf numFmtId="0" fontId="115" fillId="43" borderId="0" applyNumberFormat="0" applyBorder="0" applyAlignment="0" applyProtection="0"/>
    <xf numFmtId="0" fontId="66" fillId="11" borderId="0" applyNumberFormat="0" applyBorder="0" applyAlignment="0" applyProtection="0"/>
    <xf numFmtId="0" fontId="116" fillId="44" borderId="15" applyNumberFormat="0" applyAlignment="0" applyProtection="0"/>
    <xf numFmtId="0" fontId="67" fillId="45" borderId="16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0" fillId="0" borderId="17" applyNumberFormat="0" applyFill="0" applyAlignment="0" applyProtection="0"/>
    <xf numFmtId="0" fontId="5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46" borderId="0" applyNumberFormat="0" applyBorder="0" applyAlignment="0" applyProtection="0"/>
    <xf numFmtId="0" fontId="69" fillId="47" borderId="0" applyNumberFormat="0" applyBorder="0" applyAlignment="0" applyProtection="0"/>
    <xf numFmtId="0" fontId="122" fillId="48" borderId="0" applyNumberFormat="0" applyBorder="0" applyAlignment="0" applyProtection="0"/>
    <xf numFmtId="0" fontId="70" fillId="16" borderId="0" applyNumberFormat="0" applyBorder="0" applyAlignment="0" applyProtection="0"/>
    <xf numFmtId="0" fontId="123" fillId="44" borderId="1" applyNumberFormat="0" applyAlignment="0" applyProtection="0"/>
    <xf numFmtId="0" fontId="71" fillId="45" borderId="2" applyNumberFormat="0" applyAlignment="0" applyProtection="0"/>
    <xf numFmtId="9" fontId="0" fillId="0" borderId="0" applyFont="0" applyFill="0" applyBorder="0" applyAlignment="0" applyProtection="0"/>
  </cellStyleXfs>
  <cellXfs count="19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49" borderId="19" xfId="0" applyFont="1" applyFill="1" applyBorder="1" applyAlignment="1">
      <alignment/>
    </xf>
    <xf numFmtId="0" fontId="16" fillId="49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9" fillId="50" borderId="28" xfId="0" applyFont="1" applyFill="1" applyBorder="1" applyAlignment="1">
      <alignment horizontal="center"/>
    </xf>
    <xf numFmtId="0" fontId="19" fillId="5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50" borderId="0" xfId="0" applyFill="1" applyAlignment="1">
      <alignment/>
    </xf>
    <xf numFmtId="0" fontId="2" fillId="45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Continuous"/>
    </xf>
    <xf numFmtId="0" fontId="18" fillId="45" borderId="0" xfId="0" applyFont="1" applyFill="1" applyAlignment="1">
      <alignment horizontal="centerContinuous"/>
    </xf>
    <xf numFmtId="0" fontId="18" fillId="45" borderId="30" xfId="0" applyFont="1" applyFill="1" applyBorder="1" applyAlignment="1" applyProtection="1">
      <alignment horizontal="left" vertical="center"/>
      <protection locked="0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19" fillId="50" borderId="24" xfId="0" applyFont="1" applyFill="1" applyBorder="1" applyAlignment="1">
      <alignment horizontal="center" vertical="center" wrapText="1"/>
    </xf>
    <xf numFmtId="0" fontId="19" fillId="50" borderId="25" xfId="0" applyFont="1" applyFill="1" applyBorder="1" applyAlignment="1">
      <alignment horizontal="centerContinuous" vertical="center" wrapText="1"/>
    </xf>
    <xf numFmtId="0" fontId="19" fillId="50" borderId="2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8" fillId="0" borderId="31" xfId="0" applyFont="1" applyBorder="1" applyAlignment="1">
      <alignment horizontal="centerContinuous" vertical="center"/>
    </xf>
    <xf numFmtId="0" fontId="13" fillId="0" borderId="32" xfId="0" applyFont="1" applyBorder="1" applyAlignment="1">
      <alignment horizontal="centerContinuous" vertical="center"/>
    </xf>
    <xf numFmtId="0" fontId="30" fillId="0" borderId="0" xfId="0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/>
    </xf>
    <xf numFmtId="0" fontId="27" fillId="5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1" borderId="33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45" borderId="34" xfId="0" applyFont="1" applyFill="1" applyBorder="1" applyAlignment="1">
      <alignment horizontal="center" vertical="center" wrapText="1"/>
    </xf>
    <xf numFmtId="3" fontId="12" fillId="45" borderId="35" xfId="0" applyNumberFormat="1" applyFont="1" applyFill="1" applyBorder="1" applyAlignment="1">
      <alignment horizontal="right" vertical="center"/>
    </xf>
    <xf numFmtId="3" fontId="12" fillId="45" borderId="36" xfId="0" applyNumberFormat="1" applyFont="1" applyFill="1" applyBorder="1" applyAlignment="1">
      <alignment horizontal="right" vertical="center"/>
    </xf>
    <xf numFmtId="3" fontId="12" fillId="51" borderId="36" xfId="0" applyNumberFormat="1" applyFont="1" applyFill="1" applyBorder="1" applyAlignment="1">
      <alignment horizontal="right" vertical="center"/>
    </xf>
    <xf numFmtId="3" fontId="12" fillId="45" borderId="35" xfId="0" applyNumberFormat="1" applyFont="1" applyFill="1" applyBorder="1" applyAlignment="1">
      <alignment horizontal="right" vertical="center"/>
    </xf>
    <xf numFmtId="3" fontId="18" fillId="45" borderId="35" xfId="0" applyNumberFormat="1" applyFont="1" applyFill="1" applyBorder="1" applyAlignment="1">
      <alignment horizontal="right" vertical="center"/>
    </xf>
    <xf numFmtId="3" fontId="18" fillId="45" borderId="36" xfId="0" applyNumberFormat="1" applyFont="1" applyFill="1" applyBorder="1" applyAlignment="1">
      <alignment horizontal="right" vertical="center"/>
    </xf>
    <xf numFmtId="3" fontId="18" fillId="51" borderId="35" xfId="0" applyNumberFormat="1" applyFont="1" applyFill="1" applyBorder="1" applyAlignment="1">
      <alignment horizontal="right" vertical="center"/>
    </xf>
    <xf numFmtId="3" fontId="18" fillId="51" borderId="36" xfId="0" applyNumberFormat="1" applyFont="1" applyFill="1" applyBorder="1" applyAlignment="1">
      <alignment horizontal="right" vertical="center"/>
    </xf>
    <xf numFmtId="0" fontId="24" fillId="45" borderId="37" xfId="0" applyFont="1" applyFill="1" applyBorder="1" applyAlignment="1">
      <alignment/>
    </xf>
    <xf numFmtId="0" fontId="24" fillId="45" borderId="38" xfId="0" applyFont="1" applyFill="1" applyBorder="1" applyAlignment="1">
      <alignment/>
    </xf>
    <xf numFmtId="0" fontId="18" fillId="51" borderId="37" xfId="0" applyFont="1" applyFill="1" applyBorder="1" applyAlignment="1">
      <alignment horizontal="center" vertical="center"/>
    </xf>
    <xf numFmtId="0" fontId="18" fillId="51" borderId="38" xfId="0" applyFont="1" applyFill="1" applyBorder="1" applyAlignment="1">
      <alignment horizontal="center" vertical="center"/>
    </xf>
    <xf numFmtId="0" fontId="15" fillId="50" borderId="39" xfId="0" applyFont="1" applyFill="1" applyBorder="1" applyAlignment="1">
      <alignment/>
    </xf>
    <xf numFmtId="0" fontId="19" fillId="50" borderId="40" xfId="0" applyFont="1" applyFill="1" applyBorder="1" applyAlignment="1" applyProtection="1">
      <alignment horizontal="center" vertical="center"/>
      <protection locked="0"/>
    </xf>
    <xf numFmtId="0" fontId="19" fillId="50" borderId="24" xfId="0" applyFont="1" applyFill="1" applyBorder="1" applyAlignment="1">
      <alignment horizontal="center" vertical="center"/>
    </xf>
    <xf numFmtId="0" fontId="21" fillId="45" borderId="39" xfId="0" applyFont="1" applyFill="1" applyBorder="1" applyAlignment="1">
      <alignment horizontal="centerContinuous" vertical="center"/>
    </xf>
    <xf numFmtId="0" fontId="22" fillId="45" borderId="40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3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13" fillId="0" borderId="44" xfId="0" applyFont="1" applyBorder="1" applyAlignment="1">
      <alignment horizontal="centerContinuous" vertical="center"/>
    </xf>
    <xf numFmtId="0" fontId="33" fillId="45" borderId="38" xfId="0" applyFont="1" applyFill="1" applyBorder="1" applyAlignment="1">
      <alignment/>
    </xf>
    <xf numFmtId="0" fontId="33" fillId="45" borderId="37" xfId="0" applyFont="1" applyFill="1" applyBorder="1" applyAlignment="1">
      <alignment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51" borderId="37" xfId="0" applyFont="1" applyFill="1" applyBorder="1" applyAlignment="1">
      <alignment horizontal="center" vertical="center"/>
    </xf>
    <xf numFmtId="0" fontId="12" fillId="51" borderId="33" xfId="0" applyFont="1" applyFill="1" applyBorder="1" applyAlignment="1" applyProtection="1">
      <alignment horizontal="left" vertical="center"/>
      <protection locked="0"/>
    </xf>
    <xf numFmtId="0" fontId="18" fillId="51" borderId="33" xfId="0" applyFont="1" applyFill="1" applyBorder="1" applyAlignment="1" applyProtection="1">
      <alignment horizontal="left" vertical="center"/>
      <protection locked="0"/>
    </xf>
    <xf numFmtId="3" fontId="12" fillId="51" borderId="36" xfId="0" applyNumberFormat="1" applyFont="1" applyFill="1" applyBorder="1" applyAlignment="1">
      <alignment horizontal="right" vertical="center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3" fontId="12" fillId="53" borderId="2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8" fillId="0" borderId="41" xfId="0" applyFont="1" applyFill="1" applyBorder="1" applyAlignment="1">
      <alignment horizontal="centerContinuous" vertical="center"/>
    </xf>
    <xf numFmtId="0" fontId="6" fillId="0" borderId="42" xfId="0" applyFont="1" applyFill="1" applyBorder="1" applyAlignment="1" applyProtection="1">
      <alignment horizontal="centerContinuous" vertical="center"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2" fillId="54" borderId="24" xfId="0" applyNumberFormat="1" applyFont="1" applyFill="1" applyBorder="1" applyAlignment="1">
      <alignment horizontal="right" vertical="center"/>
    </xf>
    <xf numFmtId="3" fontId="12" fillId="54" borderId="45" xfId="0" applyNumberFormat="1" applyFont="1" applyFill="1" applyBorder="1" applyAlignment="1">
      <alignment vertical="center"/>
    </xf>
    <xf numFmtId="3" fontId="35" fillId="0" borderId="0" xfId="0" applyNumberFormat="1" applyFont="1" applyAlignment="1">
      <alignment/>
    </xf>
    <xf numFmtId="0" fontId="18" fillId="45" borderId="30" xfId="0" applyFont="1" applyFill="1" applyBorder="1" applyAlignment="1" applyProtection="1">
      <alignment horizontal="left" vertical="center"/>
      <protection locked="0"/>
    </xf>
    <xf numFmtId="3" fontId="18" fillId="45" borderId="36" xfId="0" applyNumberFormat="1" applyFont="1" applyFill="1" applyBorder="1" applyAlignment="1">
      <alignment horizontal="right" vertical="center"/>
    </xf>
    <xf numFmtId="0" fontId="12" fillId="53" borderId="24" xfId="0" applyFont="1" applyFill="1" applyBorder="1" applyAlignment="1">
      <alignment horizontal="center" vertical="center"/>
    </xf>
    <xf numFmtId="0" fontId="12" fillId="53" borderId="46" xfId="0" applyFont="1" applyFill="1" applyBorder="1" applyAlignment="1" applyProtection="1">
      <alignment horizontal="left" vertical="center"/>
      <protection locked="0"/>
    </xf>
    <xf numFmtId="0" fontId="12" fillId="55" borderId="24" xfId="0" applyFont="1" applyFill="1" applyBorder="1" applyAlignment="1">
      <alignment horizontal="center" vertical="center"/>
    </xf>
    <xf numFmtId="0" fontId="12" fillId="55" borderId="46" xfId="0" applyFont="1" applyFill="1" applyBorder="1" applyAlignment="1" applyProtection="1">
      <alignment horizontal="left" vertical="center"/>
      <protection locked="0"/>
    </xf>
    <xf numFmtId="3" fontId="12" fillId="55" borderId="24" xfId="0" applyNumberFormat="1" applyFont="1" applyFill="1" applyBorder="1" applyAlignment="1">
      <alignment horizontal="right" vertical="center"/>
    </xf>
    <xf numFmtId="0" fontId="12" fillId="56" borderId="24" xfId="0" applyFont="1" applyFill="1" applyBorder="1" applyAlignment="1">
      <alignment horizontal="center" vertical="center"/>
    </xf>
    <xf numFmtId="0" fontId="12" fillId="56" borderId="39" xfId="0" applyFont="1" applyFill="1" applyBorder="1" applyAlignment="1" applyProtection="1">
      <alignment horizontal="left" vertical="center"/>
      <protection locked="0"/>
    </xf>
    <xf numFmtId="3" fontId="12" fillId="56" borderId="24" xfId="0" applyNumberFormat="1" applyFont="1" applyFill="1" applyBorder="1" applyAlignment="1">
      <alignment horizontal="right" vertical="center"/>
    </xf>
    <xf numFmtId="0" fontId="12" fillId="56" borderId="46" xfId="0" applyFont="1" applyFill="1" applyBorder="1" applyAlignment="1" applyProtection="1">
      <alignment horizontal="left" vertical="center"/>
      <protection locked="0"/>
    </xf>
    <xf numFmtId="0" fontId="11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centerContinuous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3" fillId="45" borderId="40" xfId="0" applyFont="1" applyFill="1" applyBorder="1" applyAlignment="1">
      <alignment horizontal="center" vertical="center" wrapText="1"/>
    </xf>
    <xf numFmtId="0" fontId="19" fillId="50" borderId="47" xfId="0" applyFont="1" applyFill="1" applyBorder="1" applyAlignment="1">
      <alignment horizontal="center"/>
    </xf>
    <xf numFmtId="3" fontId="19" fillId="50" borderId="19" xfId="0" applyNumberFormat="1" applyFont="1" applyFill="1" applyBorder="1" applyAlignment="1">
      <alignment horizontal="center"/>
    </xf>
    <xf numFmtId="0" fontId="19" fillId="50" borderId="48" xfId="0" applyFont="1" applyFill="1" applyBorder="1" applyAlignment="1">
      <alignment horizontal="center" vertical="center" wrapText="1"/>
    </xf>
    <xf numFmtId="0" fontId="12" fillId="54" borderId="4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3" fontId="12" fillId="45" borderId="36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0" xfId="105">
      <alignment/>
      <protection/>
    </xf>
    <xf numFmtId="0" fontId="18" fillId="0" borderId="0" xfId="105" applyFont="1">
      <alignment/>
      <protection/>
    </xf>
    <xf numFmtId="0" fontId="8" fillId="0" borderId="0" xfId="105" applyFont="1">
      <alignment/>
      <protection/>
    </xf>
    <xf numFmtId="0" fontId="4" fillId="0" borderId="0" xfId="105" applyFont="1">
      <alignment/>
      <protection/>
    </xf>
    <xf numFmtId="0" fontId="8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45" borderId="35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2" fontId="8" fillId="0" borderId="60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2" fontId="8" fillId="0" borderId="62" xfId="0" applyNumberFormat="1" applyFont="1" applyBorder="1" applyAlignment="1">
      <alignment vertical="center"/>
    </xf>
    <xf numFmtId="2" fontId="8" fillId="0" borderId="6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7" fillId="0" borderId="27" xfId="0" applyNumberFormat="1" applyFont="1" applyFill="1" applyBorder="1" applyAlignment="1">
      <alignment horizontal="right" vertical="center"/>
    </xf>
    <xf numFmtId="3" fontId="17" fillId="45" borderId="27" xfId="0" applyNumberFormat="1" applyFont="1" applyFill="1" applyBorder="1" applyAlignment="1">
      <alignment horizontal="right" vertical="center"/>
    </xf>
    <xf numFmtId="3" fontId="17" fillId="0" borderId="27" xfId="0" applyNumberFormat="1" applyFont="1" applyFill="1" applyBorder="1" applyAlignment="1">
      <alignment horizontal="right" vertical="center"/>
    </xf>
    <xf numFmtId="0" fontId="34" fillId="0" borderId="0" xfId="108">
      <alignment/>
      <protection/>
    </xf>
    <xf numFmtId="0" fontId="34" fillId="0" borderId="0" xfId="108" applyAlignment="1">
      <alignment vertical="center"/>
      <protection/>
    </xf>
    <xf numFmtId="0" fontId="0" fillId="0" borderId="0" xfId="105" applyAlignment="1">
      <alignment vertical="center"/>
      <protection/>
    </xf>
    <xf numFmtId="0" fontId="2" fillId="0" borderId="0" xfId="105" applyFont="1" applyFill="1" applyAlignment="1">
      <alignment horizontal="center" vertical="center"/>
      <protection/>
    </xf>
    <xf numFmtId="0" fontId="0" fillId="0" borderId="0" xfId="105" applyFill="1" applyAlignment="1">
      <alignment vertical="center"/>
      <protection/>
    </xf>
    <xf numFmtId="0" fontId="0" fillId="0" borderId="0" xfId="105" applyFont="1" applyFill="1" applyAlignment="1">
      <alignment vertical="center"/>
      <protection/>
    </xf>
    <xf numFmtId="3" fontId="4" fillId="0" borderId="0" xfId="105" applyNumberFormat="1" applyFont="1" applyAlignment="1">
      <alignment horizontal="right" vertical="center"/>
      <protection/>
    </xf>
    <xf numFmtId="3" fontId="15" fillId="0" borderId="0" xfId="100" applyNumberFormat="1" applyFont="1" applyAlignment="1">
      <alignment horizontal="right" vertical="center"/>
      <protection/>
    </xf>
    <xf numFmtId="0" fontId="12" fillId="0" borderId="0" xfId="105" applyFont="1" applyFill="1" applyBorder="1" applyAlignment="1">
      <alignment horizontal="center" vertical="center"/>
      <protection/>
    </xf>
    <xf numFmtId="0" fontId="18" fillId="0" borderId="0" xfId="105" applyFont="1" applyFill="1" applyBorder="1" applyAlignment="1">
      <alignment vertical="center"/>
      <protection/>
    </xf>
    <xf numFmtId="0" fontId="18" fillId="0" borderId="0" xfId="107" applyFont="1" applyBorder="1" applyAlignment="1">
      <alignment horizontal="right" vertical="center"/>
      <protection/>
    </xf>
    <xf numFmtId="3" fontId="12" fillId="0" borderId="0" xfId="105" applyNumberFormat="1" applyFont="1" applyAlignment="1">
      <alignment vertical="center"/>
      <protection/>
    </xf>
    <xf numFmtId="0" fontId="4" fillId="0" borderId="0" xfId="105" applyFont="1" applyAlignment="1">
      <alignment vertical="center"/>
      <protection/>
    </xf>
    <xf numFmtId="0" fontId="34" fillId="0" borderId="0" xfId="108" applyAlignment="1">
      <alignment horizontal="center" vertical="center"/>
      <protection/>
    </xf>
    <xf numFmtId="0" fontId="41" fillId="54" borderId="24" xfId="0" applyFont="1" applyFill="1" applyBorder="1" applyAlignment="1" applyProtection="1">
      <alignment horizontal="right" vertical="center"/>
      <protection locked="0"/>
    </xf>
    <xf numFmtId="0" fontId="15" fillId="0" borderId="0" xfId="99" applyFont="1" applyAlignment="1">
      <alignment horizontal="right" vertical="center"/>
      <protection/>
    </xf>
    <xf numFmtId="0" fontId="2" fillId="54" borderId="64" xfId="0" applyFont="1" applyFill="1" applyBorder="1" applyAlignment="1">
      <alignment horizontal="center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2" fillId="51" borderId="35" xfId="0" applyNumberFormat="1" applyFont="1" applyFill="1" applyBorder="1" applyAlignment="1">
      <alignment horizontal="right" vertical="center"/>
    </xf>
    <xf numFmtId="3" fontId="8" fillId="0" borderId="65" xfId="0" applyNumberFormat="1" applyFont="1" applyBorder="1" applyAlignment="1">
      <alignment vertical="center"/>
    </xf>
    <xf numFmtId="4" fontId="8" fillId="0" borderId="66" xfId="0" applyNumberFormat="1" applyFont="1" applyBorder="1" applyAlignment="1">
      <alignment vertical="center"/>
    </xf>
    <xf numFmtId="4" fontId="8" fillId="0" borderId="67" xfId="0" applyNumberFormat="1" applyFont="1" applyBorder="1" applyAlignment="1">
      <alignment vertical="center"/>
    </xf>
    <xf numFmtId="4" fontId="8" fillId="0" borderId="68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18" fillId="51" borderId="36" xfId="0" applyNumberFormat="1" applyFont="1" applyFill="1" applyBorder="1" applyAlignment="1">
      <alignment horizontal="right" vertical="center"/>
    </xf>
    <xf numFmtId="0" fontId="34" fillId="0" borderId="0" xfId="108" applyFont="1">
      <alignment/>
      <protection/>
    </xf>
    <xf numFmtId="0" fontId="34" fillId="0" borderId="0" xfId="108" applyFont="1">
      <alignment/>
      <protection/>
    </xf>
    <xf numFmtId="0" fontId="34" fillId="0" borderId="36" xfId="108" applyFont="1" applyBorder="1" applyAlignment="1">
      <alignment horizontal="center" vertical="center"/>
      <protection/>
    </xf>
    <xf numFmtId="3" fontId="34" fillId="57" borderId="36" xfId="108" applyNumberFormat="1" applyFont="1" applyFill="1" applyBorder="1" applyAlignment="1">
      <alignment vertical="center"/>
      <protection/>
    </xf>
    <xf numFmtId="3" fontId="34" fillId="0" borderId="30" xfId="0" applyNumberFormat="1" applyFont="1" applyFill="1" applyBorder="1" applyAlignment="1">
      <alignment vertical="center"/>
    </xf>
    <xf numFmtId="0" fontId="41" fillId="53" borderId="24" xfId="108" applyFont="1" applyFill="1" applyBorder="1" applyAlignment="1">
      <alignment horizontal="center" vertical="center"/>
      <protection/>
    </xf>
    <xf numFmtId="0" fontId="41" fillId="53" borderId="25" xfId="108" applyFont="1" applyFill="1" applyBorder="1" applyAlignment="1">
      <alignment vertical="center"/>
      <protection/>
    </xf>
    <xf numFmtId="3" fontId="41" fillId="53" borderId="24" xfId="108" applyNumberFormat="1" applyFont="1" applyFill="1" applyBorder="1" applyAlignment="1">
      <alignment vertical="center"/>
      <protection/>
    </xf>
    <xf numFmtId="3" fontId="41" fillId="54" borderId="24" xfId="108" applyNumberFormat="1" applyFont="1" applyFill="1" applyBorder="1" applyAlignment="1">
      <alignment vertical="center"/>
      <protection/>
    </xf>
    <xf numFmtId="3" fontId="34" fillId="0" borderId="35" xfId="0" applyNumberFormat="1" applyFont="1" applyFill="1" applyBorder="1" applyAlignment="1">
      <alignment horizontal="right" vertical="center"/>
    </xf>
    <xf numFmtId="3" fontId="34" fillId="0" borderId="27" xfId="0" applyNumberFormat="1" applyFont="1" applyFill="1" applyBorder="1" applyAlignment="1">
      <alignment vertical="center"/>
    </xf>
    <xf numFmtId="0" fontId="41" fillId="54" borderId="45" xfId="0" applyFont="1" applyFill="1" applyBorder="1" applyAlignment="1">
      <alignment horizontal="right" vertical="center"/>
    </xf>
    <xf numFmtId="3" fontId="41" fillId="0" borderId="57" xfId="0" applyNumberFormat="1" applyFont="1" applyFill="1" applyBorder="1" applyAlignment="1">
      <alignment horizontal="right" vertical="center"/>
    </xf>
    <xf numFmtId="3" fontId="41" fillId="54" borderId="24" xfId="0" applyNumberFormat="1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vertical="center"/>
    </xf>
    <xf numFmtId="3" fontId="34" fillId="0" borderId="36" xfId="0" applyNumberFormat="1" applyFont="1" applyFill="1" applyBorder="1" applyAlignment="1">
      <alignment horizontal="right" vertical="center"/>
    </xf>
    <xf numFmtId="3" fontId="41" fillId="0" borderId="36" xfId="0" applyNumberFormat="1" applyFont="1" applyFill="1" applyBorder="1" applyAlignment="1">
      <alignment horizontal="right" vertical="center"/>
    </xf>
    <xf numFmtId="3" fontId="41" fillId="0" borderId="35" xfId="0" applyNumberFormat="1" applyFont="1" applyFill="1" applyBorder="1" applyAlignment="1">
      <alignment horizontal="right" vertical="center"/>
    </xf>
    <xf numFmtId="3" fontId="41" fillId="54" borderId="39" xfId="0" applyNumberFormat="1" applyFont="1" applyFill="1" applyBorder="1" applyAlignment="1">
      <alignment horizontal="right" vertical="center"/>
    </xf>
    <xf numFmtId="3" fontId="34" fillId="0" borderId="51" xfId="0" applyNumberFormat="1" applyFont="1" applyFill="1" applyBorder="1" applyAlignment="1">
      <alignment horizontal="right" vertical="center"/>
    </xf>
    <xf numFmtId="3" fontId="41" fillId="0" borderId="69" xfId="0" applyNumberFormat="1" applyFont="1" applyFill="1" applyBorder="1" applyAlignment="1">
      <alignment horizontal="right" vertical="center"/>
    </xf>
    <xf numFmtId="3" fontId="41" fillId="0" borderId="70" xfId="0" applyNumberFormat="1" applyFont="1" applyFill="1" applyBorder="1" applyAlignment="1">
      <alignment horizontal="right" vertical="center"/>
    </xf>
    <xf numFmtId="0" fontId="41" fillId="54" borderId="25" xfId="0" applyFont="1" applyFill="1" applyBorder="1" applyAlignment="1" applyProtection="1">
      <alignment horizontal="right" vertical="center"/>
      <protection locked="0"/>
    </xf>
    <xf numFmtId="0" fontId="41" fillId="58" borderId="25" xfId="0" applyFont="1" applyFill="1" applyBorder="1" applyAlignment="1" applyProtection="1">
      <alignment horizontal="right" vertical="center"/>
      <protection locked="0"/>
    </xf>
    <xf numFmtId="3" fontId="41" fillId="58" borderId="24" xfId="0" applyNumberFormat="1" applyFont="1" applyFill="1" applyBorder="1" applyAlignment="1">
      <alignment horizontal="right" vertical="center"/>
    </xf>
    <xf numFmtId="0" fontId="34" fillId="0" borderId="71" xfId="0" applyFont="1" applyFill="1" applyBorder="1" applyAlignment="1" applyProtection="1">
      <alignment horizontal="right" vertical="center"/>
      <protection locked="0"/>
    </xf>
    <xf numFmtId="3" fontId="41" fillId="58" borderId="72" xfId="0" applyNumberFormat="1" applyFont="1" applyFill="1" applyBorder="1" applyAlignment="1">
      <alignment horizontal="right" vertical="center"/>
    </xf>
    <xf numFmtId="0" fontId="41" fillId="58" borderId="73" xfId="0" applyFont="1" applyFill="1" applyBorder="1" applyAlignment="1" applyProtection="1">
      <alignment horizontal="right" vertical="center"/>
      <protection locked="0"/>
    </xf>
    <xf numFmtId="3" fontId="41" fillId="58" borderId="74" xfId="0" applyNumberFormat="1" applyFont="1" applyFill="1" applyBorder="1" applyAlignment="1">
      <alignment horizontal="right" vertical="center"/>
    </xf>
    <xf numFmtId="3" fontId="41" fillId="58" borderId="75" xfId="0" applyNumberFormat="1" applyFont="1" applyFill="1" applyBorder="1" applyAlignment="1">
      <alignment horizontal="right" vertical="center"/>
    </xf>
    <xf numFmtId="3" fontId="41" fillId="58" borderId="76" xfId="0" applyNumberFormat="1" applyFont="1" applyFill="1" applyBorder="1" applyAlignment="1">
      <alignment horizontal="right" vertical="center"/>
    </xf>
    <xf numFmtId="0" fontId="41" fillId="54" borderId="77" xfId="0" applyFont="1" applyFill="1" applyBorder="1" applyAlignment="1" applyProtection="1">
      <alignment horizontal="right" vertical="center"/>
      <protection locked="0"/>
    </xf>
    <xf numFmtId="3" fontId="41" fillId="54" borderId="78" xfId="0" applyNumberFormat="1" applyFont="1" applyFill="1" applyBorder="1" applyAlignment="1">
      <alignment horizontal="right" vertical="center"/>
    </xf>
    <xf numFmtId="3" fontId="0" fillId="45" borderId="0" xfId="0" applyNumberFormat="1" applyFill="1" applyAlignment="1">
      <alignment/>
    </xf>
    <xf numFmtId="3" fontId="8" fillId="0" borderId="79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 vertical="center"/>
    </xf>
    <xf numFmtId="3" fontId="0" fillId="45" borderId="0" xfId="0" applyNumberFormat="1" applyFont="1" applyFill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Continuous" vertical="center"/>
    </xf>
    <xf numFmtId="0" fontId="13" fillId="0" borderId="65" xfId="0" applyFont="1" applyBorder="1" applyAlignment="1">
      <alignment horizontal="centerContinuous" vertical="center"/>
    </xf>
    <xf numFmtId="0" fontId="14" fillId="53" borderId="82" xfId="0" applyFont="1" applyFill="1" applyBorder="1" applyAlignment="1">
      <alignment horizontal="centerContinuous" vertical="center" wrapText="1"/>
    </xf>
    <xf numFmtId="0" fontId="8" fillId="53" borderId="28" xfId="0" applyFont="1" applyFill="1" applyBorder="1" applyAlignment="1">
      <alignment horizontal="centerContinuous" vertical="center" wrapText="1"/>
    </xf>
    <xf numFmtId="0" fontId="8" fillId="53" borderId="29" xfId="0" applyFont="1" applyFill="1" applyBorder="1" applyAlignment="1">
      <alignment horizontal="centerContinuous" vertical="center" wrapText="1"/>
    </xf>
    <xf numFmtId="0" fontId="12" fillId="0" borderId="39" xfId="0" applyFont="1" applyBorder="1" applyAlignment="1">
      <alignment horizontal="center" vertical="center" wrapText="1"/>
    </xf>
    <xf numFmtId="3" fontId="15" fillId="0" borderId="0" xfId="99" applyNumberFormat="1" applyFont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1" fillId="53" borderId="39" xfId="0" applyFont="1" applyFill="1" applyBorder="1" applyAlignment="1">
      <alignment horizontal="center" vertical="center"/>
    </xf>
    <xf numFmtId="0" fontId="41" fillId="54" borderId="39" xfId="0" applyFont="1" applyFill="1" applyBorder="1" applyAlignment="1">
      <alignment horizontal="center" vertical="center"/>
    </xf>
    <xf numFmtId="3" fontId="8" fillId="0" borderId="83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44" xfId="0" applyFont="1" applyFill="1" applyBorder="1" applyAlignment="1">
      <alignment horizontal="centerContinuous" vertical="center" wrapText="1"/>
    </xf>
    <xf numFmtId="0" fontId="13" fillId="0" borderId="81" xfId="0" applyFont="1" applyFill="1" applyBorder="1" applyAlignment="1">
      <alignment horizontal="centerContinuous" vertical="center" wrapText="1"/>
    </xf>
    <xf numFmtId="0" fontId="12" fillId="0" borderId="81" xfId="0" applyFont="1" applyFill="1" applyBorder="1" applyAlignment="1">
      <alignment horizontal="centerContinuous" vertical="center" wrapText="1"/>
    </xf>
    <xf numFmtId="0" fontId="41" fillId="9" borderId="72" xfId="0" applyFont="1" applyFill="1" applyBorder="1" applyAlignment="1" applyProtection="1">
      <alignment horizontal="right" vertical="center"/>
      <protection locked="0"/>
    </xf>
    <xf numFmtId="0" fontId="12" fillId="9" borderId="74" xfId="0" applyFont="1" applyFill="1" applyBorder="1" applyAlignment="1">
      <alignment horizontal="center" vertical="center"/>
    </xf>
    <xf numFmtId="0" fontId="41" fillId="9" borderId="75" xfId="0" applyFont="1" applyFill="1" applyBorder="1" applyAlignment="1" applyProtection="1">
      <alignment horizontal="right" vertical="center"/>
      <protection locked="0"/>
    </xf>
    <xf numFmtId="3" fontId="12" fillId="9" borderId="75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34" fillId="0" borderId="36" xfId="102" applyNumberFormat="1" applyFont="1" applyBorder="1" applyAlignment="1">
      <alignment vertical="center"/>
    </xf>
    <xf numFmtId="0" fontId="12" fillId="53" borderId="39" xfId="0" applyFont="1" applyFill="1" applyBorder="1" applyAlignment="1">
      <alignment horizontal="center" vertical="center"/>
    </xf>
    <xf numFmtId="0" fontId="41" fillId="53" borderId="24" xfId="102" applyFont="1" applyFill="1" applyBorder="1" applyAlignment="1">
      <alignment vertical="center"/>
    </xf>
    <xf numFmtId="3" fontId="12" fillId="53" borderId="24" xfId="102" applyNumberFormat="1" applyFont="1" applyFill="1" applyBorder="1" applyAlignment="1">
      <alignment vertical="center"/>
    </xf>
    <xf numFmtId="0" fontId="2" fillId="9" borderId="85" xfId="0" applyFont="1" applyFill="1" applyBorder="1" applyAlignment="1">
      <alignment horizontal="center" vertical="center"/>
    </xf>
    <xf numFmtId="3" fontId="12" fillId="9" borderId="86" xfId="0" applyNumberFormat="1" applyFont="1" applyFill="1" applyBorder="1" applyAlignment="1">
      <alignment vertical="center"/>
    </xf>
    <xf numFmtId="0" fontId="0" fillId="45" borderId="0" xfId="0" applyFill="1" applyAlignment="1">
      <alignment vertical="center"/>
    </xf>
    <xf numFmtId="0" fontId="2" fillId="45" borderId="0" xfId="0" applyFont="1" applyFill="1" applyAlignment="1">
      <alignment vertical="center"/>
    </xf>
    <xf numFmtId="3" fontId="41" fillId="45" borderId="57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41" fillId="54" borderId="39" xfId="0" applyFont="1" applyFill="1" applyBorder="1" applyAlignment="1">
      <alignment horizontal="right" vertical="center"/>
    </xf>
    <xf numFmtId="0" fontId="41" fillId="54" borderId="24" xfId="0" applyFont="1" applyFill="1" applyBorder="1" applyAlignment="1">
      <alignment horizontal="right" vertical="center"/>
    </xf>
    <xf numFmtId="3" fontId="34" fillId="45" borderId="35" xfId="0" applyNumberFormat="1" applyFont="1" applyFill="1" applyBorder="1" applyAlignment="1">
      <alignment horizontal="right" vertical="center"/>
    </xf>
    <xf numFmtId="0" fontId="41" fillId="0" borderId="52" xfId="0" applyFont="1" applyFill="1" applyBorder="1" applyAlignment="1">
      <alignment horizontal="center" vertical="center"/>
    </xf>
    <xf numFmtId="0" fontId="34" fillId="0" borderId="36" xfId="102" applyFont="1" applyBorder="1" applyAlignment="1">
      <alignment vertical="center"/>
    </xf>
    <xf numFmtId="3" fontId="34" fillId="45" borderId="36" xfId="0" applyNumberFormat="1" applyFont="1" applyFill="1" applyBorder="1" applyAlignment="1">
      <alignment horizontal="right" vertical="center"/>
    </xf>
    <xf numFmtId="3" fontId="41" fillId="45" borderId="36" xfId="0" applyNumberFormat="1" applyFont="1" applyFill="1" applyBorder="1" applyAlignment="1">
      <alignment horizontal="right" vertical="center"/>
    </xf>
    <xf numFmtId="3" fontId="34" fillId="0" borderId="35" xfId="102" applyNumberFormat="1" applyFont="1" applyBorder="1" applyAlignment="1">
      <alignment vertical="center"/>
    </xf>
    <xf numFmtId="3" fontId="41" fillId="45" borderId="35" xfId="0" applyNumberFormat="1" applyFont="1" applyFill="1" applyBorder="1" applyAlignment="1">
      <alignment horizontal="right" vertical="center"/>
    </xf>
    <xf numFmtId="3" fontId="41" fillId="53" borderId="24" xfId="102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58" borderId="85" xfId="0" applyFont="1" applyFill="1" applyBorder="1" applyAlignment="1">
      <alignment horizontal="center" vertical="center"/>
    </xf>
    <xf numFmtId="0" fontId="41" fillId="58" borderId="72" xfId="0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Alignment="1">
      <alignment vertical="center"/>
    </xf>
    <xf numFmtId="0" fontId="41" fillId="0" borderId="5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34" xfId="0" applyFont="1" applyBorder="1" applyAlignment="1">
      <alignment horizontal="center" vertical="center" wrapText="1"/>
    </xf>
    <xf numFmtId="0" fontId="19" fillId="50" borderId="34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12" fillId="45" borderId="34" xfId="0" applyFont="1" applyFill="1" applyBorder="1" applyAlignment="1">
      <alignment vertical="center"/>
    </xf>
    <xf numFmtId="0" fontId="41" fillId="53" borderId="24" xfId="0" applyFont="1" applyFill="1" applyBorder="1" applyAlignment="1">
      <alignment horizontal="center" vertical="center"/>
    </xf>
    <xf numFmtId="0" fontId="34" fillId="0" borderId="35" xfId="108" applyFont="1" applyBorder="1" applyAlignment="1">
      <alignment horizontal="center" vertical="center"/>
      <protection/>
    </xf>
    <xf numFmtId="3" fontId="41" fillId="53" borderId="40" xfId="108" applyNumberFormat="1" applyFont="1" applyFill="1" applyBorder="1" applyAlignment="1">
      <alignment vertical="center"/>
      <protection/>
    </xf>
    <xf numFmtId="3" fontId="41" fillId="54" borderId="40" xfId="108" applyNumberFormat="1" applyFont="1" applyFill="1" applyBorder="1" applyAlignment="1">
      <alignment vertical="center"/>
      <protection/>
    </xf>
    <xf numFmtId="3" fontId="41" fillId="53" borderId="82" xfId="108" applyNumberFormat="1" applyFont="1" applyFill="1" applyBorder="1" applyAlignment="1">
      <alignment vertical="center"/>
      <protection/>
    </xf>
    <xf numFmtId="3" fontId="41" fillId="54" borderId="82" xfId="108" applyNumberFormat="1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0" fillId="45" borderId="0" xfId="0" applyFill="1" applyAlignment="1">
      <alignment horizontal="center"/>
    </xf>
    <xf numFmtId="0" fontId="0" fillId="45" borderId="0" xfId="0" applyFill="1" applyAlignment="1">
      <alignment horizontal="right"/>
    </xf>
    <xf numFmtId="0" fontId="2" fillId="0" borderId="0" xfId="105" applyFont="1" applyFill="1" applyAlignment="1">
      <alignment horizontal="center"/>
      <protection/>
    </xf>
    <xf numFmtId="0" fontId="0" fillId="0" borderId="0" xfId="105" applyFill="1">
      <alignment/>
      <protection/>
    </xf>
    <xf numFmtId="3" fontId="2" fillId="0" borderId="0" xfId="105" applyNumberFormat="1" applyFont="1" applyFill="1">
      <alignment/>
      <protection/>
    </xf>
    <xf numFmtId="3" fontId="2" fillId="0" borderId="0" xfId="105" applyNumberFormat="1" applyFont="1">
      <alignment/>
      <protection/>
    </xf>
    <xf numFmtId="0" fontId="2" fillId="0" borderId="0" xfId="105" applyFont="1" applyFill="1">
      <alignment/>
      <protection/>
    </xf>
    <xf numFmtId="3" fontId="13" fillId="0" borderId="82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88" xfId="0" applyNumberFormat="1" applyFont="1" applyBorder="1" applyAlignment="1">
      <alignment vertical="center"/>
    </xf>
    <xf numFmtId="3" fontId="13" fillId="0" borderId="79" xfId="0" applyNumberFormat="1" applyFont="1" applyBorder="1" applyAlignment="1">
      <alignment vertical="center"/>
    </xf>
    <xf numFmtId="3" fontId="13" fillId="0" borderId="89" xfId="0" applyNumberFormat="1" applyFont="1" applyFill="1" applyBorder="1" applyAlignment="1">
      <alignment vertical="center"/>
    </xf>
    <xf numFmtId="0" fontId="41" fillId="54" borderId="24" xfId="0" applyFont="1" applyFill="1" applyBorder="1" applyAlignment="1">
      <alignment horizontal="center" vertical="center"/>
    </xf>
    <xf numFmtId="0" fontId="34" fillId="0" borderId="33" xfId="108" applyFont="1" applyBorder="1" applyAlignment="1">
      <alignment horizontal="left" vertical="center" wrapText="1"/>
      <protection/>
    </xf>
    <xf numFmtId="3" fontId="34" fillId="0" borderId="33" xfId="108" applyNumberFormat="1" applyFont="1" applyBorder="1" applyAlignment="1">
      <alignment vertical="center"/>
      <protection/>
    </xf>
    <xf numFmtId="3" fontId="34" fillId="0" borderId="80" xfId="108" applyNumberFormat="1" applyFont="1" applyBorder="1" applyAlignment="1">
      <alignment vertical="center"/>
      <protection/>
    </xf>
    <xf numFmtId="3" fontId="34" fillId="0" borderId="90" xfId="108" applyNumberFormat="1" applyFont="1" applyBorder="1" applyAlignment="1">
      <alignment vertical="center"/>
      <protection/>
    </xf>
    <xf numFmtId="3" fontId="8" fillId="0" borderId="26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79" xfId="0" applyNumberFormat="1" applyFont="1" applyBorder="1" applyAlignment="1">
      <alignment vertical="center"/>
    </xf>
    <xf numFmtId="3" fontId="8" fillId="49" borderId="5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3" fontId="8" fillId="0" borderId="92" xfId="0" applyNumberFormat="1" applyFont="1" applyBorder="1" applyAlignment="1">
      <alignment vertical="center"/>
    </xf>
    <xf numFmtId="0" fontId="41" fillId="0" borderId="51" xfId="0" applyFont="1" applyFill="1" applyBorder="1" applyAlignment="1">
      <alignment vertical="center"/>
    </xf>
    <xf numFmtId="0" fontId="41" fillId="53" borderId="40" xfId="102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3" fontId="13" fillId="0" borderId="93" xfId="0" applyNumberFormat="1" applyFont="1" applyBorder="1" applyAlignment="1">
      <alignment vertical="center"/>
    </xf>
    <xf numFmtId="3" fontId="13" fillId="0" borderId="82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8" fillId="0" borderId="88" xfId="0" applyNumberFormat="1" applyFont="1" applyBorder="1" applyAlignment="1">
      <alignment vertical="center"/>
    </xf>
    <xf numFmtId="3" fontId="8" fillId="0" borderId="94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13" fillId="45" borderId="24" xfId="0" applyFont="1" applyFill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79" xfId="0" applyNumberFormat="1" applyFont="1" applyBorder="1" applyAlignment="1">
      <alignment vertical="center"/>
    </xf>
    <xf numFmtId="3" fontId="8" fillId="0" borderId="88" xfId="0" applyNumberFormat="1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3" fontId="13" fillId="0" borderId="84" xfId="0" applyNumberFormat="1" applyFont="1" applyBorder="1" applyAlignment="1">
      <alignment vertical="center"/>
    </xf>
    <xf numFmtId="3" fontId="13" fillId="0" borderId="88" xfId="0" applyNumberFormat="1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98" xfId="0" applyNumberFormat="1" applyFont="1" applyBorder="1" applyAlignment="1">
      <alignment vertical="center"/>
    </xf>
    <xf numFmtId="0" fontId="13" fillId="16" borderId="99" xfId="0" applyFont="1" applyFill="1" applyBorder="1" applyAlignment="1">
      <alignment horizontal="center" vertical="center"/>
    </xf>
    <xf numFmtId="3" fontId="13" fillId="16" borderId="100" xfId="0" applyNumberFormat="1" applyFont="1" applyFill="1" applyBorder="1" applyAlignment="1">
      <alignment vertical="center"/>
    </xf>
    <xf numFmtId="3" fontId="13" fillId="16" borderId="63" xfId="0" applyNumberFormat="1" applyFont="1" applyFill="1" applyBorder="1" applyAlignment="1">
      <alignment vertical="center"/>
    </xf>
    <xf numFmtId="0" fontId="13" fillId="16" borderId="101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3" fillId="58" borderId="23" xfId="0" applyFont="1" applyFill="1" applyBorder="1" applyAlignment="1">
      <alignment horizontal="center" vertical="center"/>
    </xf>
    <xf numFmtId="0" fontId="13" fillId="58" borderId="102" xfId="0" applyFont="1" applyFill="1" applyBorder="1" applyAlignment="1">
      <alignment vertical="center"/>
    </xf>
    <xf numFmtId="0" fontId="13" fillId="0" borderId="103" xfId="0" applyFont="1" applyBorder="1" applyAlignment="1">
      <alignment horizontal="center" vertical="center"/>
    </xf>
    <xf numFmtId="0" fontId="13" fillId="0" borderId="103" xfId="0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106" xfId="0" applyNumberFormat="1" applyFont="1" applyBorder="1" applyAlignment="1">
      <alignment vertical="center"/>
    </xf>
    <xf numFmtId="3" fontId="13" fillId="0" borderId="107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49" borderId="98" xfId="0" applyNumberFormat="1" applyFont="1" applyFill="1" applyBorder="1" applyAlignment="1">
      <alignment vertical="center"/>
    </xf>
    <xf numFmtId="3" fontId="13" fillId="16" borderId="108" xfId="0" applyNumberFormat="1" applyFont="1" applyFill="1" applyBorder="1" applyAlignment="1">
      <alignment vertical="center"/>
    </xf>
    <xf numFmtId="3" fontId="13" fillId="16" borderId="109" xfId="0" applyNumberFormat="1" applyFont="1" applyFill="1" applyBorder="1" applyAlignment="1">
      <alignment vertical="center"/>
    </xf>
    <xf numFmtId="3" fontId="13" fillId="16" borderId="101" xfId="0" applyNumberFormat="1" applyFont="1" applyFill="1" applyBorder="1" applyAlignment="1">
      <alignment vertical="center"/>
    </xf>
    <xf numFmtId="0" fontId="13" fillId="16" borderId="99" xfId="0" applyFont="1" applyFill="1" applyBorder="1" applyAlignment="1">
      <alignment vertical="center"/>
    </xf>
    <xf numFmtId="0" fontId="13" fillId="0" borderId="110" xfId="0" applyFont="1" applyBorder="1" applyAlignment="1">
      <alignment horizontal="center" vertical="center"/>
    </xf>
    <xf numFmtId="0" fontId="13" fillId="0" borderId="110" xfId="0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13" fillId="0" borderId="111" xfId="0" applyNumberFormat="1" applyFont="1" applyFill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8" fillId="49" borderId="88" xfId="0" applyNumberFormat="1" applyFont="1" applyFill="1" applyBorder="1" applyAlignment="1">
      <alignment vertical="center"/>
    </xf>
    <xf numFmtId="3" fontId="13" fillId="49" borderId="87" xfId="0" applyNumberFormat="1" applyFont="1" applyFill="1" applyBorder="1" applyAlignment="1">
      <alignment vertical="center"/>
    </xf>
    <xf numFmtId="3" fontId="13" fillId="16" borderId="112" xfId="0" applyNumberFormat="1" applyFont="1" applyFill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16" borderId="66" xfId="0" applyNumberFormat="1" applyFont="1" applyFill="1" applyBorder="1" applyAlignment="1">
      <alignment vertical="center"/>
    </xf>
    <xf numFmtId="3" fontId="13" fillId="16" borderId="67" xfId="0" applyNumberFormat="1" applyFont="1" applyFill="1" applyBorder="1" applyAlignment="1">
      <alignment vertical="center"/>
    </xf>
    <xf numFmtId="3" fontId="13" fillId="16" borderId="68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6" fillId="49" borderId="83" xfId="0" applyFont="1" applyFill="1" applyBorder="1" applyAlignment="1">
      <alignment vertical="center"/>
    </xf>
    <xf numFmtId="0" fontId="16" fillId="49" borderId="54" xfId="0" applyFont="1" applyFill="1" applyBorder="1" applyAlignment="1">
      <alignment vertical="center"/>
    </xf>
    <xf numFmtId="0" fontId="16" fillId="49" borderId="113" xfId="0" applyFont="1" applyFill="1" applyBorder="1" applyAlignment="1">
      <alignment vertical="center"/>
    </xf>
    <xf numFmtId="0" fontId="16" fillId="49" borderId="114" xfId="0" applyFont="1" applyFill="1" applyBorder="1" applyAlignment="1">
      <alignment vertical="center"/>
    </xf>
    <xf numFmtId="0" fontId="16" fillId="49" borderId="11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8" fillId="0" borderId="79" xfId="0" applyNumberFormat="1" applyFont="1" applyFill="1" applyBorder="1" applyAlignment="1">
      <alignment vertical="center"/>
    </xf>
    <xf numFmtId="3" fontId="8" fillId="0" borderId="84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97" xfId="0" applyNumberFormat="1" applyFont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0" fontId="13" fillId="45" borderId="1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13" fillId="0" borderId="84" xfId="0" applyNumberFormat="1" applyFont="1" applyBorder="1" applyAlignment="1">
      <alignment vertical="center"/>
    </xf>
    <xf numFmtId="3" fontId="13" fillId="0" borderId="80" xfId="0" applyNumberFormat="1" applyFont="1" applyFill="1" applyBorder="1" applyAlignment="1">
      <alignment vertical="center"/>
    </xf>
    <xf numFmtId="3" fontId="13" fillId="0" borderId="79" xfId="0" applyNumberFormat="1" applyFont="1" applyFill="1" applyBorder="1" applyAlignment="1">
      <alignment vertical="center"/>
    </xf>
    <xf numFmtId="3" fontId="13" fillId="0" borderId="84" xfId="0" applyNumberFormat="1" applyFont="1" applyFill="1" applyBorder="1" applyAlignment="1">
      <alignment vertical="center"/>
    </xf>
    <xf numFmtId="3" fontId="13" fillId="0" borderId="106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104" xfId="0" applyNumberFormat="1" applyFont="1" applyFill="1" applyBorder="1" applyAlignment="1">
      <alignment vertical="center"/>
    </xf>
    <xf numFmtId="3" fontId="13" fillId="0" borderId="105" xfId="0" applyNumberFormat="1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4" fontId="8" fillId="0" borderId="111" xfId="0" applyNumberFormat="1" applyFont="1" applyBorder="1" applyAlignment="1">
      <alignment vertical="center"/>
    </xf>
    <xf numFmtId="4" fontId="8" fillId="0" borderId="62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4" fontId="8" fillId="0" borderId="66" xfId="0" applyNumberFormat="1" applyFont="1" applyFill="1" applyBorder="1" applyAlignment="1">
      <alignment vertical="center"/>
    </xf>
    <xf numFmtId="4" fontId="8" fillId="0" borderId="61" xfId="0" applyNumberFormat="1" applyFont="1" applyFill="1" applyBorder="1" applyAlignment="1">
      <alignment vertical="center"/>
    </xf>
    <xf numFmtId="4" fontId="8" fillId="0" borderId="6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82" xfId="0" applyFont="1" applyFill="1" applyBorder="1" applyAlignment="1">
      <alignment horizontal="center" vertical="center"/>
    </xf>
    <xf numFmtId="0" fontId="15" fillId="50" borderId="28" xfId="0" applyFont="1" applyFill="1" applyBorder="1" applyAlignment="1">
      <alignment horizontal="center" vertical="center"/>
    </xf>
    <xf numFmtId="0" fontId="15" fillId="50" borderId="93" xfId="0" applyFont="1" applyFill="1" applyBorder="1" applyAlignment="1">
      <alignment horizontal="center" vertical="center"/>
    </xf>
    <xf numFmtId="0" fontId="15" fillId="50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6" fillId="49" borderId="92" xfId="0" applyFont="1" applyFill="1" applyBorder="1" applyAlignment="1">
      <alignment vertical="center"/>
    </xf>
    <xf numFmtId="0" fontId="16" fillId="49" borderId="1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13" fillId="0" borderId="70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8" fillId="0" borderId="105" xfId="0" applyNumberFormat="1" applyFont="1" applyBorder="1" applyAlignment="1">
      <alignment vertical="center"/>
    </xf>
    <xf numFmtId="3" fontId="8" fillId="0" borderId="106" xfId="0" applyNumberFormat="1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3" fontId="13" fillId="0" borderId="107" xfId="0" applyNumberFormat="1" applyFont="1" applyBorder="1" applyAlignment="1">
      <alignment vertical="center"/>
    </xf>
    <xf numFmtId="3" fontId="13" fillId="0" borderId="117" xfId="0" applyNumberFormat="1" applyFont="1" applyBorder="1" applyAlignment="1">
      <alignment vertical="center"/>
    </xf>
    <xf numFmtId="3" fontId="13" fillId="16" borderId="109" xfId="0" applyNumberFormat="1" applyFont="1" applyFill="1" applyBorder="1" applyAlignment="1">
      <alignment vertical="center"/>
    </xf>
    <xf numFmtId="3" fontId="13" fillId="16" borderId="108" xfId="0" applyNumberFormat="1" applyFont="1" applyFill="1" applyBorder="1" applyAlignment="1">
      <alignment vertical="center"/>
    </xf>
    <xf numFmtId="4" fontId="13" fillId="0" borderId="109" xfId="0" applyNumberFormat="1" applyFont="1" applyBorder="1" applyAlignment="1">
      <alignment vertical="center"/>
    </xf>
    <xf numFmtId="4" fontId="13" fillId="0" borderId="100" xfId="0" applyNumberFormat="1" applyFont="1" applyBorder="1" applyAlignment="1">
      <alignment vertical="center"/>
    </xf>
    <xf numFmtId="4" fontId="13" fillId="0" borderId="63" xfId="0" applyNumberFormat="1" applyFont="1" applyBorder="1" applyAlignment="1">
      <alignment vertical="center"/>
    </xf>
    <xf numFmtId="4" fontId="8" fillId="0" borderId="108" xfId="0" applyNumberFormat="1" applyFont="1" applyBorder="1" applyAlignment="1">
      <alignment vertical="center"/>
    </xf>
    <xf numFmtId="4" fontId="13" fillId="0" borderId="112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4" fontId="8" fillId="0" borderId="118" xfId="0" applyNumberFormat="1" applyFont="1" applyBorder="1" applyAlignment="1">
      <alignment vertical="center"/>
    </xf>
    <xf numFmtId="4" fontId="13" fillId="0" borderId="68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51" borderId="38" xfId="0" applyFont="1" applyFill="1" applyBorder="1" applyAlignment="1">
      <alignment horizontal="center" vertical="center"/>
    </xf>
    <xf numFmtId="0" fontId="0" fillId="0" borderId="0" xfId="105" applyFill="1" applyAlignment="1">
      <alignment horizontal="right"/>
      <protection/>
    </xf>
    <xf numFmtId="3" fontId="2" fillId="0" borderId="0" xfId="105" applyNumberFormat="1" applyFont="1" applyFill="1" applyAlignment="1">
      <alignment horizontal="right"/>
      <protection/>
    </xf>
    <xf numFmtId="3" fontId="2" fillId="0" borderId="0" xfId="105" applyNumberFormat="1" applyFont="1" applyAlignment="1">
      <alignment horizontal="right"/>
      <protection/>
    </xf>
    <xf numFmtId="0" fontId="2" fillId="0" borderId="0" xfId="105" applyFont="1" applyFill="1" applyAlignment="1">
      <alignment horizontal="right"/>
      <protection/>
    </xf>
    <xf numFmtId="3" fontId="0" fillId="0" borderId="0" xfId="105" applyNumberFormat="1" applyFill="1" applyAlignment="1">
      <alignment horizontal="right"/>
      <protection/>
    </xf>
    <xf numFmtId="0" fontId="12" fillId="54" borderId="23" xfId="105" applyFont="1" applyFill="1" applyBorder="1" applyAlignment="1">
      <alignment horizontal="center" vertical="center"/>
      <protection/>
    </xf>
    <xf numFmtId="0" fontId="14" fillId="54" borderId="23" xfId="105" applyFont="1" applyFill="1" applyBorder="1" applyAlignment="1">
      <alignment vertical="center"/>
      <protection/>
    </xf>
    <xf numFmtId="3" fontId="14" fillId="54" borderId="23" xfId="105" applyNumberFormat="1" applyFont="1" applyFill="1" applyBorder="1" applyAlignment="1">
      <alignment vertical="center"/>
      <protection/>
    </xf>
    <xf numFmtId="0" fontId="18" fillId="0" borderId="0" xfId="105" applyFont="1" applyAlignment="1">
      <alignment vertical="center"/>
      <protection/>
    </xf>
    <xf numFmtId="0" fontId="0" fillId="0" borderId="0" xfId="105" applyNumberFormat="1" applyFont="1" applyAlignment="1">
      <alignment horizontal="right" vertical="center"/>
      <protection/>
    </xf>
    <xf numFmtId="0" fontId="13" fillId="0" borderId="119" xfId="105" applyFont="1" applyFill="1" applyBorder="1" applyAlignment="1">
      <alignment horizontal="center" vertical="center"/>
      <protection/>
    </xf>
    <xf numFmtId="0" fontId="8" fillId="0" borderId="119" xfId="105" applyFont="1" applyFill="1" applyBorder="1" applyAlignment="1">
      <alignment vertical="center"/>
      <protection/>
    </xf>
    <xf numFmtId="0" fontId="23" fillId="0" borderId="119" xfId="105" applyFont="1" applyFill="1" applyBorder="1" applyAlignment="1">
      <alignment horizontal="right" vertical="center"/>
      <protection/>
    </xf>
    <xf numFmtId="3" fontId="13" fillId="0" borderId="0" xfId="105" applyNumberFormat="1" applyFont="1" applyAlignment="1">
      <alignment vertical="center"/>
      <protection/>
    </xf>
    <xf numFmtId="3" fontId="13" fillId="0" borderId="0" xfId="105" applyNumberFormat="1" applyFont="1" applyAlignment="1">
      <alignment horizontal="right" vertical="center"/>
      <protection/>
    </xf>
    <xf numFmtId="0" fontId="19" fillId="50" borderId="24" xfId="105" applyFont="1" applyFill="1" applyBorder="1" applyAlignment="1">
      <alignment horizontal="center" vertical="center"/>
      <protection/>
    </xf>
    <xf numFmtId="0" fontId="20" fillId="0" borderId="0" xfId="105" applyFont="1" applyFill="1" applyAlignment="1">
      <alignment horizontal="center" vertical="center"/>
      <protection/>
    </xf>
    <xf numFmtId="0" fontId="19" fillId="0" borderId="0" xfId="105" applyFont="1" applyFill="1" applyAlignment="1">
      <alignment horizontal="center" vertical="center"/>
      <protection/>
    </xf>
    <xf numFmtId="0" fontId="12" fillId="0" borderId="50" xfId="105" applyFont="1" applyFill="1" applyBorder="1" applyAlignment="1">
      <alignment horizontal="center" vertical="center"/>
      <protection/>
    </xf>
    <xf numFmtId="3" fontId="14" fillId="58" borderId="35" xfId="105" applyNumberFormat="1" applyFont="1" applyFill="1" applyBorder="1" applyAlignment="1">
      <alignment horizontal="right" vertical="center"/>
      <protection/>
    </xf>
    <xf numFmtId="3" fontId="17" fillId="0" borderId="37" xfId="105" applyNumberFormat="1" applyFont="1" applyFill="1" applyBorder="1" applyAlignment="1">
      <alignment horizontal="right" vertical="center"/>
      <protection/>
    </xf>
    <xf numFmtId="3" fontId="14" fillId="0" borderId="50" xfId="105" applyNumberFormat="1" applyFont="1" applyFill="1" applyBorder="1" applyAlignment="1">
      <alignment horizontal="right" vertical="center"/>
      <protection/>
    </xf>
    <xf numFmtId="3" fontId="14" fillId="58" borderId="36" xfId="105" applyNumberFormat="1" applyFont="1" applyFill="1" applyBorder="1" applyAlignment="1">
      <alignment vertical="center"/>
      <protection/>
    </xf>
    <xf numFmtId="0" fontId="12" fillId="0" borderId="35" xfId="105" applyFont="1" applyFill="1" applyBorder="1" applyAlignment="1">
      <alignment horizontal="center" vertical="center"/>
      <protection/>
    </xf>
    <xf numFmtId="3" fontId="14" fillId="0" borderId="35" xfId="105" applyNumberFormat="1" applyFont="1" applyFill="1" applyBorder="1" applyAlignment="1">
      <alignment horizontal="right" vertical="center"/>
      <protection/>
    </xf>
    <xf numFmtId="3" fontId="14" fillId="0" borderId="35" xfId="105" applyNumberFormat="1" applyFont="1" applyBorder="1" applyAlignment="1">
      <alignment horizontal="right" vertical="center"/>
      <protection/>
    </xf>
    <xf numFmtId="0" fontId="0" fillId="0" borderId="0" xfId="105" applyFont="1" applyAlignment="1">
      <alignment vertical="center"/>
      <protection/>
    </xf>
    <xf numFmtId="0" fontId="12" fillId="0" borderId="55" xfId="105" applyFont="1" applyFill="1" applyBorder="1" applyAlignment="1">
      <alignment vertical="center"/>
      <protection/>
    </xf>
    <xf numFmtId="3" fontId="14" fillId="58" borderId="35" xfId="105" applyNumberFormat="1" applyFont="1" applyFill="1" applyBorder="1" applyAlignment="1">
      <alignment vertical="center"/>
      <protection/>
    </xf>
    <xf numFmtId="0" fontId="12" fillId="0" borderId="51" xfId="105" applyFont="1" applyFill="1" applyBorder="1" applyAlignment="1">
      <alignment vertical="center"/>
      <protection/>
    </xf>
    <xf numFmtId="0" fontId="12" fillId="53" borderId="24" xfId="105" applyFont="1" applyFill="1" applyBorder="1" applyAlignment="1">
      <alignment horizontal="center" vertical="center"/>
      <protection/>
    </xf>
    <xf numFmtId="0" fontId="12" fillId="53" borderId="24" xfId="105" applyFont="1" applyFill="1" applyBorder="1" applyAlignment="1">
      <alignment horizontal="left" vertical="center"/>
      <protection/>
    </xf>
    <xf numFmtId="3" fontId="14" fillId="53" borderId="24" xfId="105" applyNumberFormat="1" applyFont="1" applyFill="1" applyBorder="1" applyAlignment="1">
      <alignment vertical="center"/>
      <protection/>
    </xf>
    <xf numFmtId="0" fontId="2" fillId="0" borderId="0" xfId="105" applyFont="1" applyAlignment="1">
      <alignment vertical="center"/>
      <protection/>
    </xf>
    <xf numFmtId="3" fontId="14" fillId="58" borderId="36" xfId="105" applyNumberFormat="1" applyFont="1" applyFill="1" applyBorder="1" applyAlignment="1">
      <alignment horizontal="right" vertical="center"/>
      <protection/>
    </xf>
    <xf numFmtId="3" fontId="14" fillId="0" borderId="55" xfId="105" applyNumberFormat="1" applyFont="1" applyFill="1" applyBorder="1" applyAlignment="1">
      <alignment horizontal="right" vertical="center"/>
      <protection/>
    </xf>
    <xf numFmtId="3" fontId="14" fillId="58" borderId="55" xfId="105" applyNumberFormat="1" applyFont="1" applyFill="1" applyBorder="1" applyAlignment="1">
      <alignment vertical="center"/>
      <protection/>
    </xf>
    <xf numFmtId="0" fontId="30" fillId="0" borderId="0" xfId="105" applyFont="1" applyAlignment="1">
      <alignment vertical="center"/>
      <protection/>
    </xf>
    <xf numFmtId="3" fontId="17" fillId="0" borderId="57" xfId="105" applyNumberFormat="1" applyFont="1" applyFill="1" applyBorder="1" applyAlignment="1">
      <alignment horizontal="right" vertical="center"/>
      <protection/>
    </xf>
    <xf numFmtId="3" fontId="17" fillId="0" borderId="47" xfId="105" applyNumberFormat="1" applyFont="1" applyFill="1" applyBorder="1" applyAlignment="1">
      <alignment horizontal="right" vertical="center"/>
      <protection/>
    </xf>
    <xf numFmtId="0" fontId="14" fillId="53" borderId="24" xfId="105" applyFont="1" applyFill="1" applyBorder="1" applyAlignment="1">
      <alignment horizontal="center" vertical="center"/>
      <protection/>
    </xf>
    <xf numFmtId="3" fontId="14" fillId="53" borderId="24" xfId="105" applyNumberFormat="1" applyFont="1" applyFill="1" applyBorder="1" applyAlignment="1">
      <alignment horizontal="right" vertical="center"/>
      <protection/>
    </xf>
    <xf numFmtId="0" fontId="17" fillId="0" borderId="0" xfId="105" applyFont="1" applyAlignment="1">
      <alignment vertical="center"/>
      <protection/>
    </xf>
    <xf numFmtId="3" fontId="17" fillId="0" borderId="120" xfId="105" applyNumberFormat="1" applyFont="1" applyFill="1" applyBorder="1" applyAlignment="1">
      <alignment horizontal="right" vertical="center"/>
      <protection/>
    </xf>
    <xf numFmtId="3" fontId="17" fillId="0" borderId="35" xfId="105" applyNumberFormat="1" applyFont="1" applyFill="1" applyBorder="1" applyAlignment="1">
      <alignment horizontal="right" vertical="center"/>
      <protection/>
    </xf>
    <xf numFmtId="3" fontId="17" fillId="0" borderId="27" xfId="105" applyNumberFormat="1" applyFont="1" applyFill="1" applyBorder="1" applyAlignment="1">
      <alignment horizontal="right" vertical="center"/>
      <protection/>
    </xf>
    <xf numFmtId="3" fontId="17" fillId="0" borderId="80" xfId="103" applyNumberFormat="1" applyFont="1" applyBorder="1" applyAlignment="1">
      <alignment horizontal="right" vertical="center"/>
    </xf>
    <xf numFmtId="3" fontId="17" fillId="0" borderId="80" xfId="103" applyNumberFormat="1" applyFont="1" applyFill="1" applyBorder="1" applyAlignment="1">
      <alignment horizontal="right" vertical="center"/>
    </xf>
    <xf numFmtId="3" fontId="17" fillId="0" borderId="55" xfId="105" applyNumberFormat="1" applyFont="1" applyFill="1" applyBorder="1" applyAlignment="1">
      <alignment horizontal="right" vertical="center"/>
      <protection/>
    </xf>
    <xf numFmtId="3" fontId="7" fillId="0" borderId="0" xfId="105" applyNumberFormat="1" applyFont="1" applyAlignment="1">
      <alignment horizontal="right" vertical="center"/>
      <protection/>
    </xf>
    <xf numFmtId="0" fontId="7" fillId="0" borderId="0" xfId="105" applyFont="1" applyAlignment="1">
      <alignment vertical="center"/>
      <protection/>
    </xf>
    <xf numFmtId="0" fontId="15" fillId="0" borderId="0" xfId="105" applyFont="1" applyAlignment="1">
      <alignment vertical="center"/>
      <protection/>
    </xf>
    <xf numFmtId="0" fontId="15" fillId="0" borderId="0" xfId="105" applyFont="1" applyFill="1" applyBorder="1" applyAlignment="1">
      <alignment horizontal="center" vertical="center"/>
      <protection/>
    </xf>
    <xf numFmtId="0" fontId="7" fillId="0" borderId="0" xfId="105" applyFont="1" applyAlignment="1">
      <alignment vertical="center"/>
      <protection/>
    </xf>
    <xf numFmtId="0" fontId="15" fillId="0" borderId="0" xfId="105" applyFont="1" applyFill="1" applyAlignment="1">
      <alignment vertical="center"/>
      <protection/>
    </xf>
    <xf numFmtId="0" fontId="7" fillId="0" borderId="0" xfId="105" applyFont="1" applyFill="1" applyAlignment="1">
      <alignment vertical="center"/>
      <protection/>
    </xf>
    <xf numFmtId="0" fontId="15" fillId="0" borderId="0" xfId="105" applyFont="1" applyFill="1" applyBorder="1" applyAlignment="1">
      <alignment horizontal="center" vertical="center" wrapText="1"/>
      <protection/>
    </xf>
    <xf numFmtId="3" fontId="15" fillId="0" borderId="0" xfId="105" applyNumberFormat="1" applyFont="1" applyAlignment="1">
      <alignment horizontal="left" vertical="center"/>
      <protection/>
    </xf>
    <xf numFmtId="3" fontId="15" fillId="0" borderId="0" xfId="105" applyNumberFormat="1" applyFont="1" applyFill="1" applyAlignment="1">
      <alignment vertical="center"/>
      <protection/>
    </xf>
    <xf numFmtId="0" fontId="19" fillId="0" borderId="0" xfId="105" applyFont="1" applyAlignment="1">
      <alignment vertical="center"/>
      <protection/>
    </xf>
    <xf numFmtId="0" fontId="20" fillId="0" borderId="0" xfId="105" applyFont="1" applyAlignment="1">
      <alignment vertical="center"/>
      <protection/>
    </xf>
    <xf numFmtId="0" fontId="15" fillId="0" borderId="0" xfId="105" applyFont="1" applyAlignment="1">
      <alignment vertical="center"/>
      <protection/>
    </xf>
    <xf numFmtId="3" fontId="15" fillId="0" borderId="0" xfId="105" applyNumberFormat="1" applyFont="1" applyAlignment="1">
      <alignment vertical="center"/>
      <protection/>
    </xf>
    <xf numFmtId="3" fontId="45" fillId="0" borderId="0" xfId="105" applyNumberFormat="1" applyFont="1" applyAlignment="1">
      <alignment vertical="center"/>
      <protection/>
    </xf>
    <xf numFmtId="0" fontId="7" fillId="0" borderId="0" xfId="105" applyFont="1">
      <alignment/>
      <protection/>
    </xf>
    <xf numFmtId="3" fontId="7" fillId="0" borderId="0" xfId="105" applyNumberFormat="1" applyFont="1">
      <alignment/>
      <protection/>
    </xf>
    <xf numFmtId="0" fontId="15" fillId="0" borderId="0" xfId="105" applyFont="1" applyFill="1" applyBorder="1" applyAlignment="1">
      <alignment horizontal="center" vertical="center" wrapText="1"/>
      <protection/>
    </xf>
    <xf numFmtId="3" fontId="15" fillId="0" borderId="0" xfId="100" applyNumberFormat="1" applyFont="1" applyFill="1" applyAlignment="1">
      <alignment horizontal="center" vertical="center"/>
      <protection/>
    </xf>
    <xf numFmtId="3" fontId="15" fillId="0" borderId="0" xfId="99" applyNumberFormat="1" applyFont="1" applyFill="1" applyAlignment="1">
      <alignment horizontal="center" vertical="center"/>
      <protection/>
    </xf>
    <xf numFmtId="3" fontId="15" fillId="0" borderId="0" xfId="105" applyNumberFormat="1" applyFont="1" applyFill="1" applyAlignment="1">
      <alignment horizontal="center" vertical="center"/>
      <protection/>
    </xf>
    <xf numFmtId="3" fontId="15" fillId="0" borderId="0" xfId="105" applyNumberFormat="1" applyFont="1" applyFill="1" applyBorder="1" applyAlignment="1">
      <alignment horizontal="center" vertical="center"/>
      <protection/>
    </xf>
    <xf numFmtId="3" fontId="15" fillId="0" borderId="0" xfId="105" applyNumberFormat="1" applyFont="1" applyFill="1" applyBorder="1" applyAlignment="1">
      <alignment horizontal="center" vertical="center"/>
      <protection/>
    </xf>
    <xf numFmtId="3" fontId="7" fillId="0" borderId="0" xfId="105" applyNumberFormat="1" applyFont="1" applyFill="1" applyAlignment="1">
      <alignment horizontal="center"/>
      <protection/>
    </xf>
    <xf numFmtId="0" fontId="19" fillId="50" borderId="82" xfId="105" applyFont="1" applyFill="1" applyBorder="1" applyAlignment="1">
      <alignment horizontal="center" vertical="center"/>
      <protection/>
    </xf>
    <xf numFmtId="3" fontId="17" fillId="0" borderId="30" xfId="105" applyNumberFormat="1" applyFont="1" applyFill="1" applyBorder="1" applyAlignment="1">
      <alignment horizontal="right" vertical="center"/>
      <protection/>
    </xf>
    <xf numFmtId="3" fontId="17" fillId="0" borderId="33" xfId="103" applyNumberFormat="1" applyFont="1" applyBorder="1" applyAlignment="1">
      <alignment horizontal="right" vertical="center"/>
    </xf>
    <xf numFmtId="3" fontId="17" fillId="0" borderId="33" xfId="103" applyNumberFormat="1" applyFont="1" applyFill="1" applyBorder="1" applyAlignment="1">
      <alignment horizontal="right" vertical="center"/>
    </xf>
    <xf numFmtId="3" fontId="14" fillId="54" borderId="121" xfId="105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7" fillId="0" borderId="57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59" borderId="49" xfId="0" applyFont="1" applyFill="1" applyBorder="1" applyAlignment="1">
      <alignment horizontal="center" vertical="center"/>
    </xf>
    <xf numFmtId="0" fontId="13" fillId="54" borderId="39" xfId="0" applyFont="1" applyFill="1" applyBorder="1" applyAlignment="1">
      <alignment horizontal="left" vertical="center"/>
    </xf>
    <xf numFmtId="0" fontId="8" fillId="54" borderId="25" xfId="0" applyFont="1" applyFill="1" applyBorder="1" applyAlignment="1">
      <alignment horizontal="left" vertical="center"/>
    </xf>
    <xf numFmtId="3" fontId="13" fillId="54" borderId="48" xfId="0" applyNumberFormat="1" applyFont="1" applyFill="1" applyBorder="1" applyAlignment="1">
      <alignment horizontal="right" vertical="center"/>
    </xf>
    <xf numFmtId="3" fontId="13" fillId="54" borderId="19" xfId="0" applyNumberFormat="1" applyFont="1" applyFill="1" applyBorder="1" applyAlignment="1">
      <alignment horizontal="right" vertical="center"/>
    </xf>
    <xf numFmtId="3" fontId="13" fillId="54" borderId="122" xfId="0" applyNumberFormat="1" applyFont="1" applyFill="1" applyBorder="1" applyAlignment="1">
      <alignment horizontal="right" vertical="center"/>
    </xf>
    <xf numFmtId="0" fontId="12" fillId="0" borderId="36" xfId="105" applyFont="1" applyFill="1" applyBorder="1" applyAlignment="1">
      <alignment horizontal="center" vertical="center"/>
      <protection/>
    </xf>
    <xf numFmtId="3" fontId="17" fillId="0" borderId="80" xfId="105" applyNumberFormat="1" applyFont="1" applyFill="1" applyBorder="1" applyAlignment="1">
      <alignment horizontal="right" vertical="center"/>
      <protection/>
    </xf>
    <xf numFmtId="3" fontId="17" fillId="0" borderId="33" xfId="105" applyNumberFormat="1" applyFont="1" applyFill="1" applyBorder="1" applyAlignment="1">
      <alignment horizontal="right" vertical="center"/>
      <protection/>
    </xf>
    <xf numFmtId="3" fontId="17" fillId="0" borderId="71" xfId="105" applyNumberFormat="1" applyFont="1" applyFill="1" applyBorder="1" applyAlignment="1">
      <alignment horizontal="right" vertical="center"/>
      <protection/>
    </xf>
    <xf numFmtId="3" fontId="17" fillId="0" borderId="38" xfId="105" applyNumberFormat="1" applyFont="1" applyFill="1" applyBorder="1" applyAlignment="1">
      <alignment horizontal="right" vertical="center"/>
      <protection/>
    </xf>
    <xf numFmtId="3" fontId="17" fillId="0" borderId="36" xfId="105" applyNumberFormat="1" applyFont="1" applyFill="1" applyBorder="1" applyAlignment="1">
      <alignment horizontal="right" vertical="center"/>
      <protection/>
    </xf>
    <xf numFmtId="3" fontId="14" fillId="0" borderId="36" xfId="105" applyNumberFormat="1" applyFont="1" applyBorder="1" applyAlignment="1">
      <alignment horizontal="right" vertical="center"/>
      <protection/>
    </xf>
    <xf numFmtId="3" fontId="17" fillId="0" borderId="71" xfId="105" applyNumberFormat="1" applyFont="1" applyFill="1" applyBorder="1" applyAlignment="1">
      <alignment horizontal="right" vertical="center"/>
      <protection/>
    </xf>
    <xf numFmtId="0" fontId="30" fillId="0" borderId="0" xfId="0" applyFont="1" applyAlignment="1">
      <alignment vertical="center"/>
    </xf>
    <xf numFmtId="0" fontId="14" fillId="58" borderId="24" xfId="0" applyFont="1" applyFill="1" applyBorder="1" applyAlignment="1">
      <alignment horizontal="center" vertical="center"/>
    </xf>
    <xf numFmtId="3" fontId="14" fillId="58" borderId="40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13" fillId="16" borderId="39" xfId="0" applyNumberFormat="1" applyFont="1" applyFill="1" applyBorder="1" applyAlignment="1">
      <alignment horizontal="right" vertical="center"/>
    </xf>
    <xf numFmtId="3" fontId="13" fillId="16" borderId="28" xfId="0" applyNumberFormat="1" applyFont="1" applyFill="1" applyBorder="1" applyAlignment="1">
      <alignment vertical="center"/>
    </xf>
    <xf numFmtId="3" fontId="13" fillId="16" borderId="40" xfId="0" applyNumberFormat="1" applyFont="1" applyFill="1" applyBorder="1" applyAlignment="1">
      <alignment vertical="center"/>
    </xf>
    <xf numFmtId="3" fontId="17" fillId="53" borderId="32" xfId="103" applyNumberFormat="1" applyFont="1" applyFill="1" applyBorder="1" applyAlignment="1">
      <alignment horizontal="right" vertical="center"/>
    </xf>
    <xf numFmtId="3" fontId="17" fillId="53" borderId="123" xfId="103" applyNumberFormat="1" applyFont="1" applyFill="1" applyBorder="1" applyAlignment="1">
      <alignment horizontal="right" vertical="center"/>
    </xf>
    <xf numFmtId="3" fontId="17" fillId="53" borderId="44" xfId="105" applyNumberFormat="1" applyFont="1" applyFill="1" applyBorder="1" applyAlignment="1">
      <alignment horizontal="right" vertical="center"/>
      <protection/>
    </xf>
    <xf numFmtId="3" fontId="14" fillId="53" borderId="50" xfId="105" applyNumberFormat="1" applyFont="1" applyFill="1" applyBorder="1" applyAlignment="1">
      <alignment vertical="center"/>
      <protection/>
    </xf>
    <xf numFmtId="3" fontId="17" fillId="0" borderId="121" xfId="103" applyNumberFormat="1" applyFont="1" applyFill="1" applyBorder="1" applyAlignment="1">
      <alignment horizontal="right" vertical="center"/>
    </xf>
    <xf numFmtId="3" fontId="17" fillId="0" borderId="124" xfId="103" applyNumberFormat="1" applyFont="1" applyFill="1" applyBorder="1" applyAlignment="1">
      <alignment horizontal="right" vertical="center"/>
    </xf>
    <xf numFmtId="0" fontId="0" fillId="0" borderId="0" xfId="105" applyFont="1" applyFill="1" applyAlignment="1">
      <alignment horizontal="right"/>
      <protection/>
    </xf>
    <xf numFmtId="0" fontId="42" fillId="0" borderId="26" xfId="106" applyFont="1" applyBorder="1" applyAlignment="1" applyProtection="1">
      <alignment vertical="center"/>
      <protection hidden="1"/>
    </xf>
    <xf numFmtId="0" fontId="42" fillId="0" borderId="26" xfId="106" applyFont="1" applyBorder="1" applyAlignment="1" applyProtection="1">
      <alignment horizontal="center" vertical="center"/>
      <protection hidden="1"/>
    </xf>
    <xf numFmtId="0" fontId="47" fillId="0" borderId="26" xfId="106" applyFont="1" applyBorder="1" applyAlignment="1" applyProtection="1">
      <alignment vertical="center"/>
      <protection hidden="1"/>
    </xf>
    <xf numFmtId="0" fontId="47" fillId="0" borderId="26" xfId="106" applyFont="1" applyBorder="1" applyAlignment="1" applyProtection="1">
      <alignment horizontal="left" vertical="center"/>
      <protection hidden="1"/>
    </xf>
    <xf numFmtId="0" fontId="47" fillId="0" borderId="21" xfId="106" applyFont="1" applyBorder="1" applyAlignment="1" applyProtection="1">
      <alignment horizontal="left" vertical="center"/>
      <protection hidden="1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45" borderId="82" xfId="106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/>
    </xf>
    <xf numFmtId="0" fontId="42" fillId="0" borderId="54" xfId="106" applyFont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35" xfId="106" applyFont="1" applyBorder="1" applyAlignment="1" applyProtection="1">
      <alignment horizontal="left" vertical="center"/>
      <protection hidden="1"/>
    </xf>
    <xf numFmtId="3" fontId="42" fillId="0" borderId="0" xfId="0" applyNumberFormat="1" applyFont="1" applyAlignment="1">
      <alignment/>
    </xf>
    <xf numFmtId="3" fontId="42" fillId="0" borderId="0" xfId="0" applyNumberFormat="1" applyFont="1" applyFill="1" applyAlignment="1">
      <alignment horizontal="right"/>
    </xf>
    <xf numFmtId="3" fontId="42" fillId="0" borderId="35" xfId="68" applyNumberFormat="1" applyFont="1" applyBorder="1" applyAlignment="1" applyProtection="1">
      <alignment horizontal="right" vertical="center"/>
      <protection hidden="1"/>
    </xf>
    <xf numFmtId="3" fontId="46" fillId="0" borderId="35" xfId="68" applyNumberFormat="1" applyFont="1" applyBorder="1" applyAlignment="1" applyProtection="1">
      <alignment horizontal="right" vertical="center"/>
      <protection hidden="1"/>
    </xf>
    <xf numFmtId="3" fontId="42" fillId="0" borderId="0" xfId="0" applyNumberFormat="1" applyFont="1" applyAlignment="1">
      <alignment vertical="center"/>
    </xf>
    <xf numFmtId="3" fontId="42" fillId="0" borderId="35" xfId="95" applyNumberFormat="1" applyFont="1" applyBorder="1" applyAlignment="1">
      <alignment horizontal="right" vertical="center"/>
      <protection/>
    </xf>
    <xf numFmtId="3" fontId="42" fillId="0" borderId="55" xfId="95" applyNumberFormat="1" applyFont="1" applyBorder="1" applyAlignment="1">
      <alignment horizontal="right" vertical="center"/>
      <protection/>
    </xf>
    <xf numFmtId="3" fontId="47" fillId="0" borderId="35" xfId="106" applyNumberFormat="1" applyFont="1" applyBorder="1" applyAlignment="1" applyProtection="1">
      <alignment horizontal="right" vertical="center"/>
      <protection hidden="1"/>
    </xf>
    <xf numFmtId="3" fontId="46" fillId="0" borderId="35" xfId="106" applyNumberFormat="1" applyFont="1" applyBorder="1" applyAlignment="1" applyProtection="1">
      <alignment horizontal="right" vertical="center"/>
      <protection hidden="1"/>
    </xf>
    <xf numFmtId="3" fontId="42" fillId="0" borderId="0" xfId="0" applyNumberFormat="1" applyFont="1" applyAlignment="1">
      <alignment horizontal="right" vertical="center"/>
    </xf>
    <xf numFmtId="0" fontId="47" fillId="0" borderId="54" xfId="106" applyFont="1" applyBorder="1" applyAlignment="1" applyProtection="1">
      <alignment vertical="center"/>
      <protection hidden="1"/>
    </xf>
    <xf numFmtId="3" fontId="46" fillId="0" borderId="36" xfId="68" applyNumberFormat="1" applyFont="1" applyBorder="1" applyAlignment="1" applyProtection="1">
      <alignment horizontal="right" vertical="center"/>
      <protection hidden="1"/>
    </xf>
    <xf numFmtId="3" fontId="42" fillId="0" borderId="37" xfId="95" applyNumberFormat="1" applyFont="1" applyBorder="1" applyAlignment="1">
      <alignment horizontal="right" vertical="center"/>
      <protection/>
    </xf>
    <xf numFmtId="3" fontId="42" fillId="0" borderId="37" xfId="106" applyNumberFormat="1" applyFont="1" applyBorder="1" applyAlignment="1" applyProtection="1">
      <alignment horizontal="right" vertical="center"/>
      <protection hidden="1"/>
    </xf>
    <xf numFmtId="3" fontId="42" fillId="0" borderId="125" xfId="95" applyNumberFormat="1" applyFont="1" applyBorder="1" applyAlignment="1">
      <alignment horizontal="right" vertical="center"/>
      <protection/>
    </xf>
    <xf numFmtId="3" fontId="42" fillId="0" borderId="125" xfId="106" applyNumberFormat="1" applyFont="1" applyBorder="1" applyAlignment="1" applyProtection="1">
      <alignment horizontal="right" vertical="center"/>
      <protection hidden="1"/>
    </xf>
    <xf numFmtId="3" fontId="46" fillId="0" borderId="37" xfId="106" applyNumberFormat="1" applyFont="1" applyBorder="1" applyAlignment="1" applyProtection="1">
      <alignment horizontal="right" vertical="center"/>
      <protection hidden="1"/>
    </xf>
    <xf numFmtId="3" fontId="49" fillId="0" borderId="40" xfId="0" applyNumberFormat="1" applyFont="1" applyBorder="1" applyAlignment="1">
      <alignment horizontal="center" vertical="center" wrapText="1"/>
    </xf>
    <xf numFmtId="3" fontId="42" fillId="0" borderId="57" xfId="95" applyNumberFormat="1" applyFont="1" applyBorder="1" applyAlignment="1">
      <alignment horizontal="right" vertical="center"/>
      <protection/>
    </xf>
    <xf numFmtId="3" fontId="42" fillId="0" borderId="57" xfId="68" applyNumberFormat="1" applyFont="1" applyBorder="1" applyAlignment="1" applyProtection="1">
      <alignment horizontal="right" vertical="center"/>
      <protection hidden="1"/>
    </xf>
    <xf numFmtId="3" fontId="42" fillId="0" borderId="35" xfId="106" applyNumberFormat="1" applyFont="1" applyBorder="1" applyAlignment="1" applyProtection="1">
      <alignment horizontal="right" vertical="center"/>
      <protection hidden="1"/>
    </xf>
    <xf numFmtId="3" fontId="42" fillId="0" borderId="55" xfId="106" applyNumberFormat="1" applyFont="1" applyBorder="1" applyAlignment="1" applyProtection="1">
      <alignment horizontal="right" vertical="center"/>
      <protection hidden="1"/>
    </xf>
    <xf numFmtId="0" fontId="46" fillId="45" borderId="40" xfId="106" applyFont="1" applyFill="1" applyBorder="1" applyAlignment="1" applyProtection="1">
      <alignment horizontal="center" vertical="center" wrapText="1"/>
      <protection hidden="1"/>
    </xf>
    <xf numFmtId="0" fontId="42" fillId="0" borderId="57" xfId="95" applyFont="1" applyBorder="1" applyAlignment="1">
      <alignment vertical="center"/>
      <protection/>
    </xf>
    <xf numFmtId="0" fontId="42" fillId="0" borderId="57" xfId="106" applyFont="1" applyBorder="1" applyAlignment="1" applyProtection="1">
      <alignment horizontal="left" vertical="center"/>
      <protection hidden="1"/>
    </xf>
    <xf numFmtId="0" fontId="47" fillId="0" borderId="57" xfId="106" applyFont="1" applyBorder="1" applyAlignment="1" applyProtection="1">
      <alignment horizontal="left" vertical="center"/>
      <protection hidden="1"/>
    </xf>
    <xf numFmtId="0" fontId="42" fillId="0" borderId="27" xfId="106" applyFont="1" applyBorder="1" applyAlignment="1" applyProtection="1">
      <alignment horizontal="center" vertical="center"/>
      <protection hidden="1"/>
    </xf>
    <xf numFmtId="0" fontId="42" fillId="0" borderId="83" xfId="106" applyFont="1" applyBorder="1" applyAlignment="1" applyProtection="1">
      <alignment horizontal="center" vertical="center"/>
      <protection hidden="1"/>
    </xf>
    <xf numFmtId="0" fontId="47" fillId="0" borderId="116" xfId="106" applyFont="1" applyBorder="1" applyAlignment="1" applyProtection="1">
      <alignment horizontal="left" vertical="center"/>
      <protection hidden="1"/>
    </xf>
    <xf numFmtId="0" fontId="42" fillId="0" borderId="21" xfId="106" applyFont="1" applyBorder="1" applyAlignment="1" applyProtection="1">
      <alignment vertical="center"/>
      <protection hidden="1"/>
    </xf>
    <xf numFmtId="0" fontId="46" fillId="0" borderId="65" xfId="106" applyFont="1" applyBorder="1" applyAlignment="1" applyProtection="1">
      <alignment horizontal="left" vertical="center"/>
      <protection hidden="1"/>
    </xf>
    <xf numFmtId="0" fontId="47" fillId="0" borderId="30" xfId="106" applyFont="1" applyBorder="1" applyAlignment="1" applyProtection="1">
      <alignment horizontal="center" vertical="center"/>
      <protection hidden="1"/>
    </xf>
    <xf numFmtId="0" fontId="47" fillId="0" borderId="53" xfId="106" applyFont="1" applyBorder="1" applyAlignment="1" applyProtection="1">
      <alignment vertical="center"/>
      <protection hidden="1"/>
    </xf>
    <xf numFmtId="0" fontId="46" fillId="0" borderId="70" xfId="106" applyFont="1" applyBorder="1" applyAlignment="1" applyProtection="1">
      <alignment horizontal="left" vertical="center"/>
      <protection hidden="1"/>
    </xf>
    <xf numFmtId="0" fontId="46" fillId="0" borderId="57" xfId="106" applyFont="1" applyBorder="1" applyAlignment="1" applyProtection="1">
      <alignment horizontal="left" vertical="center"/>
      <protection hidden="1"/>
    </xf>
    <xf numFmtId="0" fontId="42" fillId="0" borderId="95" xfId="106" applyFont="1" applyBorder="1" applyAlignment="1" applyProtection="1">
      <alignment vertical="center"/>
      <protection hidden="1"/>
    </xf>
    <xf numFmtId="0" fontId="47" fillId="0" borderId="95" xfId="106" applyFont="1" applyBorder="1" applyAlignment="1" applyProtection="1">
      <alignment vertical="center"/>
      <protection hidden="1"/>
    </xf>
    <xf numFmtId="0" fontId="47" fillId="0" borderId="19" xfId="106" applyFont="1" applyBorder="1" applyAlignment="1" applyProtection="1">
      <alignment horizontal="left" vertical="center"/>
      <protection hidden="1"/>
    </xf>
    <xf numFmtId="0" fontId="47" fillId="0" borderId="20" xfId="106" applyFont="1" applyBorder="1" applyAlignment="1" applyProtection="1">
      <alignment horizontal="left" vertical="center"/>
      <protection hidden="1"/>
    </xf>
    <xf numFmtId="0" fontId="47" fillId="0" borderId="53" xfId="106" applyFont="1" applyBorder="1" applyAlignment="1" applyProtection="1">
      <alignment horizontal="center" vertical="center"/>
      <protection hidden="1"/>
    </xf>
    <xf numFmtId="3" fontId="46" fillId="0" borderId="44" xfId="68" applyNumberFormat="1" applyFont="1" applyBorder="1" applyAlignment="1" applyProtection="1">
      <alignment horizontal="right" vertical="center"/>
      <protection hidden="1"/>
    </xf>
    <xf numFmtId="3" fontId="46" fillId="0" borderId="50" xfId="68" applyNumberFormat="1" applyFont="1" applyBorder="1" applyAlignment="1" applyProtection="1">
      <alignment horizontal="right" vertical="center"/>
      <protection hidden="1"/>
    </xf>
    <xf numFmtId="0" fontId="46" fillId="0" borderId="114" xfId="106" applyFont="1" applyBorder="1" applyAlignment="1" applyProtection="1">
      <alignment horizontal="center" vertical="center"/>
      <protection hidden="1"/>
    </xf>
    <xf numFmtId="0" fontId="46" fillId="0" borderId="80" xfId="106" applyFont="1" applyBorder="1" applyAlignment="1" applyProtection="1">
      <alignment horizontal="center" vertical="center"/>
      <protection hidden="1"/>
    </xf>
    <xf numFmtId="3" fontId="46" fillId="0" borderId="38" xfId="68" applyNumberFormat="1" applyFont="1" applyBorder="1" applyAlignment="1" applyProtection="1">
      <alignment horizontal="right" vertical="center"/>
      <protection hidden="1"/>
    </xf>
    <xf numFmtId="0" fontId="46" fillId="0" borderId="82" xfId="106" applyFont="1" applyBorder="1" applyAlignment="1" applyProtection="1">
      <alignment horizontal="center" vertical="center"/>
      <protection hidden="1"/>
    </xf>
    <xf numFmtId="0" fontId="46" fillId="0" borderId="40" xfId="106" applyFont="1" applyBorder="1" applyAlignment="1" applyProtection="1">
      <alignment horizontal="left" vertical="center"/>
      <protection hidden="1"/>
    </xf>
    <xf numFmtId="3" fontId="46" fillId="0" borderId="39" xfId="68" applyNumberFormat="1" applyFont="1" applyBorder="1" applyAlignment="1" applyProtection="1">
      <alignment horizontal="right" vertical="center"/>
      <protection hidden="1"/>
    </xf>
    <xf numFmtId="3" fontId="46" fillId="0" borderId="24" xfId="68" applyNumberFormat="1" applyFont="1" applyBorder="1" applyAlignment="1" applyProtection="1">
      <alignment horizontal="right" vertical="center"/>
      <protection hidden="1"/>
    </xf>
    <xf numFmtId="3" fontId="46" fillId="0" borderId="40" xfId="68" applyNumberFormat="1" applyFont="1" applyBorder="1" applyAlignment="1" applyProtection="1">
      <alignment horizontal="right" vertical="center"/>
      <protection hidden="1"/>
    </xf>
    <xf numFmtId="0" fontId="42" fillId="0" borderId="70" xfId="95" applyFont="1" applyBorder="1" applyAlignment="1">
      <alignment vertical="center"/>
      <protection/>
    </xf>
    <xf numFmtId="3" fontId="42" fillId="0" borderId="36" xfId="95" applyNumberFormat="1" applyFont="1" applyBorder="1" applyAlignment="1">
      <alignment horizontal="right" vertical="center"/>
      <protection/>
    </xf>
    <xf numFmtId="3" fontId="42" fillId="0" borderId="70" xfId="95" applyNumberFormat="1" applyFont="1" applyBorder="1" applyAlignment="1">
      <alignment horizontal="right" vertical="center"/>
      <protection/>
    </xf>
    <xf numFmtId="3" fontId="46" fillId="0" borderId="40" xfId="95" applyNumberFormat="1" applyFont="1" applyBorder="1" applyAlignment="1">
      <alignment horizontal="right" vertical="center"/>
      <protection/>
    </xf>
    <xf numFmtId="0" fontId="42" fillId="0" borderId="69" xfId="95" applyFont="1" applyBorder="1" applyAlignment="1">
      <alignment vertical="center"/>
      <protection/>
    </xf>
    <xf numFmtId="3" fontId="46" fillId="0" borderId="39" xfId="106" applyNumberFormat="1" applyFont="1" applyBorder="1" applyAlignment="1" applyProtection="1">
      <alignment horizontal="right" vertical="center"/>
      <protection hidden="1"/>
    </xf>
    <xf numFmtId="3" fontId="46" fillId="0" borderId="24" xfId="106" applyNumberFormat="1" applyFont="1" applyBorder="1" applyAlignment="1" applyProtection="1">
      <alignment horizontal="right" vertical="center"/>
      <protection hidden="1"/>
    </xf>
    <xf numFmtId="0" fontId="46" fillId="0" borderId="95" xfId="106" applyFont="1" applyBorder="1" applyAlignment="1" applyProtection="1">
      <alignment horizontal="center" vertical="center"/>
      <protection hidden="1"/>
    </xf>
    <xf numFmtId="0" fontId="46" fillId="0" borderId="32" xfId="106" applyFont="1" applyBorder="1" applyAlignment="1" applyProtection="1">
      <alignment horizontal="center" vertical="center"/>
      <protection hidden="1"/>
    </xf>
    <xf numFmtId="3" fontId="46" fillId="0" borderId="50" xfId="95" applyNumberFormat="1" applyFont="1" applyBorder="1" applyAlignment="1">
      <alignment horizontal="right" vertical="center"/>
      <protection/>
    </xf>
    <xf numFmtId="3" fontId="46" fillId="0" borderId="65" xfId="95" applyNumberFormat="1" applyFont="1" applyBorder="1" applyAlignment="1">
      <alignment horizontal="right" vertical="center"/>
      <protection/>
    </xf>
    <xf numFmtId="0" fontId="47" fillId="0" borderId="33" xfId="106" applyFont="1" applyBorder="1" applyAlignment="1" applyProtection="1">
      <alignment horizontal="center" vertical="center"/>
      <protection hidden="1"/>
    </xf>
    <xf numFmtId="0" fontId="46" fillId="0" borderId="121" xfId="106" applyFont="1" applyBorder="1" applyAlignment="1" applyProtection="1">
      <alignment horizontal="center" vertical="center"/>
      <protection hidden="1"/>
    </xf>
    <xf numFmtId="0" fontId="42" fillId="0" borderId="95" xfId="106" applyFont="1" applyBorder="1" applyAlignment="1" applyProtection="1">
      <alignment horizontal="left" vertical="center"/>
      <protection hidden="1"/>
    </xf>
    <xf numFmtId="0" fontId="42" fillId="0" borderId="121" xfId="106" applyFont="1" applyBorder="1" applyAlignment="1" applyProtection="1">
      <alignment horizontal="left" vertical="center"/>
      <protection hidden="1"/>
    </xf>
    <xf numFmtId="0" fontId="47" fillId="0" borderId="88" xfId="106" applyFont="1" applyBorder="1" applyAlignment="1" applyProtection="1">
      <alignment horizontal="left" vertical="center"/>
      <protection hidden="1"/>
    </xf>
    <xf numFmtId="3" fontId="46" fillId="0" borderId="41" xfId="95" applyNumberFormat="1" applyFont="1" applyBorder="1" applyAlignment="1">
      <alignment horizontal="right" vertical="center"/>
      <protection/>
    </xf>
    <xf numFmtId="3" fontId="46" fillId="0" borderId="34" xfId="95" applyNumberFormat="1" applyFont="1" applyBorder="1" applyAlignment="1">
      <alignment horizontal="right" vertical="center"/>
      <protection/>
    </xf>
    <xf numFmtId="0" fontId="46" fillId="0" borderId="70" xfId="106" applyFont="1" applyBorder="1" applyAlignment="1" applyProtection="1">
      <alignment vertical="center"/>
      <protection hidden="1"/>
    </xf>
    <xf numFmtId="0" fontId="46" fillId="0" borderId="57" xfId="95" applyFont="1" applyBorder="1" applyAlignment="1">
      <alignment vertical="center"/>
      <protection/>
    </xf>
    <xf numFmtId="0" fontId="47" fillId="0" borderId="69" xfId="106" applyFont="1" applyBorder="1" applyAlignment="1" applyProtection="1">
      <alignment horizontal="left" vertical="center"/>
      <protection hidden="1"/>
    </xf>
    <xf numFmtId="0" fontId="46" fillId="0" borderId="69" xfId="95" applyFont="1" applyBorder="1" applyAlignment="1">
      <alignment vertical="center"/>
      <protection/>
    </xf>
    <xf numFmtId="0" fontId="42" fillId="0" borderId="69" xfId="106" applyFont="1" applyBorder="1" applyAlignment="1" applyProtection="1">
      <alignment horizontal="left" vertical="center"/>
      <protection hidden="1"/>
    </xf>
    <xf numFmtId="0" fontId="46" fillId="0" borderId="79" xfId="106" applyFont="1" applyBorder="1" applyAlignment="1" applyProtection="1">
      <alignment horizontal="center" vertical="center"/>
      <protection hidden="1"/>
    </xf>
    <xf numFmtId="3" fontId="46" fillId="0" borderId="38" xfId="106" applyNumberFormat="1" applyFont="1" applyBorder="1" applyAlignment="1" applyProtection="1">
      <alignment horizontal="right" vertical="center"/>
      <protection hidden="1"/>
    </xf>
    <xf numFmtId="3" fontId="46" fillId="0" borderId="36" xfId="106" applyNumberFormat="1" applyFont="1" applyBorder="1" applyAlignment="1" applyProtection="1">
      <alignment horizontal="right" vertical="center"/>
      <protection hidden="1"/>
    </xf>
    <xf numFmtId="0" fontId="46" fillId="0" borderId="27" xfId="106" applyFont="1" applyBorder="1" applyAlignment="1" applyProtection="1">
      <alignment horizontal="center" vertical="center"/>
      <protection hidden="1"/>
    </xf>
    <xf numFmtId="0" fontId="46" fillId="0" borderId="26" xfId="106" applyFont="1" applyBorder="1" applyAlignment="1" applyProtection="1">
      <alignment horizontal="center" vertical="center"/>
      <protection hidden="1"/>
    </xf>
    <xf numFmtId="3" fontId="46" fillId="0" borderId="37" xfId="95" applyNumberFormat="1" applyFont="1" applyBorder="1" applyAlignment="1">
      <alignment horizontal="right" vertical="center"/>
      <protection/>
    </xf>
    <xf numFmtId="3" fontId="46" fillId="0" borderId="35" xfId="95" applyNumberFormat="1" applyFont="1" applyBorder="1" applyAlignment="1">
      <alignment horizontal="right" vertical="center"/>
      <protection/>
    </xf>
    <xf numFmtId="0" fontId="46" fillId="0" borderId="21" xfId="95" applyFont="1" applyBorder="1" applyAlignment="1">
      <alignment vertical="center"/>
      <protection/>
    </xf>
    <xf numFmtId="0" fontId="46" fillId="0" borderId="83" xfId="106" applyFont="1" applyBorder="1" applyAlignment="1" applyProtection="1">
      <alignment horizontal="center" vertical="center"/>
      <protection hidden="1"/>
    </xf>
    <xf numFmtId="0" fontId="46" fillId="0" borderId="116" xfId="95" applyFont="1" applyBorder="1" applyAlignment="1">
      <alignment vertical="center"/>
      <protection/>
    </xf>
    <xf numFmtId="3" fontId="46" fillId="0" borderId="125" xfId="95" applyNumberFormat="1" applyFont="1" applyBorder="1" applyAlignment="1">
      <alignment horizontal="right" vertical="center"/>
      <protection/>
    </xf>
    <xf numFmtId="3" fontId="46" fillId="0" borderId="55" xfId="95" applyNumberFormat="1" applyFont="1" applyBorder="1" applyAlignment="1">
      <alignment horizontal="right" vertical="center"/>
      <protection/>
    </xf>
    <xf numFmtId="3" fontId="47" fillId="0" borderId="37" xfId="106" applyNumberFormat="1" applyFont="1" applyBorder="1" applyAlignment="1" applyProtection="1">
      <alignment horizontal="right" vertical="center"/>
      <protection hidden="1"/>
    </xf>
    <xf numFmtId="3" fontId="46" fillId="0" borderId="37" xfId="68" applyNumberFormat="1" applyFont="1" applyBorder="1" applyAlignment="1" applyProtection="1">
      <alignment horizontal="right" vertical="center"/>
      <protection hidden="1"/>
    </xf>
    <xf numFmtId="3" fontId="46" fillId="0" borderId="34" xfId="68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vertical="center"/>
    </xf>
    <xf numFmtId="0" fontId="42" fillId="0" borderId="80" xfId="106" applyFont="1" applyBorder="1" applyAlignment="1" applyProtection="1">
      <alignment horizontal="center" vertical="center"/>
      <protection hidden="1"/>
    </xf>
    <xf numFmtId="0" fontId="42" fillId="0" borderId="70" xfId="106" applyFont="1" applyBorder="1" applyAlignment="1" applyProtection="1">
      <alignment horizontal="left" vertical="center"/>
      <protection hidden="1"/>
    </xf>
    <xf numFmtId="3" fontId="42" fillId="0" borderId="38" xfId="106" applyNumberFormat="1" applyFont="1" applyBorder="1" applyAlignment="1" applyProtection="1">
      <alignment horizontal="right" vertical="center"/>
      <protection hidden="1"/>
    </xf>
    <xf numFmtId="3" fontId="42" fillId="0" borderId="36" xfId="106" applyNumberFormat="1" applyFont="1" applyBorder="1" applyAlignment="1" applyProtection="1">
      <alignment horizontal="right" vertical="center"/>
      <protection hidden="1"/>
    </xf>
    <xf numFmtId="3" fontId="42" fillId="0" borderId="70" xfId="68" applyNumberFormat="1" applyFont="1" applyBorder="1" applyAlignment="1" applyProtection="1">
      <alignment horizontal="right" vertical="center"/>
      <protection hidden="1"/>
    </xf>
    <xf numFmtId="3" fontId="46" fillId="0" borderId="38" xfId="95" applyNumberFormat="1" applyFont="1" applyBorder="1" applyAlignment="1">
      <alignment horizontal="right" vertical="center"/>
      <protection/>
    </xf>
    <xf numFmtId="0" fontId="46" fillId="0" borderId="40" xfId="106" applyFont="1" applyBorder="1" applyAlignment="1" applyProtection="1">
      <alignment vertical="center"/>
      <protection hidden="1"/>
    </xf>
    <xf numFmtId="0" fontId="47" fillId="0" borderId="54" xfId="106" applyFont="1" applyBorder="1" applyAlignment="1" applyProtection="1">
      <alignment horizontal="left" vertical="center"/>
      <protection hidden="1"/>
    </xf>
    <xf numFmtId="0" fontId="36" fillId="53" borderId="40" xfId="106" applyFont="1" applyFill="1" applyBorder="1" applyAlignment="1" applyProtection="1">
      <alignment horizontal="center" vertical="center"/>
      <protection hidden="1"/>
    </xf>
    <xf numFmtId="3" fontId="36" fillId="53" borderId="39" xfId="68" applyNumberFormat="1" applyFont="1" applyFill="1" applyBorder="1" applyAlignment="1" applyProtection="1">
      <alignment horizontal="right" vertical="center"/>
      <protection hidden="1"/>
    </xf>
    <xf numFmtId="3" fontId="36" fillId="53" borderId="24" xfId="68" applyNumberFormat="1" applyFont="1" applyFill="1" applyBorder="1" applyAlignment="1" applyProtection="1">
      <alignment horizontal="right" vertical="center"/>
      <protection hidden="1"/>
    </xf>
    <xf numFmtId="3" fontId="46" fillId="0" borderId="38" xfId="68" applyNumberFormat="1" applyFont="1" applyFill="1" applyBorder="1" applyAlignment="1" applyProtection="1">
      <alignment horizontal="right" vertical="center"/>
      <protection hidden="1"/>
    </xf>
    <xf numFmtId="3" fontId="46" fillId="0" borderId="36" xfId="68" applyNumberFormat="1" applyFont="1" applyFill="1" applyBorder="1" applyAlignment="1" applyProtection="1">
      <alignment horizontal="right" vertical="center"/>
      <protection hidden="1"/>
    </xf>
    <xf numFmtId="3" fontId="46" fillId="0" borderId="37" xfId="68" applyNumberFormat="1" applyFont="1" applyFill="1" applyBorder="1" applyAlignment="1" applyProtection="1">
      <alignment horizontal="right" vertical="center"/>
      <protection hidden="1"/>
    </xf>
    <xf numFmtId="3" fontId="46" fillId="0" borderId="35" xfId="68" applyNumberFormat="1" applyFont="1" applyFill="1" applyBorder="1" applyAlignment="1" applyProtection="1">
      <alignment horizontal="right" vertical="center"/>
      <protection hidden="1"/>
    </xf>
    <xf numFmtId="0" fontId="22" fillId="45" borderId="0" xfId="0" applyFont="1" applyFill="1" applyBorder="1" applyAlignment="1" applyProtection="1">
      <alignment horizontal="centerContinuous" wrapText="1"/>
      <protection locked="0"/>
    </xf>
    <xf numFmtId="0" fontId="6" fillId="0" borderId="0" xfId="0" applyFont="1" applyAlignment="1">
      <alignment horizontal="centerContinuous"/>
    </xf>
    <xf numFmtId="0" fontId="10" fillId="45" borderId="0" xfId="0" applyFont="1" applyFill="1" applyAlignment="1">
      <alignment horizontal="centerContinuous" wrapText="1"/>
    </xf>
    <xf numFmtId="0" fontId="6" fillId="45" borderId="0" xfId="0" applyFont="1" applyFill="1" applyAlignment="1">
      <alignment horizontal="centerContinuous" wrapText="1"/>
    </xf>
    <xf numFmtId="0" fontId="46" fillId="54" borderId="82" xfId="106" applyFont="1" applyFill="1" applyBorder="1" applyAlignment="1" applyProtection="1">
      <alignment horizontal="center" vertical="center"/>
      <protection hidden="1"/>
    </xf>
    <xf numFmtId="0" fontId="46" fillId="54" borderId="24" xfId="106" applyFont="1" applyFill="1" applyBorder="1" applyAlignment="1" applyProtection="1">
      <alignment horizontal="left" vertical="center"/>
      <protection hidden="1"/>
    </xf>
    <xf numFmtId="3" fontId="46" fillId="54" borderId="39" xfId="68" applyNumberFormat="1" applyFont="1" applyFill="1" applyBorder="1" applyAlignment="1" applyProtection="1">
      <alignment horizontal="right" vertical="center"/>
      <protection hidden="1"/>
    </xf>
    <xf numFmtId="3" fontId="46" fillId="54" borderId="24" xfId="68" applyNumberFormat="1" applyFont="1" applyFill="1" applyBorder="1" applyAlignment="1" applyProtection="1">
      <alignment horizontal="right" vertical="center"/>
      <protection hidden="1"/>
    </xf>
    <xf numFmtId="0" fontId="46" fillId="54" borderId="102" xfId="106" applyFont="1" applyFill="1" applyBorder="1" applyAlignment="1" applyProtection="1">
      <alignment horizontal="center" vertical="center"/>
      <protection hidden="1"/>
    </xf>
    <xf numFmtId="0" fontId="46" fillId="54" borderId="47" xfId="106" applyFont="1" applyFill="1" applyBorder="1" applyAlignment="1" applyProtection="1">
      <alignment horizontal="left" vertical="center"/>
      <protection hidden="1"/>
    </xf>
    <xf numFmtId="3" fontId="46" fillId="54" borderId="102" xfId="68" applyNumberFormat="1" applyFont="1" applyFill="1" applyBorder="1" applyAlignment="1" applyProtection="1">
      <alignment horizontal="right" vertical="center"/>
      <protection hidden="1"/>
    </xf>
    <xf numFmtId="3" fontId="46" fillId="54" borderId="23" xfId="68" applyNumberFormat="1" applyFont="1" applyFill="1" applyBorder="1" applyAlignment="1" applyProtection="1">
      <alignment horizontal="right" vertical="center"/>
      <protection hidden="1"/>
    </xf>
    <xf numFmtId="0" fontId="46" fillId="54" borderId="40" xfId="106" applyFont="1" applyFill="1" applyBorder="1" applyAlignment="1" applyProtection="1">
      <alignment horizontal="left" vertical="center"/>
      <protection hidden="1"/>
    </xf>
    <xf numFmtId="0" fontId="46" fillId="54" borderId="40" xfId="95" applyFont="1" applyFill="1" applyBorder="1" applyAlignment="1">
      <alignment horizontal="left" vertical="center"/>
      <protection/>
    </xf>
    <xf numFmtId="3" fontId="46" fillId="54" borderId="40" xfId="68" applyNumberFormat="1" applyFont="1" applyFill="1" applyBorder="1" applyAlignment="1" applyProtection="1">
      <alignment horizontal="right" vertical="center"/>
      <protection hidden="1"/>
    </xf>
    <xf numFmtId="0" fontId="13" fillId="50" borderId="23" xfId="0" applyFont="1" applyFill="1" applyBorder="1" applyAlignment="1">
      <alignment horizontal="center" vertical="center"/>
    </xf>
    <xf numFmtId="0" fontId="13" fillId="50" borderId="10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42" fillId="45" borderId="26" xfId="95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4" fillId="0" borderId="90" xfId="108" applyFont="1" applyBorder="1" applyAlignment="1">
      <alignment vertical="center" wrapText="1"/>
      <protection/>
    </xf>
    <xf numFmtId="3" fontId="34" fillId="0" borderId="32" xfId="108" applyNumberFormat="1" applyFont="1" applyBorder="1" applyAlignment="1">
      <alignment vertical="center"/>
      <protection/>
    </xf>
    <xf numFmtId="3" fontId="34" fillId="0" borderId="70" xfId="0" applyNumberFormat="1" applyFont="1" applyFill="1" applyBorder="1" applyAlignment="1">
      <alignment vertical="center"/>
    </xf>
    <xf numFmtId="3" fontId="34" fillId="0" borderId="90" xfId="0" applyNumberFormat="1" applyFont="1" applyFill="1" applyBorder="1" applyAlignment="1">
      <alignment vertical="center"/>
    </xf>
    <xf numFmtId="3" fontId="34" fillId="0" borderId="91" xfId="0" applyNumberFormat="1" applyFont="1" applyFill="1" applyBorder="1" applyAlignment="1">
      <alignment vertical="center" wrapText="1"/>
    </xf>
    <xf numFmtId="3" fontId="34" fillId="0" borderId="126" xfId="108" applyNumberFormat="1" applyFont="1" applyBorder="1" applyAlignment="1">
      <alignment vertical="center"/>
      <protection/>
    </xf>
    <xf numFmtId="0" fontId="47" fillId="0" borderId="79" xfId="106" applyFont="1" applyBorder="1" applyAlignment="1" applyProtection="1">
      <alignment vertical="center"/>
      <protection hidden="1"/>
    </xf>
    <xf numFmtId="0" fontId="47" fillId="0" borderId="80" xfId="106" applyFont="1" applyBorder="1" applyAlignment="1" applyProtection="1">
      <alignment vertical="center"/>
      <protection hidden="1"/>
    </xf>
    <xf numFmtId="0" fontId="47" fillId="0" borderId="26" xfId="106" applyFont="1" applyBorder="1" applyAlignment="1" applyProtection="1">
      <alignment horizontal="center" vertical="center"/>
      <protection hidden="1"/>
    </xf>
    <xf numFmtId="0" fontId="47" fillId="0" borderId="26" xfId="95" applyFont="1" applyBorder="1" applyAlignment="1">
      <alignment horizontal="left" vertical="center"/>
      <protection/>
    </xf>
    <xf numFmtId="0" fontId="47" fillId="0" borderId="21" xfId="106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3" fontId="46" fillId="28" borderId="25" xfId="106" applyNumberFormat="1" applyFont="1" applyFill="1" applyBorder="1" applyAlignment="1" applyProtection="1">
      <alignment horizontal="right" vertical="center"/>
      <protection hidden="1"/>
    </xf>
    <xf numFmtId="3" fontId="46" fillId="28" borderId="24" xfId="106" applyNumberFormat="1" applyFont="1" applyFill="1" applyBorder="1" applyAlignment="1" applyProtection="1">
      <alignment horizontal="right" vertical="center"/>
      <protection hidden="1"/>
    </xf>
    <xf numFmtId="0" fontId="42" fillId="45" borderId="54" xfId="95" applyFont="1" applyFill="1" applyBorder="1" applyAlignment="1" applyProtection="1">
      <alignment horizontal="center" vertical="center"/>
      <protection/>
    </xf>
    <xf numFmtId="3" fontId="46" fillId="60" borderId="24" xfId="63" applyNumberFormat="1" applyFont="1" applyFill="1" applyBorder="1" applyAlignment="1" applyProtection="1">
      <alignment horizontal="right" vertical="center"/>
      <protection/>
    </xf>
    <xf numFmtId="0" fontId="46" fillId="54" borderId="82" xfId="95" applyFont="1" applyFill="1" applyBorder="1" applyAlignment="1" applyProtection="1">
      <alignment horizontal="center" vertical="center"/>
      <protection/>
    </xf>
    <xf numFmtId="0" fontId="46" fillId="54" borderId="29" xfId="106" applyFont="1" applyFill="1" applyBorder="1" applyAlignment="1" applyProtection="1">
      <alignment horizontal="left" vertical="center"/>
      <protection hidden="1"/>
    </xf>
    <xf numFmtId="0" fontId="46" fillId="54" borderId="95" xfId="106" applyFont="1" applyFill="1" applyBorder="1" applyAlignment="1" applyProtection="1">
      <alignment horizontal="center" vertical="center"/>
      <protection hidden="1"/>
    </xf>
    <xf numFmtId="0" fontId="46" fillId="54" borderId="97" xfId="106" applyFont="1" applyFill="1" applyBorder="1" applyAlignment="1" applyProtection="1">
      <alignment horizontal="left" vertical="center"/>
      <protection hidden="1"/>
    </xf>
    <xf numFmtId="3" fontId="52" fillId="54" borderId="24" xfId="63" applyNumberFormat="1" applyFont="1" applyFill="1" applyBorder="1" applyAlignment="1" applyProtection="1">
      <alignment horizontal="right" vertical="center"/>
      <protection/>
    </xf>
    <xf numFmtId="0" fontId="42" fillId="45" borderId="79" xfId="95" applyFont="1" applyFill="1" applyBorder="1" applyAlignment="1" applyProtection="1">
      <alignment horizontal="center" vertical="center"/>
      <protection/>
    </xf>
    <xf numFmtId="0" fontId="47" fillId="0" borderId="116" xfId="106" applyFont="1" applyFill="1" applyBorder="1" applyAlignment="1" applyProtection="1">
      <alignment horizontal="left" vertical="center"/>
      <protection hidden="1"/>
    </xf>
    <xf numFmtId="0" fontId="47" fillId="0" borderId="84" xfId="106" applyFont="1" applyFill="1" applyBorder="1" applyAlignment="1" applyProtection="1">
      <alignment horizontal="left" vertical="center"/>
      <protection hidden="1"/>
    </xf>
    <xf numFmtId="0" fontId="36" fillId="60" borderId="24" xfId="95" applyFont="1" applyFill="1" applyBorder="1" applyAlignment="1" applyProtection="1">
      <alignment horizontal="center" vertical="center"/>
      <protection/>
    </xf>
    <xf numFmtId="3" fontId="46" fillId="60" borderId="25" xfId="63" applyNumberFormat="1" applyFont="1" applyFill="1" applyBorder="1" applyAlignment="1" applyProtection="1">
      <alignment horizontal="right" vertical="center"/>
      <protection/>
    </xf>
    <xf numFmtId="0" fontId="36" fillId="53" borderId="24" xfId="106" applyFont="1" applyFill="1" applyBorder="1" applyAlignment="1" applyProtection="1">
      <alignment horizontal="center" vertical="center"/>
      <protection hidden="1"/>
    </xf>
    <xf numFmtId="0" fontId="47" fillId="0" borderId="19" xfId="106" applyFont="1" applyBorder="1" applyAlignment="1" applyProtection="1">
      <alignment horizontal="center" vertical="center"/>
      <protection hidden="1"/>
    </xf>
    <xf numFmtId="0" fontId="42" fillId="0" borderId="87" xfId="95" applyFont="1" applyBorder="1" applyAlignment="1">
      <alignment vertical="center"/>
      <protection/>
    </xf>
    <xf numFmtId="0" fontId="47" fillId="0" borderId="79" xfId="106" applyFont="1" applyBorder="1" applyAlignment="1" applyProtection="1">
      <alignment horizontal="left" vertical="center"/>
      <protection hidden="1"/>
    </xf>
    <xf numFmtId="0" fontId="47" fillId="0" borderId="84" xfId="106" applyFont="1" applyBorder="1" applyAlignment="1" applyProtection="1">
      <alignment horizontal="left" vertical="center"/>
      <protection hidden="1"/>
    </xf>
    <xf numFmtId="3" fontId="13" fillId="0" borderId="8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3" fontId="8" fillId="0" borderId="115" xfId="0" applyNumberFormat="1" applyFont="1" applyBorder="1" applyAlignment="1">
      <alignment vertical="center"/>
    </xf>
    <xf numFmtId="3" fontId="8" fillId="0" borderId="127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3" fontId="13" fillId="16" borderId="58" xfId="0" applyNumberFormat="1" applyFont="1" applyFill="1" applyBorder="1" applyAlignment="1">
      <alignment vertical="center"/>
    </xf>
    <xf numFmtId="3" fontId="13" fillId="16" borderId="66" xfId="0" applyNumberFormat="1" applyFont="1" applyFill="1" applyBorder="1" applyAlignment="1">
      <alignment vertical="center"/>
    </xf>
    <xf numFmtId="3" fontId="13" fillId="16" borderId="67" xfId="0" applyNumberFormat="1" applyFont="1" applyFill="1" applyBorder="1" applyAlignment="1">
      <alignment vertical="center"/>
    </xf>
    <xf numFmtId="3" fontId="13" fillId="16" borderId="100" xfId="0" applyNumberFormat="1" applyFont="1" applyFill="1" applyBorder="1" applyAlignment="1">
      <alignment vertical="center"/>
    </xf>
    <xf numFmtId="3" fontId="13" fillId="16" borderId="112" xfId="0" applyNumberFormat="1" applyFont="1" applyFill="1" applyBorder="1" applyAlignment="1">
      <alignment vertical="center"/>
    </xf>
    <xf numFmtId="3" fontId="13" fillId="58" borderId="40" xfId="0" applyNumberFormat="1" applyFont="1" applyFill="1" applyBorder="1" applyAlignment="1">
      <alignment vertical="center"/>
    </xf>
    <xf numFmtId="3" fontId="13" fillId="58" borderId="124" xfId="0" applyNumberFormat="1" applyFont="1" applyFill="1" applyBorder="1" applyAlignment="1">
      <alignment vertical="center"/>
    </xf>
    <xf numFmtId="0" fontId="42" fillId="0" borderId="26" xfId="106" applyFont="1" applyBorder="1" applyAlignment="1" applyProtection="1">
      <alignment horizontal="left" vertical="center"/>
      <protection hidden="1"/>
    </xf>
    <xf numFmtId="0" fontId="36" fillId="54" borderId="82" xfId="95" applyFont="1" applyFill="1" applyBorder="1" applyAlignment="1" applyProtection="1">
      <alignment horizontal="center" vertical="center"/>
      <protection/>
    </xf>
    <xf numFmtId="0" fontId="36" fillId="54" borderId="29" xfId="106" applyFont="1" applyFill="1" applyBorder="1" applyAlignment="1" applyProtection="1">
      <alignment horizontal="left" vertical="center"/>
      <protection hidden="1"/>
    </xf>
    <xf numFmtId="3" fontId="36" fillId="54" borderId="24" xfId="63" applyNumberFormat="1" applyFont="1" applyFill="1" applyBorder="1" applyAlignment="1" applyProtection="1">
      <alignment horizontal="right" vertical="center"/>
      <protection/>
    </xf>
    <xf numFmtId="3" fontId="46" fillId="0" borderId="35" xfId="95" applyNumberFormat="1" applyFont="1" applyFill="1" applyBorder="1" applyAlignment="1" applyProtection="1">
      <alignment horizontal="right" vertical="center"/>
      <protection hidden="1"/>
    </xf>
    <xf numFmtId="0" fontId="46" fillId="0" borderId="21" xfId="106" applyFont="1" applyFill="1" applyBorder="1" applyAlignment="1" applyProtection="1">
      <alignment horizontal="left" vertical="center"/>
      <protection hidden="1"/>
    </xf>
    <xf numFmtId="3" fontId="46" fillId="0" borderId="120" xfId="106" applyNumberFormat="1" applyFont="1" applyFill="1" applyBorder="1" applyAlignment="1" applyProtection="1">
      <alignment horizontal="right" vertical="center"/>
      <protection hidden="1"/>
    </xf>
    <xf numFmtId="3" fontId="46" fillId="0" borderId="35" xfId="106" applyNumberFormat="1" applyFont="1" applyFill="1" applyBorder="1" applyAlignment="1" applyProtection="1">
      <alignment horizontal="right" vertical="center"/>
      <protection hidden="1"/>
    </xf>
    <xf numFmtId="0" fontId="47" fillId="0" borderId="79" xfId="106" applyFont="1" applyBorder="1" applyAlignment="1" applyProtection="1">
      <alignment horizontal="center" vertical="center"/>
      <protection hidden="1"/>
    </xf>
    <xf numFmtId="0" fontId="46" fillId="0" borderId="84" xfId="106" applyFont="1" applyBorder="1" applyAlignment="1" applyProtection="1">
      <alignment horizontal="left" vertical="center"/>
      <protection hidden="1"/>
    </xf>
    <xf numFmtId="0" fontId="46" fillId="45" borderId="26" xfId="95" applyFont="1" applyFill="1" applyBorder="1" applyAlignment="1" applyProtection="1">
      <alignment horizontal="center" vertical="center"/>
      <protection/>
    </xf>
    <xf numFmtId="3" fontId="46" fillId="0" borderId="128" xfId="106" applyNumberFormat="1" applyFont="1" applyFill="1" applyBorder="1" applyAlignment="1" applyProtection="1">
      <alignment horizontal="right" vertical="center"/>
      <protection hidden="1"/>
    </xf>
    <xf numFmtId="3" fontId="46" fillId="0" borderId="55" xfId="106" applyNumberFormat="1" applyFont="1" applyFill="1" applyBorder="1" applyAlignment="1" applyProtection="1">
      <alignment horizontal="right" vertical="center"/>
      <protection hidden="1"/>
    </xf>
    <xf numFmtId="0" fontId="46" fillId="0" borderId="26" xfId="95" applyFont="1" applyFill="1" applyBorder="1" applyAlignment="1" applyProtection="1">
      <alignment horizontal="center" vertical="center"/>
      <protection hidden="1"/>
    </xf>
    <xf numFmtId="0" fontId="46" fillId="0" borderId="31" xfId="106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3" fontId="13" fillId="0" borderId="98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0" fontId="21" fillId="45" borderId="39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47" fillId="45" borderId="30" xfId="0" applyFont="1" applyFill="1" applyBorder="1" applyAlignment="1" applyProtection="1">
      <alignment horizontal="center" vertical="center"/>
      <protection locked="0"/>
    </xf>
    <xf numFmtId="3" fontId="47" fillId="0" borderId="0" xfId="0" applyNumberFormat="1" applyFont="1" applyAlignment="1">
      <alignment/>
    </xf>
    <xf numFmtId="3" fontId="46" fillId="56" borderId="24" xfId="0" applyNumberFormat="1" applyFont="1" applyFill="1" applyBorder="1" applyAlignment="1">
      <alignment horizontal="right" vertical="center"/>
    </xf>
    <xf numFmtId="0" fontId="19" fillId="50" borderId="24" xfId="0" applyFont="1" applyFill="1" applyBorder="1" applyAlignment="1" applyProtection="1">
      <alignment horizontal="center" vertical="center"/>
      <protection locked="0"/>
    </xf>
    <xf numFmtId="0" fontId="10" fillId="45" borderId="0" xfId="0" applyFont="1" applyFill="1" applyBorder="1" applyAlignment="1" applyProtection="1">
      <alignment horizontal="centerContinuous" wrapText="1"/>
      <protection locked="0"/>
    </xf>
    <xf numFmtId="0" fontId="47" fillId="0" borderId="91" xfId="95" applyFont="1" applyFill="1" applyBorder="1" applyAlignment="1">
      <alignment vertical="center" wrapText="1"/>
      <protection/>
    </xf>
    <xf numFmtId="0" fontId="47" fillId="0" borderId="92" xfId="95" applyFont="1" applyFill="1" applyBorder="1" applyAlignment="1">
      <alignment vertical="center" wrapText="1"/>
      <protection/>
    </xf>
    <xf numFmtId="0" fontId="47" fillId="0" borderId="129" xfId="95" applyFont="1" applyFill="1" applyBorder="1" applyAlignment="1">
      <alignment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43" fillId="0" borderId="34" xfId="95" applyFont="1" applyFill="1" applyBorder="1" applyAlignment="1">
      <alignment horizontal="center" vertical="center" wrapText="1"/>
      <protection/>
    </xf>
    <xf numFmtId="0" fontId="19" fillId="50" borderId="34" xfId="0" applyFont="1" applyFill="1" applyBorder="1" applyAlignment="1" applyProtection="1">
      <alignment horizontal="center" vertical="center"/>
      <protection locked="0"/>
    </xf>
    <xf numFmtId="0" fontId="53" fillId="0" borderId="35" xfId="95" applyFont="1" applyFill="1" applyBorder="1" applyAlignment="1">
      <alignment horizontal="center" vertical="center"/>
      <protection/>
    </xf>
    <xf numFmtId="0" fontId="53" fillId="0" borderId="55" xfId="95" applyFont="1" applyFill="1" applyBorder="1" applyAlignment="1">
      <alignment horizontal="center" vertical="center"/>
      <protection/>
    </xf>
    <xf numFmtId="0" fontId="53" fillId="0" borderId="130" xfId="95" applyFont="1" applyFill="1" applyBorder="1" applyAlignment="1">
      <alignment horizontal="center" vertical="center"/>
      <protection/>
    </xf>
    <xf numFmtId="0" fontId="19" fillId="50" borderId="42" xfId="0" applyFont="1" applyFill="1" applyBorder="1" applyAlignment="1">
      <alignment horizontal="center" vertical="center"/>
    </xf>
    <xf numFmtId="3" fontId="46" fillId="56" borderId="25" xfId="0" applyNumberFormat="1" applyFont="1" applyFill="1" applyBorder="1" applyAlignment="1">
      <alignment horizontal="right" vertical="center"/>
    </xf>
    <xf numFmtId="3" fontId="52" fillId="0" borderId="35" xfId="0" applyNumberFormat="1" applyFont="1" applyFill="1" applyBorder="1" applyAlignment="1">
      <alignment horizontal="right" vertical="center"/>
    </xf>
    <xf numFmtId="3" fontId="52" fillId="0" borderId="55" xfId="0" applyNumberFormat="1" applyFont="1" applyFill="1" applyBorder="1" applyAlignment="1">
      <alignment horizontal="right" vertical="center"/>
    </xf>
    <xf numFmtId="0" fontId="46" fillId="0" borderId="23" xfId="0" applyFont="1" applyFill="1" applyBorder="1" applyAlignment="1">
      <alignment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3" fontId="52" fillId="0" borderId="36" xfId="0" applyNumberFormat="1" applyFont="1" applyFill="1" applyBorder="1" applyAlignment="1">
      <alignment horizontal="right" vertical="center"/>
    </xf>
    <xf numFmtId="0" fontId="47" fillId="45" borderId="33" xfId="0" applyFont="1" applyFill="1" applyBorder="1" applyAlignment="1" applyProtection="1">
      <alignment horizontal="center" vertical="center"/>
      <protection locked="0"/>
    </xf>
    <xf numFmtId="0" fontId="47" fillId="0" borderId="90" xfId="95" applyFont="1" applyFill="1" applyBorder="1" applyAlignment="1">
      <alignment vertical="center" wrapText="1"/>
      <protection/>
    </xf>
    <xf numFmtId="0" fontId="53" fillId="0" borderId="36" xfId="95" applyFont="1" applyFill="1" applyBorder="1" applyAlignment="1">
      <alignment horizontal="center" vertical="center"/>
      <protection/>
    </xf>
    <xf numFmtId="0" fontId="46" fillId="61" borderId="24" xfId="0" applyFont="1" applyFill="1" applyBorder="1" applyAlignment="1">
      <alignment horizontal="center" vertical="center"/>
    </xf>
    <xf numFmtId="0" fontId="46" fillId="61" borderId="24" xfId="95" applyFont="1" applyFill="1" applyBorder="1" applyAlignment="1">
      <alignment horizontal="center" vertical="center"/>
      <protection/>
    </xf>
    <xf numFmtId="3" fontId="46" fillId="61" borderId="24" xfId="95" applyNumberFormat="1" applyFont="1" applyFill="1" applyBorder="1" applyAlignment="1" quotePrefix="1">
      <alignment vertical="center"/>
      <protection/>
    </xf>
    <xf numFmtId="3" fontId="46" fillId="61" borderId="40" xfId="95" applyNumberFormat="1" applyFont="1" applyFill="1" applyBorder="1" applyAlignment="1" quotePrefix="1">
      <alignment vertical="center"/>
      <protection/>
    </xf>
    <xf numFmtId="3" fontId="47" fillId="45" borderId="70" xfId="0" applyNumberFormat="1" applyFont="1" applyFill="1" applyBorder="1" applyAlignment="1">
      <alignment horizontal="right" vertical="center"/>
    </xf>
    <xf numFmtId="3" fontId="47" fillId="45" borderId="47" xfId="0" applyNumberFormat="1" applyFont="1" applyFill="1" applyBorder="1" applyAlignment="1">
      <alignment horizontal="right" vertical="center"/>
    </xf>
    <xf numFmtId="0" fontId="46" fillId="56" borderId="24" xfId="0" applyFont="1" applyFill="1" applyBorder="1" applyAlignment="1" applyProtection="1">
      <alignment horizontal="center" vertical="center"/>
      <protection locked="0"/>
    </xf>
    <xf numFmtId="0" fontId="47" fillId="45" borderId="131" xfId="0" applyFont="1" applyFill="1" applyBorder="1" applyAlignment="1" applyProtection="1">
      <alignment horizontal="center" vertical="center"/>
      <protection locked="0"/>
    </xf>
    <xf numFmtId="49" fontId="47" fillId="0" borderId="92" xfId="95" applyNumberFormat="1" applyFont="1" applyFill="1" applyBorder="1" applyAlignment="1">
      <alignment vertical="center" wrapText="1"/>
      <protection/>
    </xf>
    <xf numFmtId="3" fontId="47" fillId="0" borderId="120" xfId="95" applyNumberFormat="1" applyFont="1" applyFill="1" applyBorder="1" applyAlignment="1" quotePrefix="1">
      <alignment vertical="center"/>
      <protection/>
    </xf>
    <xf numFmtId="3" fontId="47" fillId="0" borderId="71" xfId="95" applyNumberFormat="1" applyFont="1" applyFill="1" applyBorder="1" applyAlignment="1" quotePrefix="1">
      <alignment vertical="center"/>
      <protection/>
    </xf>
    <xf numFmtId="3" fontId="47" fillId="0" borderId="128" xfId="95" applyNumberFormat="1" applyFont="1" applyFill="1" applyBorder="1" applyAlignment="1" quotePrefix="1">
      <alignment vertical="center"/>
      <protection/>
    </xf>
    <xf numFmtId="3" fontId="47" fillId="0" borderId="132" xfId="95" applyNumberFormat="1" applyFont="1" applyFill="1" applyBorder="1" applyAlignment="1">
      <alignment vertical="center"/>
      <protection/>
    </xf>
    <xf numFmtId="3" fontId="0" fillId="45" borderId="0" xfId="0" applyNumberFormat="1" applyFont="1" applyFill="1" applyAlignment="1">
      <alignment/>
    </xf>
    <xf numFmtId="0" fontId="47" fillId="45" borderId="83" xfId="0" applyFont="1" applyFill="1" applyBorder="1" applyAlignment="1" applyProtection="1">
      <alignment horizontal="center" vertical="center"/>
      <protection locked="0"/>
    </xf>
    <xf numFmtId="3" fontId="52" fillId="0" borderId="51" xfId="0" applyNumberFormat="1" applyFont="1" applyFill="1" applyBorder="1" applyAlignment="1">
      <alignment horizontal="right" vertical="center"/>
    </xf>
    <xf numFmtId="3" fontId="47" fillId="45" borderId="57" xfId="0" applyNumberFormat="1" applyFont="1" applyFill="1" applyBorder="1" applyAlignment="1">
      <alignment horizontal="right" vertical="center"/>
    </xf>
    <xf numFmtId="3" fontId="47" fillId="0" borderId="35" xfId="95" applyNumberFormat="1" applyFont="1" applyFill="1" applyBorder="1" applyAlignment="1" quotePrefix="1">
      <alignment vertical="center"/>
      <protection/>
    </xf>
    <xf numFmtId="0" fontId="48" fillId="62" borderId="39" xfId="106" applyFont="1" applyFill="1" applyBorder="1" applyAlignment="1" applyProtection="1">
      <alignment horizontal="center" vertical="center"/>
      <protection hidden="1"/>
    </xf>
    <xf numFmtId="0" fontId="36" fillId="62" borderId="40" xfId="106" applyFont="1" applyFill="1" applyBorder="1" applyAlignment="1" applyProtection="1">
      <alignment vertical="center"/>
      <protection hidden="1"/>
    </xf>
    <xf numFmtId="3" fontId="36" fillId="62" borderId="39" xfId="68" applyNumberFormat="1" applyFont="1" applyFill="1" applyBorder="1" applyAlignment="1" applyProtection="1">
      <alignment horizontal="right" vertical="center" wrapText="1"/>
      <protection hidden="1"/>
    </xf>
    <xf numFmtId="3" fontId="36" fillId="62" borderId="24" xfId="68" applyNumberFormat="1" applyFont="1" applyFill="1" applyBorder="1" applyAlignment="1" applyProtection="1">
      <alignment horizontal="right" vertical="center" wrapText="1"/>
      <protection hidden="1"/>
    </xf>
    <xf numFmtId="3" fontId="36" fillId="62" borderId="24" xfId="68" applyNumberFormat="1" applyFont="1" applyFill="1" applyBorder="1" applyAlignment="1" applyProtection="1">
      <alignment horizontal="right" vertical="center"/>
      <protection hidden="1"/>
    </xf>
    <xf numFmtId="0" fontId="48" fillId="62" borderId="39" xfId="95" applyFont="1" applyFill="1" applyBorder="1" applyAlignment="1" applyProtection="1">
      <alignment horizontal="center" vertical="center"/>
      <protection hidden="1"/>
    </xf>
    <xf numFmtId="0" fontId="48" fillId="62" borderId="40" xfId="95" applyFont="1" applyFill="1" applyBorder="1" applyAlignment="1" applyProtection="1">
      <alignment vertical="center"/>
      <protection hidden="1"/>
    </xf>
    <xf numFmtId="3" fontId="48" fillId="62" borderId="24" xfId="106" applyNumberFormat="1" applyFont="1" applyFill="1" applyBorder="1" applyAlignment="1" applyProtection="1">
      <alignment horizontal="right" vertical="center"/>
      <protection hidden="1"/>
    </xf>
    <xf numFmtId="0" fontId="48" fillId="62" borderId="40" xfId="95" applyFont="1" applyFill="1" applyBorder="1" applyAlignment="1" applyProtection="1">
      <alignment vertical="center"/>
      <protection/>
    </xf>
    <xf numFmtId="3" fontId="48" fillId="62" borderId="24" xfId="68" applyNumberFormat="1" applyFont="1" applyFill="1" applyBorder="1" applyAlignment="1" applyProtection="1">
      <alignment horizontal="right" vertical="center" wrapText="1"/>
      <protection/>
    </xf>
    <xf numFmtId="3" fontId="46" fillId="54" borderId="25" xfId="106" applyNumberFormat="1" applyFont="1" applyFill="1" applyBorder="1" applyAlignment="1" applyProtection="1">
      <alignment horizontal="right" vertical="center"/>
      <protection hidden="1"/>
    </xf>
    <xf numFmtId="3" fontId="46" fillId="0" borderId="71" xfId="106" applyNumberFormat="1" applyFont="1" applyBorder="1" applyAlignment="1" applyProtection="1">
      <alignment horizontal="right" vertical="center"/>
      <protection hidden="1"/>
    </xf>
    <xf numFmtId="3" fontId="47" fillId="0" borderId="120" xfId="106" applyNumberFormat="1" applyFont="1" applyFill="1" applyBorder="1" applyAlignment="1" applyProtection="1">
      <alignment horizontal="right" vertical="center"/>
      <protection hidden="1"/>
    </xf>
    <xf numFmtId="3" fontId="47" fillId="0" borderId="120" xfId="106" applyNumberFormat="1" applyFont="1" applyBorder="1" applyAlignment="1" applyProtection="1">
      <alignment horizontal="right" vertical="center"/>
      <protection hidden="1"/>
    </xf>
    <xf numFmtId="3" fontId="46" fillId="0" borderId="120" xfId="95" applyNumberFormat="1" applyFont="1" applyFill="1" applyBorder="1" applyAlignment="1" applyProtection="1">
      <alignment horizontal="right" vertical="center"/>
      <protection hidden="1"/>
    </xf>
    <xf numFmtId="3" fontId="42" fillId="0" borderId="120" xfId="106" applyNumberFormat="1" applyFont="1" applyBorder="1" applyAlignment="1" applyProtection="1">
      <alignment horizontal="right" vertical="center"/>
      <protection hidden="1"/>
    </xf>
    <xf numFmtId="3" fontId="48" fillId="62" borderId="25" xfId="68" applyNumberFormat="1" applyFont="1" applyFill="1" applyBorder="1" applyAlignment="1" applyProtection="1">
      <alignment horizontal="right" vertical="center" wrapText="1"/>
      <protection/>
    </xf>
    <xf numFmtId="3" fontId="47" fillId="0" borderId="0" xfId="106" applyNumberFormat="1" applyFont="1" applyBorder="1" applyAlignment="1" applyProtection="1">
      <alignment horizontal="right" vertical="center"/>
      <protection hidden="1"/>
    </xf>
    <xf numFmtId="3" fontId="48" fillId="62" borderId="25" xfId="106" applyNumberFormat="1" applyFont="1" applyFill="1" applyBorder="1" applyAlignment="1" applyProtection="1">
      <alignment horizontal="right" vertical="center"/>
      <protection hidden="1"/>
    </xf>
    <xf numFmtId="3" fontId="46" fillId="0" borderId="71" xfId="95" applyNumberFormat="1" applyFont="1" applyBorder="1" applyAlignment="1">
      <alignment horizontal="right" vertical="center"/>
      <protection/>
    </xf>
    <xf numFmtId="3" fontId="46" fillId="0" borderId="120" xfId="95" applyNumberFormat="1" applyFont="1" applyBorder="1" applyAlignment="1">
      <alignment horizontal="right" vertical="center"/>
      <protection/>
    </xf>
    <xf numFmtId="3" fontId="36" fillId="62" borderId="25" xfId="68" applyNumberFormat="1" applyFont="1" applyFill="1" applyBorder="1" applyAlignment="1" applyProtection="1">
      <alignment horizontal="right" vertical="center"/>
      <protection hidden="1"/>
    </xf>
    <xf numFmtId="3" fontId="36" fillId="53" borderId="25" xfId="106" applyNumberFormat="1" applyFont="1" applyFill="1" applyBorder="1" applyAlignment="1" applyProtection="1">
      <alignment horizontal="right" vertical="center"/>
      <protection hidden="1"/>
    </xf>
    <xf numFmtId="3" fontId="46" fillId="0" borderId="57" xfId="95" applyNumberFormat="1" applyFont="1" applyBorder="1" applyAlignment="1">
      <alignment horizontal="right" vertical="center"/>
      <protection/>
    </xf>
    <xf numFmtId="3" fontId="46" fillId="0" borderId="57" xfId="106" applyNumberFormat="1" applyFont="1" applyFill="1" applyBorder="1" applyAlignment="1" applyProtection="1">
      <alignment horizontal="right" vertical="center"/>
      <protection hidden="1"/>
    </xf>
    <xf numFmtId="3" fontId="46" fillId="0" borderId="57" xfId="95" applyNumberFormat="1" applyFont="1" applyFill="1" applyBorder="1" applyAlignment="1" applyProtection="1">
      <alignment horizontal="right" vertical="center"/>
      <protection hidden="1"/>
    </xf>
    <xf numFmtId="3" fontId="48" fillId="62" borderId="40" xfId="68" applyNumberFormat="1" applyFont="1" applyFill="1" applyBorder="1" applyAlignment="1" applyProtection="1">
      <alignment horizontal="right" vertical="center" wrapText="1"/>
      <protection/>
    </xf>
    <xf numFmtId="3" fontId="46" fillId="28" borderId="40" xfId="106" applyNumberFormat="1" applyFont="1" applyFill="1" applyBorder="1" applyAlignment="1" applyProtection="1">
      <alignment horizontal="right" vertical="center"/>
      <protection hidden="1"/>
    </xf>
    <xf numFmtId="3" fontId="46" fillId="0" borderId="70" xfId="95" applyNumberFormat="1" applyFont="1" applyBorder="1" applyAlignment="1">
      <alignment horizontal="right" vertical="center"/>
      <protection/>
    </xf>
    <xf numFmtId="3" fontId="48" fillId="62" borderId="40" xfId="106" applyNumberFormat="1" applyFont="1" applyFill="1" applyBorder="1" applyAlignment="1" applyProtection="1">
      <alignment horizontal="right" vertical="center"/>
      <protection hidden="1"/>
    </xf>
    <xf numFmtId="3" fontId="46" fillId="60" borderId="40" xfId="63" applyNumberFormat="1" applyFont="1" applyFill="1" applyBorder="1" applyAlignment="1" applyProtection="1">
      <alignment horizontal="right" vertical="center"/>
      <protection/>
    </xf>
    <xf numFmtId="3" fontId="46" fillId="54" borderId="24" xfId="106" applyNumberFormat="1" applyFont="1" applyFill="1" applyBorder="1" applyAlignment="1" applyProtection="1">
      <alignment horizontal="right" vertical="center"/>
      <protection hidden="1"/>
    </xf>
    <xf numFmtId="3" fontId="47" fillId="0" borderId="35" xfId="106" applyNumberFormat="1" applyFont="1" applyFill="1" applyBorder="1" applyAlignment="1" applyProtection="1">
      <alignment horizontal="right" vertical="center"/>
      <protection hidden="1"/>
    </xf>
    <xf numFmtId="3" fontId="47" fillId="0" borderId="51" xfId="106" applyNumberFormat="1" applyFont="1" applyBorder="1" applyAlignment="1" applyProtection="1">
      <alignment horizontal="right" vertical="center"/>
      <protection hidden="1"/>
    </xf>
    <xf numFmtId="3" fontId="46" fillId="0" borderId="39" xfId="95" applyNumberFormat="1" applyFont="1" applyBorder="1" applyAlignment="1">
      <alignment horizontal="right" vertical="center"/>
      <protection/>
    </xf>
    <xf numFmtId="3" fontId="8" fillId="0" borderId="120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3" fontId="8" fillId="49" borderId="128" xfId="0" applyNumberFormat="1" applyFont="1" applyFill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13" fillId="0" borderId="71" xfId="0" applyNumberFormat="1" applyFont="1" applyBorder="1" applyAlignment="1">
      <alignment vertical="center"/>
    </xf>
    <xf numFmtId="3" fontId="13" fillId="0" borderId="133" xfId="0" applyNumberFormat="1" applyFont="1" applyBorder="1" applyAlignment="1">
      <alignment vertical="center"/>
    </xf>
    <xf numFmtId="3" fontId="47" fillId="0" borderId="35" xfId="68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9" fillId="50" borderId="82" xfId="0" applyFont="1" applyFill="1" applyBorder="1" applyAlignment="1">
      <alignment horizontal="center" vertical="center"/>
    </xf>
    <xf numFmtId="0" fontId="19" fillId="50" borderId="28" xfId="0" applyFont="1" applyFill="1" applyBorder="1" applyAlignment="1">
      <alignment horizontal="center" vertical="center"/>
    </xf>
    <xf numFmtId="0" fontId="19" fillId="5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" fontId="8" fillId="0" borderId="37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3" fontId="8" fillId="0" borderId="111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134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50" borderId="40" xfId="0" applyFont="1" applyFill="1" applyBorder="1" applyAlignment="1">
      <alignment horizontal="center" vertical="center"/>
    </xf>
    <xf numFmtId="0" fontId="15" fillId="50" borderId="46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vertical="center"/>
    </xf>
    <xf numFmtId="0" fontId="16" fillId="49" borderId="13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4" fillId="0" borderId="55" xfId="0" applyFont="1" applyBorder="1" applyAlignment="1">
      <alignment vertical="center"/>
    </xf>
    <xf numFmtId="3" fontId="8" fillId="49" borderId="87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20" xfId="0" applyNumberFormat="1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0" borderId="112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0" fontId="8" fillId="0" borderId="119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45" borderId="110" xfId="0" applyFont="1" applyFill="1" applyBorder="1" applyAlignment="1">
      <alignment vertical="center"/>
    </xf>
    <xf numFmtId="3" fontId="13" fillId="0" borderId="135" xfId="0" applyNumberFormat="1" applyFont="1" applyFill="1" applyBorder="1" applyAlignment="1">
      <alignment vertical="center"/>
    </xf>
    <xf numFmtId="3" fontId="8" fillId="49" borderId="92" xfId="0" applyNumberFormat="1" applyFont="1" applyFill="1" applyBorder="1" applyAlignment="1">
      <alignment vertical="center"/>
    </xf>
    <xf numFmtId="0" fontId="16" fillId="49" borderId="127" xfId="0" applyFont="1" applyFill="1" applyBorder="1" applyAlignment="1">
      <alignment vertical="center"/>
    </xf>
    <xf numFmtId="4" fontId="8" fillId="0" borderId="134" xfId="0" applyNumberFormat="1" applyFont="1" applyBorder="1" applyAlignment="1">
      <alignment vertical="center"/>
    </xf>
    <xf numFmtId="4" fontId="8" fillId="0" borderId="118" xfId="0" applyNumberFormat="1" applyFont="1" applyBorder="1" applyAlignment="1">
      <alignment vertical="center"/>
    </xf>
    <xf numFmtId="4" fontId="8" fillId="0" borderId="111" xfId="0" applyNumberFormat="1" applyFont="1" applyFill="1" applyBorder="1" applyAlignment="1">
      <alignment vertical="center"/>
    </xf>
    <xf numFmtId="0" fontId="18" fillId="0" borderId="119" xfId="0" applyFont="1" applyBorder="1" applyAlignment="1">
      <alignment horizontal="right" vertical="center"/>
    </xf>
    <xf numFmtId="0" fontId="8" fillId="0" borderId="119" xfId="0" applyFont="1" applyFill="1" applyBorder="1" applyAlignment="1">
      <alignment vertical="center"/>
    </xf>
    <xf numFmtId="0" fontId="18" fillId="0" borderId="119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49" borderId="41" xfId="0" applyFont="1" applyFill="1" applyBorder="1" applyAlignment="1">
      <alignment vertical="center"/>
    </xf>
    <xf numFmtId="3" fontId="13" fillId="0" borderId="136" xfId="0" applyNumberFormat="1" applyFont="1" applyBorder="1" applyAlignment="1">
      <alignment vertical="center"/>
    </xf>
    <xf numFmtId="4" fontId="8" fillId="0" borderId="105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16" fillId="49" borderId="53" xfId="0" applyFont="1" applyFill="1" applyBorder="1" applyAlignment="1">
      <alignment vertical="center"/>
    </xf>
    <xf numFmtId="3" fontId="13" fillId="59" borderId="68" xfId="0" applyNumberFormat="1" applyFont="1" applyFill="1" applyBorder="1" applyAlignment="1">
      <alignment horizontal="right" vertical="center"/>
    </xf>
    <xf numFmtId="3" fontId="13" fillId="59" borderId="67" xfId="0" applyNumberFormat="1" applyFont="1" applyFill="1" applyBorder="1" applyAlignment="1">
      <alignment horizontal="right" vertical="center"/>
    </xf>
    <xf numFmtId="0" fontId="124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8" fillId="0" borderId="0" xfId="0" applyFont="1" applyBorder="1" applyAlignment="1">
      <alignment horizontal="right" vertical="center"/>
    </xf>
    <xf numFmtId="0" fontId="129" fillId="0" borderId="0" xfId="0" applyFont="1" applyBorder="1" applyAlignment="1">
      <alignment horizontal="center" vertical="center" wrapText="1"/>
    </xf>
    <xf numFmtId="3" fontId="130" fillId="0" borderId="0" xfId="0" applyNumberFormat="1" applyFont="1" applyBorder="1" applyAlignment="1">
      <alignment vertical="center"/>
    </xf>
    <xf numFmtId="3" fontId="124" fillId="0" borderId="0" xfId="0" applyNumberFormat="1" applyFont="1" applyBorder="1" applyAlignment="1">
      <alignment vertical="center"/>
    </xf>
    <xf numFmtId="3" fontId="130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42" fillId="0" borderId="37" xfId="68" applyNumberFormat="1" applyFont="1" applyBorder="1" applyAlignment="1" applyProtection="1">
      <alignment horizontal="right" vertical="center"/>
      <protection hidden="1"/>
    </xf>
    <xf numFmtId="3" fontId="47" fillId="0" borderId="55" xfId="68" applyNumberFormat="1" applyFont="1" applyBorder="1" applyAlignment="1" applyProtection="1">
      <alignment horizontal="right" vertical="center"/>
      <protection hidden="1"/>
    </xf>
    <xf numFmtId="3" fontId="47" fillId="0" borderId="57" xfId="95" applyNumberFormat="1" applyFont="1" applyBorder="1" applyAlignment="1">
      <alignment horizontal="right" vertical="center"/>
      <protection/>
    </xf>
    <xf numFmtId="3" fontId="47" fillId="0" borderId="70" xfId="95" applyNumberFormat="1" applyFont="1" applyBorder="1" applyAlignment="1">
      <alignment horizontal="right" vertical="center"/>
      <protection/>
    </xf>
    <xf numFmtId="3" fontId="47" fillId="0" borderId="128" xfId="106" applyNumberFormat="1" applyFont="1" applyBorder="1" applyAlignment="1" applyProtection="1">
      <alignment horizontal="right" vertical="center"/>
      <protection hidden="1"/>
    </xf>
    <xf numFmtId="3" fontId="46" fillId="0" borderId="50" xfId="106" applyNumberFormat="1" applyFont="1" applyBorder="1" applyAlignment="1" applyProtection="1">
      <alignment horizontal="right" vertical="center"/>
      <protection hidden="1"/>
    </xf>
    <xf numFmtId="3" fontId="47" fillId="0" borderId="130" xfId="106" applyNumberFormat="1" applyFont="1" applyBorder="1" applyAlignment="1" applyProtection="1">
      <alignment horizontal="right" vertical="center"/>
      <protection hidden="1"/>
    </xf>
    <xf numFmtId="3" fontId="42" fillId="0" borderId="50" xfId="106" applyNumberFormat="1" applyFont="1" applyFill="1" applyBorder="1" applyAlignment="1" applyProtection="1">
      <alignment horizontal="right" vertical="center"/>
      <protection hidden="1"/>
    </xf>
    <xf numFmtId="3" fontId="42" fillId="0" borderId="130" xfId="106" applyNumberFormat="1" applyFont="1" applyFill="1" applyBorder="1" applyAlignment="1" applyProtection="1">
      <alignment horizontal="right" vertical="center"/>
      <protection hidden="1"/>
    </xf>
    <xf numFmtId="3" fontId="36" fillId="54" borderId="39" xfId="63" applyNumberFormat="1" applyFont="1" applyFill="1" applyBorder="1" applyAlignment="1" applyProtection="1">
      <alignment horizontal="right" vertical="center"/>
      <protection/>
    </xf>
    <xf numFmtId="3" fontId="36" fillId="54" borderId="40" xfId="63" applyNumberFormat="1" applyFont="1" applyFill="1" applyBorder="1" applyAlignment="1" applyProtection="1">
      <alignment horizontal="right" vertical="center"/>
      <protection/>
    </xf>
    <xf numFmtId="3" fontId="36" fillId="53" borderId="24" xfId="106" applyNumberFormat="1" applyFont="1" applyFill="1" applyBorder="1" applyAlignment="1" applyProtection="1">
      <alignment horizontal="right" vertical="center"/>
      <protection hidden="1"/>
    </xf>
    <xf numFmtId="3" fontId="17" fillId="0" borderId="120" xfId="105" applyNumberFormat="1" applyFont="1" applyFill="1" applyBorder="1" applyAlignment="1">
      <alignment horizontal="right" vertical="center"/>
      <protection/>
    </xf>
    <xf numFmtId="0" fontId="12" fillId="0" borderId="23" xfId="105" applyFont="1" applyFill="1" applyBorder="1" applyAlignment="1">
      <alignment vertical="center"/>
      <protection/>
    </xf>
    <xf numFmtId="3" fontId="14" fillId="58" borderId="23" xfId="105" applyNumberFormat="1" applyFont="1" applyFill="1" applyBorder="1" applyAlignment="1">
      <alignment horizontal="right" vertical="center"/>
      <protection/>
    </xf>
    <xf numFmtId="3" fontId="17" fillId="0" borderId="102" xfId="105" applyNumberFormat="1" applyFont="1" applyFill="1" applyBorder="1" applyAlignment="1">
      <alignment horizontal="right" vertical="center"/>
      <protection/>
    </xf>
    <xf numFmtId="3" fontId="17" fillId="0" borderId="23" xfId="105" applyNumberFormat="1" applyFont="1" applyFill="1" applyBorder="1" applyAlignment="1">
      <alignment horizontal="right" vertical="center"/>
      <protection/>
    </xf>
    <xf numFmtId="3" fontId="17" fillId="0" borderId="27" xfId="103" applyNumberFormat="1" applyFont="1" applyFill="1" applyBorder="1" applyAlignment="1">
      <alignment horizontal="right" vertical="center"/>
    </xf>
    <xf numFmtId="3" fontId="17" fillId="0" borderId="30" xfId="103" applyNumberFormat="1" applyFont="1" applyFill="1" applyBorder="1" applyAlignment="1">
      <alignment horizontal="right" vertical="center"/>
    </xf>
    <xf numFmtId="3" fontId="14" fillId="54" borderId="24" xfId="105" applyNumberFormat="1" applyFont="1" applyFill="1" applyBorder="1" applyAlignment="1">
      <alignment vertical="center"/>
      <protection/>
    </xf>
    <xf numFmtId="3" fontId="17" fillId="0" borderId="80" xfId="105" applyNumberFormat="1" applyFont="1" applyFill="1" applyBorder="1" applyAlignment="1">
      <alignment horizontal="right" vertical="center"/>
      <protection/>
    </xf>
    <xf numFmtId="0" fontId="34" fillId="0" borderId="51" xfId="0" applyFont="1" applyFill="1" applyBorder="1" applyAlignment="1">
      <alignment horizontal="center" vertical="center"/>
    </xf>
    <xf numFmtId="3" fontId="41" fillId="45" borderId="70" xfId="0" applyNumberFormat="1" applyFont="1" applyFill="1" applyBorder="1" applyAlignment="1">
      <alignment horizontal="right" vertical="center"/>
    </xf>
    <xf numFmtId="0" fontId="21" fillId="45" borderId="39" xfId="0" applyFont="1" applyFill="1" applyBorder="1" applyAlignment="1">
      <alignment horizontal="center" vertical="center"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41" fillId="0" borderId="51" xfId="0" applyFont="1" applyFill="1" applyBorder="1" applyAlignment="1">
      <alignment horizontal="center" vertical="center"/>
    </xf>
    <xf numFmtId="0" fontId="2" fillId="45" borderId="0" xfId="0" applyFont="1" applyFill="1" applyAlignment="1">
      <alignment horizontal="right" vertical="center"/>
    </xf>
    <xf numFmtId="0" fontId="13" fillId="45" borderId="0" xfId="0" applyFont="1" applyFill="1" applyAlignment="1">
      <alignment horizontal="centerContinuous" vertical="center" wrapText="1"/>
    </xf>
    <xf numFmtId="0" fontId="13" fillId="45" borderId="0" xfId="0" applyFont="1" applyFill="1" applyAlignment="1">
      <alignment horizontal="centerContinuous" vertical="center" wrapText="1"/>
    </xf>
    <xf numFmtId="0" fontId="18" fillId="45" borderId="0" xfId="0" applyFont="1" applyFill="1" applyBorder="1" applyAlignment="1" applyProtection="1">
      <alignment horizontal="centerContinuous" vertical="center"/>
      <protection locked="0"/>
    </xf>
    <xf numFmtId="0" fontId="2" fillId="45" borderId="0" xfId="0" applyFont="1" applyFill="1" applyAlignment="1">
      <alignment horizontal="centerContinuous" vertical="center" wrapText="1"/>
    </xf>
    <xf numFmtId="0" fontId="0" fillId="45" borderId="0" xfId="0" applyFill="1" applyAlignment="1">
      <alignment horizontal="centerContinuous" vertical="center"/>
    </xf>
    <xf numFmtId="0" fontId="18" fillId="45" borderId="0" xfId="0" applyFont="1" applyFill="1" applyAlignment="1">
      <alignment horizontal="centerContinuous" vertical="center"/>
    </xf>
    <xf numFmtId="0" fontId="0" fillId="45" borderId="0" xfId="0" applyFill="1" applyAlignment="1">
      <alignment horizontal="right" vertical="center"/>
    </xf>
    <xf numFmtId="0" fontId="34" fillId="0" borderId="50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50" borderId="13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" fillId="54" borderId="24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" fillId="54" borderId="39" xfId="0" applyFont="1" applyFill="1" applyBorder="1" applyAlignment="1">
      <alignment horizontal="center" vertical="center"/>
    </xf>
    <xf numFmtId="3" fontId="41" fillId="0" borderId="35" xfId="102" applyNumberFormat="1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center" vertical="center"/>
    </xf>
    <xf numFmtId="3" fontId="34" fillId="0" borderId="35" xfId="102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2" fillId="58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58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4" fillId="17" borderId="82" xfId="106" applyFont="1" applyFill="1" applyBorder="1" applyAlignment="1" applyProtection="1">
      <alignment horizontal="center" vertical="center" wrapText="1"/>
      <protection hidden="1"/>
    </xf>
    <xf numFmtId="0" fontId="54" fillId="17" borderId="40" xfId="106" applyFont="1" applyFill="1" applyBorder="1" applyAlignment="1" applyProtection="1">
      <alignment horizontal="center" vertical="center" wrapText="1"/>
      <protection hidden="1"/>
    </xf>
    <xf numFmtId="3" fontId="54" fillId="17" borderId="39" xfId="106" applyNumberFormat="1" applyFont="1" applyFill="1" applyBorder="1" applyAlignment="1" applyProtection="1">
      <alignment horizontal="center" vertical="center" wrapText="1"/>
      <protection hidden="1"/>
    </xf>
    <xf numFmtId="3" fontId="54" fillId="17" borderId="24" xfId="106" applyNumberFormat="1" applyFont="1" applyFill="1" applyBorder="1" applyAlignment="1" applyProtection="1">
      <alignment horizontal="center" vertical="center" wrapText="1"/>
      <protection hidden="1"/>
    </xf>
    <xf numFmtId="3" fontId="55" fillId="17" borderId="40" xfId="0" applyNumberFormat="1" applyFont="1" applyFill="1" applyBorder="1" applyAlignment="1">
      <alignment horizontal="center" vertical="center" wrapText="1"/>
    </xf>
    <xf numFmtId="3" fontId="54" fillId="17" borderId="25" xfId="10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46" fillId="54" borderId="24" xfId="106" applyFont="1" applyFill="1" applyBorder="1" applyAlignment="1" applyProtection="1">
      <alignment horizontal="center" vertical="center"/>
      <protection hidden="1"/>
    </xf>
    <xf numFmtId="0" fontId="48" fillId="62" borderId="24" xfId="106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4" fillId="0" borderId="5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46" fillId="0" borderId="25" xfId="106" applyNumberFormat="1" applyFont="1" applyFill="1" applyBorder="1" applyAlignment="1" applyProtection="1">
      <alignment horizontal="center" vertical="center" wrapText="1"/>
      <protection hidden="1"/>
    </xf>
    <xf numFmtId="3" fontId="14" fillId="45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47" fillId="0" borderId="121" xfId="106" applyFont="1" applyBorder="1" applyAlignment="1" applyProtection="1">
      <alignment vertical="center"/>
      <protection hidden="1"/>
    </xf>
    <xf numFmtId="3" fontId="47" fillId="0" borderId="48" xfId="106" applyNumberFormat="1" applyFont="1" applyBorder="1" applyAlignment="1" applyProtection="1">
      <alignment horizontal="right" vertical="center"/>
      <protection hidden="1"/>
    </xf>
    <xf numFmtId="0" fontId="47" fillId="0" borderId="69" xfId="95" applyFont="1" applyBorder="1" applyAlignment="1">
      <alignment vertical="center"/>
      <protection/>
    </xf>
    <xf numFmtId="3" fontId="47" fillId="0" borderId="125" xfId="106" applyNumberFormat="1" applyFont="1" applyBorder="1" applyAlignment="1" applyProtection="1">
      <alignment horizontal="right" vertical="center"/>
      <protection hidden="1"/>
    </xf>
    <xf numFmtId="3" fontId="47" fillId="0" borderId="55" xfId="106" applyNumberFormat="1" applyFont="1" applyBorder="1" applyAlignment="1" applyProtection="1">
      <alignment horizontal="right" vertical="center"/>
      <protection hidden="1"/>
    </xf>
    <xf numFmtId="3" fontId="46" fillId="0" borderId="65" xfId="106" applyNumberFormat="1" applyFont="1" applyBorder="1" applyAlignment="1" applyProtection="1">
      <alignment horizontal="right" vertical="center"/>
      <protection hidden="1"/>
    </xf>
    <xf numFmtId="3" fontId="46" fillId="0" borderId="70" xfId="106" applyNumberFormat="1" applyFont="1" applyBorder="1" applyAlignment="1" applyProtection="1">
      <alignment horizontal="right" vertical="center"/>
      <protection hidden="1"/>
    </xf>
    <xf numFmtId="3" fontId="52" fillId="54" borderId="39" xfId="63" applyNumberFormat="1" applyFont="1" applyFill="1" applyBorder="1" applyAlignment="1" applyProtection="1">
      <alignment horizontal="right" vertical="center"/>
      <protection/>
    </xf>
    <xf numFmtId="3" fontId="46" fillId="0" borderId="24" xfId="95" applyNumberFormat="1" applyFont="1" applyBorder="1" applyAlignment="1">
      <alignment horizontal="right" vertical="center"/>
      <protection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0" fontId="34" fillId="57" borderId="34" xfId="108" applyFont="1" applyFill="1" applyBorder="1" applyAlignment="1">
      <alignment horizontal="center" vertical="center" wrapText="1"/>
      <protection/>
    </xf>
    <xf numFmtId="0" fontId="34" fillId="0" borderId="124" xfId="108" applyFont="1" applyBorder="1" applyAlignment="1">
      <alignment horizontal="center" vertical="center" wrapText="1"/>
      <protection/>
    </xf>
    <xf numFmtId="0" fontId="34" fillId="0" borderId="138" xfId="108" applyFont="1" applyBorder="1" applyAlignment="1">
      <alignment horizontal="center" vertical="center" wrapText="1"/>
      <protection/>
    </xf>
    <xf numFmtId="0" fontId="34" fillId="0" borderId="121" xfId="108" applyFont="1" applyBorder="1" applyAlignment="1">
      <alignment horizontal="center" vertical="center" wrapText="1"/>
      <protection/>
    </xf>
    <xf numFmtId="0" fontId="34" fillId="57" borderId="24" xfId="108" applyFont="1" applyFill="1" applyBorder="1" applyAlignment="1">
      <alignment horizontal="center" vertical="center" wrapText="1"/>
      <protection/>
    </xf>
    <xf numFmtId="0" fontId="38" fillId="50" borderId="24" xfId="108" applyFont="1" applyFill="1" applyBorder="1" applyAlignment="1">
      <alignment horizontal="center" vertical="center"/>
      <protection/>
    </xf>
    <xf numFmtId="0" fontId="38" fillId="50" borderId="46" xfId="108" applyFont="1" applyFill="1" applyBorder="1" applyAlignment="1">
      <alignment horizontal="center" vertical="center"/>
      <protection/>
    </xf>
    <xf numFmtId="0" fontId="38" fillId="50" borderId="25" xfId="108" applyFont="1" applyFill="1" applyBorder="1" applyAlignment="1">
      <alignment horizontal="center" vertical="center"/>
      <protection/>
    </xf>
    <xf numFmtId="0" fontId="38" fillId="50" borderId="82" xfId="108" applyFont="1" applyFill="1" applyBorder="1" applyAlignment="1">
      <alignment horizontal="center" vertical="center"/>
      <protection/>
    </xf>
    <xf numFmtId="3" fontId="42" fillId="0" borderId="38" xfId="95" applyNumberFormat="1" applyFont="1" applyBorder="1" applyAlignment="1">
      <alignment horizontal="right" vertical="center"/>
      <protection/>
    </xf>
    <xf numFmtId="3" fontId="34" fillId="0" borderId="0" xfId="0" applyNumberFormat="1" applyFont="1" applyAlignment="1">
      <alignment vertical="center"/>
    </xf>
    <xf numFmtId="3" fontId="34" fillId="0" borderId="79" xfId="101" applyNumberFormat="1" applyFont="1" applyFill="1" applyBorder="1" applyAlignment="1">
      <alignment horizontal="right" vertical="center"/>
    </xf>
    <xf numFmtId="3" fontId="47" fillId="0" borderId="130" xfId="95" applyNumberFormat="1" applyFont="1" applyFill="1" applyBorder="1" applyAlignment="1">
      <alignment vertical="center"/>
      <protection/>
    </xf>
    <xf numFmtId="3" fontId="18" fillId="0" borderId="36" xfId="101" applyNumberFormat="1" applyFont="1" applyFill="1" applyBorder="1" applyAlignment="1">
      <alignment horizontal="right" vertical="center"/>
    </xf>
    <xf numFmtId="3" fontId="18" fillId="0" borderId="36" xfId="101" applyNumberFormat="1" applyFont="1" applyFill="1" applyBorder="1" applyAlignment="1">
      <alignment horizontal="right" vertical="center"/>
    </xf>
    <xf numFmtId="0" fontId="41" fillId="54" borderId="39" xfId="0" applyFont="1" applyFill="1" applyBorder="1" applyAlignment="1" applyProtection="1">
      <alignment horizontal="right" vertical="center"/>
      <protection locked="0"/>
    </xf>
    <xf numFmtId="3" fontId="18" fillId="0" borderId="51" xfId="101" applyNumberFormat="1" applyFont="1" applyFill="1" applyBorder="1" applyAlignment="1">
      <alignment horizontal="right" vertical="center"/>
    </xf>
    <xf numFmtId="3" fontId="34" fillId="0" borderId="36" xfId="102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3" fontId="41" fillId="0" borderId="36" xfId="102" applyNumberFormat="1" applyFont="1" applyFill="1" applyBorder="1" applyAlignment="1">
      <alignment vertical="center"/>
    </xf>
    <xf numFmtId="3" fontId="14" fillId="58" borderId="23" xfId="105" applyNumberFormat="1" applyFont="1" applyFill="1" applyBorder="1" applyAlignment="1">
      <alignment vertical="center"/>
      <protection/>
    </xf>
    <xf numFmtId="0" fontId="46" fillId="0" borderId="52" xfId="106" applyFont="1" applyBorder="1" applyAlignment="1" applyProtection="1">
      <alignment horizontal="center" vertical="center"/>
      <protection hidden="1"/>
    </xf>
    <xf numFmtId="0" fontId="47" fillId="0" borderId="36" xfId="106" applyFont="1" applyBorder="1" applyAlignment="1" applyProtection="1">
      <alignment horizontal="left" vertical="center"/>
      <protection hidden="1"/>
    </xf>
    <xf numFmtId="3" fontId="42" fillId="0" borderId="36" xfId="68" applyNumberFormat="1" applyFont="1" applyBorder="1" applyAlignment="1" applyProtection="1">
      <alignment horizontal="right" vertical="center"/>
      <protection hidden="1"/>
    </xf>
    <xf numFmtId="0" fontId="46" fillId="0" borderId="24" xfId="95" applyFont="1" applyBorder="1" applyAlignment="1">
      <alignment vertical="center"/>
      <protection/>
    </xf>
    <xf numFmtId="4" fontId="15" fillId="0" borderId="0" xfId="105" applyNumberFormat="1" applyFont="1" applyFill="1" applyBorder="1" applyAlignment="1">
      <alignment horizontal="center" vertical="center"/>
      <protection/>
    </xf>
    <xf numFmtId="0" fontId="7" fillId="0" borderId="0" xfId="105" applyFont="1" applyFill="1" applyAlignment="1">
      <alignment horizontal="center" vertical="center"/>
      <protection/>
    </xf>
    <xf numFmtId="0" fontId="46" fillId="0" borderId="54" xfId="95" applyFont="1" applyFill="1" applyBorder="1" applyAlignment="1" applyProtection="1">
      <alignment horizontal="center" vertical="center"/>
      <protection hidden="1"/>
    </xf>
    <xf numFmtId="3" fontId="46" fillId="0" borderId="128" xfId="95" applyNumberFormat="1" applyFont="1" applyBorder="1" applyAlignment="1">
      <alignment horizontal="right" vertical="center"/>
      <protection/>
    </xf>
    <xf numFmtId="3" fontId="46" fillId="0" borderId="69" xfId="95" applyNumberFormat="1" applyFont="1" applyBorder="1" applyAlignment="1">
      <alignment horizontal="right" vertical="center"/>
      <protection/>
    </xf>
    <xf numFmtId="0" fontId="46" fillId="54" borderId="121" xfId="95" applyFont="1" applyFill="1" applyBorder="1" applyAlignment="1" applyProtection="1">
      <alignment horizontal="center" vertical="center"/>
      <protection hidden="1"/>
    </xf>
    <xf numFmtId="0" fontId="46" fillId="54" borderId="139" xfId="95" applyFont="1" applyFill="1" applyBorder="1" applyAlignment="1">
      <alignment vertical="center"/>
      <protection/>
    </xf>
    <xf numFmtId="3" fontId="46" fillId="54" borderId="0" xfId="95" applyNumberFormat="1" applyFont="1" applyFill="1" applyBorder="1" applyAlignment="1">
      <alignment horizontal="right" vertical="center"/>
      <protection/>
    </xf>
    <xf numFmtId="3" fontId="46" fillId="54" borderId="70" xfId="95" applyNumberFormat="1" applyFont="1" applyFill="1" applyBorder="1" applyAlignment="1">
      <alignment horizontal="right" vertical="center"/>
      <protection/>
    </xf>
    <xf numFmtId="3" fontId="46" fillId="54" borderId="25" xfId="95" applyNumberFormat="1" applyFont="1" applyFill="1" applyBorder="1" applyAlignment="1">
      <alignment horizontal="right" vertical="center"/>
      <protection/>
    </xf>
    <xf numFmtId="3" fontId="46" fillId="54" borderId="24" xfId="95" applyNumberFormat="1" applyFont="1" applyFill="1" applyBorder="1" applyAlignment="1">
      <alignment horizontal="right" vertical="center"/>
      <protection/>
    </xf>
    <xf numFmtId="0" fontId="48" fillId="62" borderId="24" xfId="95" applyFont="1" applyFill="1" applyBorder="1" applyAlignment="1" applyProtection="1">
      <alignment horizontal="center" vertical="center"/>
      <protection/>
    </xf>
    <xf numFmtId="0" fontId="48" fillId="62" borderId="24" xfId="95" applyFont="1" applyFill="1" applyBorder="1" applyAlignment="1" applyProtection="1">
      <alignment horizontal="center" vertical="center"/>
      <protection hidden="1"/>
    </xf>
    <xf numFmtId="0" fontId="47" fillId="0" borderId="30" xfId="106" applyFont="1" applyBorder="1" applyAlignment="1" applyProtection="1">
      <alignment horizontal="left" vertical="center"/>
      <protection hidden="1"/>
    </xf>
    <xf numFmtId="0" fontId="36" fillId="62" borderId="24" xfId="106" applyFont="1" applyFill="1" applyBorder="1" applyAlignment="1" applyProtection="1">
      <alignment vertical="center"/>
      <protection hidden="1"/>
    </xf>
    <xf numFmtId="0" fontId="42" fillId="0" borderId="91" xfId="106" applyFont="1" applyBorder="1" applyAlignment="1" applyProtection="1">
      <alignment horizontal="left" vertical="center"/>
      <protection hidden="1"/>
    </xf>
    <xf numFmtId="0" fontId="42" fillId="0" borderId="120" xfId="106" applyFont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>
      <alignment vertical="center" wrapText="1"/>
    </xf>
    <xf numFmtId="0" fontId="34" fillId="0" borderId="50" xfId="110" applyNumberFormat="1" applyFont="1" applyFill="1" applyBorder="1" applyAlignment="1">
      <alignment vertical="center" wrapText="1"/>
      <protection/>
    </xf>
    <xf numFmtId="0" fontId="131" fillId="0" borderId="30" xfId="0" applyFont="1" applyFill="1" applyBorder="1" applyAlignment="1">
      <alignment wrapText="1"/>
    </xf>
    <xf numFmtId="0" fontId="34" fillId="0" borderId="26" xfId="0" applyFont="1" applyFill="1" applyBorder="1" applyAlignment="1">
      <alignment vertical="center" wrapText="1"/>
    </xf>
    <xf numFmtId="3" fontId="12" fillId="53" borderId="34" xfId="102" applyNumberFormat="1" applyFont="1" applyFill="1" applyBorder="1" applyAlignment="1">
      <alignment vertical="center"/>
    </xf>
    <xf numFmtId="0" fontId="41" fillId="58" borderId="140" xfId="0" applyFont="1" applyFill="1" applyBorder="1" applyAlignment="1">
      <alignment horizontal="right" vertical="center"/>
    </xf>
    <xf numFmtId="3" fontId="12" fillId="58" borderId="140" xfId="0" applyNumberFormat="1" applyFont="1" applyFill="1" applyBorder="1" applyAlignment="1">
      <alignment vertical="center"/>
    </xf>
    <xf numFmtId="3" fontId="41" fillId="60" borderId="40" xfId="0" applyNumberFormat="1" applyFont="1" applyFill="1" applyBorder="1" applyAlignment="1">
      <alignment horizontal="right" vertical="center"/>
    </xf>
    <xf numFmtId="0" fontId="12" fillId="60" borderId="24" xfId="0" applyFont="1" applyFill="1" applyBorder="1" applyAlignment="1">
      <alignment horizontal="left" vertical="center" wrapText="1"/>
    </xf>
    <xf numFmtId="3" fontId="12" fillId="53" borderId="39" xfId="102" applyNumberFormat="1" applyFont="1" applyFill="1" applyBorder="1" applyAlignment="1">
      <alignment vertical="center"/>
    </xf>
    <xf numFmtId="0" fontId="41" fillId="63" borderId="24" xfId="0" applyFont="1" applyFill="1" applyBorder="1" applyAlignment="1">
      <alignment horizontal="center" vertical="center"/>
    </xf>
    <xf numFmtId="0" fontId="43" fillId="63" borderId="24" xfId="110" applyNumberFormat="1" applyFont="1" applyFill="1" applyBorder="1" applyAlignment="1">
      <alignment horizontal="right" vertical="center" wrapText="1"/>
      <protection/>
    </xf>
    <xf numFmtId="3" fontId="34" fillId="45" borderId="35" xfId="0" applyNumberFormat="1" applyFont="1" applyFill="1" applyBorder="1" applyAlignment="1">
      <alignment horizontal="right" vertical="center"/>
    </xf>
    <xf numFmtId="3" fontId="41" fillId="63" borderId="24" xfId="111" applyNumberFormat="1" applyFont="1" applyFill="1" applyBorder="1" applyAlignment="1">
      <alignment vertical="center"/>
      <protection/>
    </xf>
    <xf numFmtId="3" fontId="34" fillId="0" borderId="50" xfId="0" applyNumberFormat="1" applyFont="1" applyFill="1" applyBorder="1" applyAlignment="1">
      <alignment horizontal="right" vertical="center"/>
    </xf>
    <xf numFmtId="3" fontId="41" fillId="0" borderId="50" xfId="0" applyNumberFormat="1" applyFont="1" applyFill="1" applyBorder="1" applyAlignment="1">
      <alignment horizontal="right" vertical="center"/>
    </xf>
    <xf numFmtId="0" fontId="46" fillId="0" borderId="57" xfId="95" applyFont="1" applyFill="1" applyBorder="1" applyAlignment="1">
      <alignment vertical="center"/>
      <protection/>
    </xf>
    <xf numFmtId="0" fontId="46" fillId="0" borderId="69" xfId="95" applyFont="1" applyFill="1" applyBorder="1" applyAlignment="1">
      <alignment vertical="center"/>
      <protection/>
    </xf>
    <xf numFmtId="0" fontId="46" fillId="0" borderId="65" xfId="95" applyFont="1" applyFill="1" applyBorder="1" applyAlignment="1">
      <alignment vertical="center"/>
      <protection/>
    </xf>
    <xf numFmtId="0" fontId="47" fillId="0" borderId="57" xfId="95" applyFont="1" applyFill="1" applyBorder="1" applyAlignment="1">
      <alignment vertical="center"/>
      <protection/>
    </xf>
    <xf numFmtId="0" fontId="47" fillId="0" borderId="69" xfId="95" applyFont="1" applyFill="1" applyBorder="1" applyAlignment="1">
      <alignment vertical="center"/>
      <protection/>
    </xf>
    <xf numFmtId="0" fontId="46" fillId="0" borderId="43" xfId="95" applyFont="1" applyFill="1" applyBorder="1" applyAlignment="1">
      <alignment vertical="center"/>
      <protection/>
    </xf>
    <xf numFmtId="0" fontId="46" fillId="0" borderId="116" xfId="106" applyFont="1" applyFill="1" applyBorder="1" applyAlignment="1" applyProtection="1">
      <alignment horizontal="left" vertical="center"/>
      <protection hidden="1"/>
    </xf>
    <xf numFmtId="3" fontId="8" fillId="0" borderId="38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49" borderId="125" xfId="0" applyNumberFormat="1" applyFont="1" applyFill="1" applyBorder="1" applyAlignment="1">
      <alignment vertical="center"/>
    </xf>
    <xf numFmtId="3" fontId="13" fillId="0" borderId="125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58" borderId="102" xfId="0" applyNumberFormat="1" applyFont="1" applyFill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58" borderId="98" xfId="0" applyNumberFormat="1" applyFont="1" applyFill="1" applyBorder="1" applyAlignment="1">
      <alignment vertical="center"/>
    </xf>
    <xf numFmtId="3" fontId="13" fillId="49" borderId="69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58" borderId="39" xfId="0" applyNumberFormat="1" applyFont="1" applyFill="1" applyBorder="1" applyAlignment="1">
      <alignment vertical="center"/>
    </xf>
    <xf numFmtId="3" fontId="13" fillId="0" borderId="115" xfId="0" applyNumberFormat="1" applyFont="1" applyBorder="1" applyAlignment="1">
      <alignment vertical="center"/>
    </xf>
    <xf numFmtId="3" fontId="13" fillId="58" borderId="28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3" fontId="8" fillId="49" borderId="52" xfId="0" applyNumberFormat="1" applyFont="1" applyFill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49" borderId="47" xfId="0" applyNumberFormat="1" applyFont="1" applyFill="1" applyBorder="1" applyAlignment="1">
      <alignment vertical="center"/>
    </xf>
    <xf numFmtId="0" fontId="8" fillId="49" borderId="83" xfId="0" applyFont="1" applyFill="1" applyBorder="1" applyAlignment="1">
      <alignment vertical="center"/>
    </xf>
    <xf numFmtId="0" fontId="8" fillId="49" borderId="54" xfId="0" applyFont="1" applyFill="1" applyBorder="1" applyAlignment="1">
      <alignment vertical="center"/>
    </xf>
    <xf numFmtId="0" fontId="8" fillId="49" borderId="113" xfId="0" applyFont="1" applyFill="1" applyBorder="1" applyAlignment="1">
      <alignment vertical="center"/>
    </xf>
    <xf numFmtId="0" fontId="8" fillId="49" borderId="114" xfId="0" applyFont="1" applyFill="1" applyBorder="1" applyAlignment="1">
      <alignment vertical="center"/>
    </xf>
    <xf numFmtId="0" fontId="8" fillId="49" borderId="115" xfId="0" applyFont="1" applyFill="1" applyBorder="1" applyAlignment="1">
      <alignment vertical="center"/>
    </xf>
    <xf numFmtId="0" fontId="8" fillId="49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13" fillId="0" borderId="59" xfId="0" applyNumberFormat="1" applyFont="1" applyFill="1" applyBorder="1" applyAlignment="1">
      <alignment vertical="center"/>
    </xf>
    <xf numFmtId="3" fontId="8" fillId="49" borderId="69" xfId="0" applyNumberFormat="1" applyFont="1" applyFill="1" applyBorder="1" applyAlignment="1">
      <alignment vertical="center"/>
    </xf>
    <xf numFmtId="3" fontId="13" fillId="50" borderId="124" xfId="0" applyNumberFormat="1" applyFont="1" applyFill="1" applyBorder="1" applyAlignment="1">
      <alignment vertical="center"/>
    </xf>
    <xf numFmtId="3" fontId="13" fillId="0" borderId="70" xfId="0" applyNumberFormat="1" applyFont="1" applyBorder="1" applyAlignment="1">
      <alignment vertical="center"/>
    </xf>
    <xf numFmtId="3" fontId="13" fillId="50" borderId="102" xfId="0" applyNumberFormat="1" applyFont="1" applyFill="1" applyBorder="1" applyAlignment="1">
      <alignment vertical="center"/>
    </xf>
    <xf numFmtId="3" fontId="13" fillId="50" borderId="98" xfId="0" applyNumberFormat="1" applyFont="1" applyFill="1" applyBorder="1" applyAlignment="1">
      <alignment vertical="center"/>
    </xf>
    <xf numFmtId="0" fontId="8" fillId="49" borderId="42" xfId="0" applyFont="1" applyFill="1" applyBorder="1" applyAlignment="1">
      <alignment vertical="center"/>
    </xf>
    <xf numFmtId="0" fontId="8" fillId="49" borderId="28" xfId="0" applyFont="1" applyFill="1" applyBorder="1" applyAlignment="1">
      <alignment vertical="center"/>
    </xf>
    <xf numFmtId="0" fontId="8" fillId="49" borderId="43" xfId="0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13" fillId="0" borderId="8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13" fillId="50" borderId="40" xfId="0" applyNumberFormat="1" applyFont="1" applyFill="1" applyBorder="1" applyAlignment="1">
      <alignment vertical="center"/>
    </xf>
    <xf numFmtId="3" fontId="13" fillId="0" borderId="70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3" fillId="50" borderId="39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13" fillId="50" borderId="28" xfId="0" applyNumberFormat="1" applyFont="1" applyFill="1" applyBorder="1" applyAlignment="1">
      <alignment vertical="center"/>
    </xf>
    <xf numFmtId="3" fontId="13" fillId="0" borderId="1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16" fillId="49" borderId="28" xfId="0" applyFont="1" applyFill="1" applyBorder="1" applyAlignment="1">
      <alignment vertical="center"/>
    </xf>
    <xf numFmtId="3" fontId="13" fillId="0" borderId="93" xfId="0" applyNumberFormat="1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4" fontId="8" fillId="0" borderId="108" xfId="0" applyNumberFormat="1" applyFont="1" applyBorder="1" applyAlignment="1">
      <alignment vertical="center"/>
    </xf>
    <xf numFmtId="4" fontId="8" fillId="0" borderId="101" xfId="0" applyNumberFormat="1" applyFont="1" applyBorder="1" applyAlignment="1">
      <alignment vertical="center"/>
    </xf>
    <xf numFmtId="3" fontId="13" fillId="50" borderId="47" xfId="0" applyNumberFormat="1" applyFont="1" applyFill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49" borderId="0" xfId="0" applyNumberFormat="1" applyFont="1" applyFill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0" borderId="102" xfId="0" applyNumberFormat="1" applyFont="1" applyBorder="1" applyAlignment="1">
      <alignment vertical="center"/>
    </xf>
    <xf numFmtId="3" fontId="13" fillId="0" borderId="128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8" fillId="0" borderId="115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47" fillId="0" borderId="24" xfId="95" applyNumberFormat="1" applyFont="1" applyFill="1" applyBorder="1" applyAlignment="1">
      <alignment vertical="center"/>
      <protection/>
    </xf>
    <xf numFmtId="0" fontId="131" fillId="0" borderId="38" xfId="0" applyFont="1" applyFill="1" applyBorder="1" applyAlignment="1">
      <alignment wrapText="1"/>
    </xf>
    <xf numFmtId="3" fontId="41" fillId="0" borderId="36" xfId="102" applyNumberFormat="1" applyFont="1" applyFill="1" applyBorder="1" applyAlignment="1">
      <alignment horizontal="right" vertical="center"/>
    </xf>
    <xf numFmtId="0" fontId="34" fillId="0" borderId="12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>
      <alignment horizontal="right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57" xfId="0" applyNumberFormat="1" applyFont="1" applyBorder="1" applyAlignment="1">
      <alignment vertical="center"/>
    </xf>
    <xf numFmtId="3" fontId="13" fillId="59" borderId="49" xfId="0" applyNumberFormat="1" applyFont="1" applyFill="1" applyBorder="1" applyAlignment="1">
      <alignment horizontal="right" vertical="center"/>
    </xf>
    <xf numFmtId="3" fontId="14" fillId="58" borderId="28" xfId="0" applyNumberFormat="1" applyFont="1" applyFill="1" applyBorder="1" applyAlignment="1">
      <alignment vertical="center"/>
    </xf>
    <xf numFmtId="3" fontId="14" fillId="54" borderId="124" xfId="105" applyNumberFormat="1" applyFont="1" applyFill="1" applyBorder="1" applyAlignment="1">
      <alignment vertical="center"/>
      <protection/>
    </xf>
    <xf numFmtId="0" fontId="19" fillId="50" borderId="39" xfId="105" applyFont="1" applyFill="1" applyBorder="1" applyAlignment="1">
      <alignment horizontal="center" vertical="center"/>
      <protection/>
    </xf>
    <xf numFmtId="0" fontId="19" fillId="50" borderId="28" xfId="105" applyFont="1" applyFill="1" applyBorder="1" applyAlignment="1">
      <alignment horizontal="center" vertical="center"/>
      <protection/>
    </xf>
    <xf numFmtId="3" fontId="46" fillId="0" borderId="24" xfId="95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7" fillId="0" borderId="120" xfId="106" applyFont="1" applyBorder="1" applyAlignment="1" applyProtection="1">
      <alignment horizontal="left" vertical="center"/>
      <protection hidden="1"/>
    </xf>
    <xf numFmtId="0" fontId="34" fillId="0" borderId="55" xfId="0" applyFont="1" applyBorder="1" applyAlignment="1">
      <alignment vertical="center" wrapText="1"/>
    </xf>
    <xf numFmtId="0" fontId="41" fillId="0" borderId="34" xfId="0" applyFont="1" applyFill="1" applyBorder="1" applyAlignment="1">
      <alignment horizontal="center" vertical="center"/>
    </xf>
    <xf numFmtId="0" fontId="41" fillId="53" borderId="23" xfId="102" applyFont="1" applyFill="1" applyBorder="1" applyAlignment="1">
      <alignment vertical="center"/>
    </xf>
    <xf numFmtId="0" fontId="37" fillId="0" borderId="128" xfId="0" applyFont="1" applyFill="1" applyBorder="1" applyAlignment="1">
      <alignment vertical="center" wrapText="1"/>
    </xf>
    <xf numFmtId="0" fontId="12" fillId="58" borderId="141" xfId="0" applyFont="1" applyFill="1" applyBorder="1" applyAlignment="1">
      <alignment horizontal="center" vertical="center"/>
    </xf>
    <xf numFmtId="0" fontId="12" fillId="53" borderId="34" xfId="0" applyFont="1" applyFill="1" applyBorder="1" applyAlignment="1">
      <alignment horizontal="center" vertical="center"/>
    </xf>
    <xf numFmtId="0" fontId="34" fillId="0" borderId="35" xfId="111" applyFont="1" applyFill="1" applyBorder="1" applyAlignment="1">
      <alignment vertical="center" wrapText="1"/>
      <protection/>
    </xf>
    <xf numFmtId="3" fontId="41" fillId="58" borderId="140" xfId="0" applyNumberFormat="1" applyFont="1" applyFill="1" applyBorder="1" applyAlignment="1">
      <alignment horizontal="right" vertical="center"/>
    </xf>
    <xf numFmtId="3" fontId="17" fillId="50" borderId="44" xfId="0" applyNumberFormat="1" applyFont="1" applyFill="1" applyBorder="1" applyAlignment="1">
      <alignment horizontal="right" vertical="center"/>
    </xf>
    <xf numFmtId="3" fontId="17" fillId="50" borderId="22" xfId="0" applyNumberFormat="1" applyFont="1" applyFill="1" applyBorder="1" applyAlignment="1">
      <alignment vertical="center"/>
    </xf>
    <xf numFmtId="0" fontId="17" fillId="50" borderId="65" xfId="0" applyFont="1" applyFill="1" applyBorder="1" applyAlignment="1">
      <alignment vertical="center"/>
    </xf>
    <xf numFmtId="3" fontId="14" fillId="58" borderId="39" xfId="0" applyNumberFormat="1" applyFont="1" applyFill="1" applyBorder="1" applyAlignment="1">
      <alignment vertical="center"/>
    </xf>
    <xf numFmtId="3" fontId="47" fillId="0" borderId="37" xfId="68" applyNumberFormat="1" applyFont="1" applyBorder="1" applyAlignment="1" applyProtection="1">
      <alignment horizontal="right" vertical="center"/>
      <protection hidden="1"/>
    </xf>
    <xf numFmtId="3" fontId="47" fillId="0" borderId="130" xfId="68" applyNumberFormat="1" applyFont="1" applyBorder="1" applyAlignment="1" applyProtection="1">
      <alignment horizontal="right" vertical="center"/>
      <protection hidden="1"/>
    </xf>
    <xf numFmtId="0" fontId="2" fillId="58" borderId="140" xfId="0" applyFont="1" applyFill="1" applyBorder="1" applyAlignment="1">
      <alignment horizontal="center" vertical="center"/>
    </xf>
    <xf numFmtId="0" fontId="41" fillId="58" borderId="142" xfId="0" applyFont="1" applyFill="1" applyBorder="1" applyAlignment="1" applyProtection="1">
      <alignment horizontal="right" vertical="center"/>
      <protection locked="0"/>
    </xf>
    <xf numFmtId="0" fontId="34" fillId="0" borderId="142" xfId="0" applyFont="1" applyFill="1" applyBorder="1" applyAlignment="1" applyProtection="1">
      <alignment horizontal="right" vertical="center"/>
      <protection locked="0"/>
    </xf>
    <xf numFmtId="0" fontId="132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vertical="center"/>
    </xf>
    <xf numFmtId="3" fontId="124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41" fillId="64" borderId="52" xfId="0" applyFont="1" applyFill="1" applyBorder="1" applyAlignment="1">
      <alignment horizontal="center" vertical="center"/>
    </xf>
    <xf numFmtId="3" fontId="41" fillId="64" borderId="51" xfId="0" applyNumberFormat="1" applyFont="1" applyFill="1" applyBorder="1" applyAlignment="1">
      <alignment horizontal="right" vertical="center"/>
    </xf>
    <xf numFmtId="0" fontId="41" fillId="64" borderId="23" xfId="0" applyFont="1" applyFill="1" applyBorder="1" applyAlignment="1">
      <alignment horizontal="right" vertical="center"/>
    </xf>
    <xf numFmtId="0" fontId="47" fillId="0" borderId="26" xfId="106" applyFont="1" applyBorder="1" applyAlignment="1" applyProtection="1">
      <alignment horizontal="center" vertical="top"/>
      <protection hidden="1"/>
    </xf>
    <xf numFmtId="0" fontId="12" fillId="0" borderId="52" xfId="105" applyFont="1" applyFill="1" applyBorder="1" applyAlignment="1">
      <alignment vertical="center"/>
      <protection/>
    </xf>
    <xf numFmtId="3" fontId="17" fillId="0" borderId="26" xfId="103" applyNumberFormat="1" applyFont="1" applyFill="1" applyBorder="1" applyAlignment="1">
      <alignment horizontal="right" vertical="center"/>
    </xf>
    <xf numFmtId="0" fontId="18" fillId="0" borderId="71" xfId="105" applyFont="1" applyFill="1" applyBorder="1" applyAlignment="1">
      <alignment vertical="center"/>
      <protection/>
    </xf>
    <xf numFmtId="0" fontId="19" fillId="50" borderId="25" xfId="0" applyFont="1" applyFill="1" applyBorder="1" applyAlignment="1">
      <alignment horizontal="center" vertical="center"/>
    </xf>
    <xf numFmtId="0" fontId="16" fillId="49" borderId="128" xfId="0" applyFont="1" applyFill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0" fontId="34" fillId="0" borderId="35" xfId="0" applyFont="1" applyBorder="1" applyAlignment="1">
      <alignment vertical="center" wrapText="1"/>
    </xf>
    <xf numFmtId="0" fontId="34" fillId="0" borderId="55" xfId="0" applyFont="1" applyFill="1" applyBorder="1" applyAlignment="1">
      <alignment vertical="center" wrapText="1"/>
    </xf>
    <xf numFmtId="3" fontId="18" fillId="0" borderId="55" xfId="101" applyNumberFormat="1" applyFont="1" applyFill="1" applyBorder="1" applyAlignment="1">
      <alignment horizontal="right" vertical="center"/>
    </xf>
    <xf numFmtId="0" fontId="34" fillId="0" borderId="35" xfId="102" applyFont="1" applyFill="1" applyBorder="1" applyAlignment="1">
      <alignment vertical="center" wrapText="1"/>
    </xf>
    <xf numFmtId="0" fontId="34" fillId="0" borderId="35" xfId="96" applyFont="1" applyFill="1" applyBorder="1" applyAlignment="1">
      <alignment vertical="center" wrapText="1"/>
      <protection/>
    </xf>
    <xf numFmtId="0" fontId="34" fillId="0" borderId="36" xfId="0" applyFont="1" applyFill="1" applyBorder="1" applyAlignment="1">
      <alignment vertical="center"/>
    </xf>
    <xf numFmtId="3" fontId="131" fillId="0" borderId="91" xfId="0" applyNumberFormat="1" applyFont="1" applyFill="1" applyBorder="1" applyAlignment="1">
      <alignment wrapText="1"/>
    </xf>
    <xf numFmtId="3" fontId="131" fillId="65" borderId="91" xfId="0" applyNumberFormat="1" applyFont="1" applyFill="1" applyBorder="1" applyAlignment="1">
      <alignment wrapText="1"/>
    </xf>
    <xf numFmtId="3" fontId="131" fillId="0" borderId="91" xfId="0" applyNumberFormat="1" applyFont="1" applyBorder="1" applyAlignment="1">
      <alignment horizontal="left" vertical="center" wrapText="1"/>
    </xf>
    <xf numFmtId="3" fontId="131" fillId="0" borderId="120" xfId="0" applyNumberFormat="1" applyFont="1" applyBorder="1" applyAlignment="1">
      <alignment horizontal="right" vertical="center"/>
    </xf>
    <xf numFmtId="0" fontId="41" fillId="0" borderId="41" xfId="0" applyFont="1" applyFill="1" applyBorder="1" applyAlignment="1">
      <alignment vertical="center"/>
    </xf>
    <xf numFmtId="3" fontId="34" fillId="0" borderId="70" xfId="102" applyNumberFormat="1" applyFont="1" applyBorder="1" applyAlignment="1">
      <alignment vertical="center"/>
    </xf>
    <xf numFmtId="3" fontId="34" fillId="0" borderId="57" xfId="68" applyNumberFormat="1" applyFont="1" applyFill="1" applyBorder="1" applyAlignment="1">
      <alignment horizontal="right" vertical="center"/>
    </xf>
    <xf numFmtId="3" fontId="131" fillId="65" borderId="35" xfId="0" applyNumberFormat="1" applyFont="1" applyFill="1" applyBorder="1" applyAlignment="1">
      <alignment vertical="center" wrapText="1"/>
    </xf>
    <xf numFmtId="3" fontId="131" fillId="65" borderId="35" xfId="0" applyNumberFormat="1" applyFont="1" applyFill="1" applyBorder="1" applyAlignment="1">
      <alignment wrapText="1"/>
    </xf>
    <xf numFmtId="3" fontId="14" fillId="60" borderId="24" xfId="0" applyNumberFormat="1" applyFont="1" applyFill="1" applyBorder="1" applyAlignment="1">
      <alignment horizontal="right" vertical="center"/>
    </xf>
    <xf numFmtId="3" fontId="41" fillId="0" borderId="55" xfId="0" applyNumberFormat="1" applyFont="1" applyFill="1" applyBorder="1" applyAlignment="1">
      <alignment horizontal="right" vertical="center"/>
    </xf>
    <xf numFmtId="0" fontId="2" fillId="66" borderId="24" xfId="0" applyFont="1" applyFill="1" applyBorder="1" applyAlignment="1">
      <alignment horizontal="center" vertical="center"/>
    </xf>
    <xf numFmtId="0" fontId="41" fillId="66" borderId="34" xfId="0" applyFont="1" applyFill="1" applyBorder="1" applyAlignment="1">
      <alignment horizontal="right" vertical="center" wrapText="1"/>
    </xf>
    <xf numFmtId="3" fontId="12" fillId="66" borderId="34" xfId="101" applyNumberFormat="1" applyFont="1" applyFill="1" applyBorder="1" applyAlignment="1">
      <alignment horizontal="right" vertical="center"/>
    </xf>
    <xf numFmtId="3" fontId="18" fillId="0" borderId="50" xfId="101" applyNumberFormat="1" applyFont="1" applyFill="1" applyBorder="1" applyAlignment="1">
      <alignment horizontal="right" vertical="center"/>
    </xf>
    <xf numFmtId="3" fontId="41" fillId="0" borderId="130" xfId="0" applyNumberFormat="1" applyFont="1" applyFill="1" applyBorder="1" applyAlignment="1">
      <alignment horizontal="right" vertical="center"/>
    </xf>
    <xf numFmtId="3" fontId="18" fillId="0" borderId="23" xfId="101" applyNumberFormat="1" applyFont="1" applyFill="1" applyBorder="1" applyAlignment="1">
      <alignment horizontal="right" vertical="center"/>
    </xf>
    <xf numFmtId="0" fontId="34" fillId="0" borderId="36" xfId="0" applyFont="1" applyBorder="1" applyAlignment="1">
      <alignment vertical="center"/>
    </xf>
    <xf numFmtId="3" fontId="18" fillId="0" borderId="50" xfId="101" applyNumberFormat="1" applyFont="1" applyFill="1" applyBorder="1" applyAlignment="1">
      <alignment horizontal="right" vertical="center"/>
    </xf>
    <xf numFmtId="3" fontId="18" fillId="45" borderId="36" xfId="101" applyNumberFormat="1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vertical="center"/>
    </xf>
    <xf numFmtId="3" fontId="34" fillId="0" borderId="23" xfId="102" applyNumberFormat="1" applyFont="1" applyFill="1" applyBorder="1" applyAlignment="1">
      <alignment vertical="center"/>
    </xf>
    <xf numFmtId="3" fontId="18" fillId="0" borderId="44" xfId="101" applyNumberFormat="1" applyFont="1" applyFill="1" applyBorder="1" applyAlignment="1">
      <alignment horizontal="right" vertical="center"/>
    </xf>
    <xf numFmtId="3" fontId="41" fillId="54" borderId="34" xfId="0" applyNumberFormat="1" applyFont="1" applyFill="1" applyBorder="1" applyAlignment="1">
      <alignment horizontal="right" vertical="center"/>
    </xf>
    <xf numFmtId="3" fontId="131" fillId="65" borderId="50" xfId="0" applyNumberFormat="1" applyFont="1" applyFill="1" applyBorder="1" applyAlignment="1">
      <alignment horizontal="left" vertical="center" wrapText="1"/>
    </xf>
    <xf numFmtId="3" fontId="18" fillId="0" borderId="52" xfId="101" applyNumberFormat="1" applyFont="1" applyFill="1" applyBorder="1" applyAlignment="1">
      <alignment horizontal="right" vertical="center"/>
    </xf>
    <xf numFmtId="3" fontId="34" fillId="0" borderId="36" xfId="0" applyNumberFormat="1" applyFont="1" applyFill="1" applyBorder="1" applyAlignment="1">
      <alignment vertical="center"/>
    </xf>
    <xf numFmtId="3" fontId="41" fillId="0" borderId="38" xfId="102" applyNumberFormat="1" applyFont="1" applyFill="1" applyBorder="1" applyAlignment="1">
      <alignment horizontal="right" vertical="center"/>
    </xf>
    <xf numFmtId="0" fontId="41" fillId="53" borderId="34" xfId="102" applyFont="1" applyFill="1" applyBorder="1" applyAlignment="1">
      <alignment vertical="center"/>
    </xf>
    <xf numFmtId="3" fontId="131" fillId="65" borderId="130" xfId="0" applyNumberFormat="1" applyFont="1" applyFill="1" applyBorder="1" applyAlignment="1">
      <alignment wrapText="1"/>
    </xf>
    <xf numFmtId="3" fontId="41" fillId="0" borderId="23" xfId="102" applyNumberFormat="1" applyFont="1" applyFill="1" applyBorder="1" applyAlignment="1">
      <alignment horizontal="right" vertical="center"/>
    </xf>
    <xf numFmtId="3" fontId="41" fillId="0" borderId="23" xfId="0" applyNumberFormat="1" applyFont="1" applyFill="1" applyBorder="1" applyAlignment="1">
      <alignment horizontal="right" vertical="center"/>
    </xf>
    <xf numFmtId="3" fontId="131" fillId="0" borderId="44" xfId="0" applyNumberFormat="1" applyFont="1" applyFill="1" applyBorder="1" applyAlignment="1">
      <alignment wrapText="1"/>
    </xf>
    <xf numFmtId="3" fontId="131" fillId="65" borderId="37" xfId="0" applyNumberFormat="1" applyFont="1" applyFill="1" applyBorder="1" applyAlignment="1">
      <alignment vertical="center" wrapText="1"/>
    </xf>
    <xf numFmtId="3" fontId="131" fillId="65" borderId="37" xfId="0" applyNumberFormat="1" applyFont="1" applyFill="1" applyBorder="1" applyAlignment="1">
      <alignment wrapText="1"/>
    </xf>
    <xf numFmtId="3" fontId="18" fillId="0" borderId="44" xfId="101" applyNumberFormat="1" applyFont="1" applyFill="1" applyBorder="1" applyAlignment="1">
      <alignment horizontal="right" vertical="center"/>
    </xf>
    <xf numFmtId="3" fontId="18" fillId="0" borderId="37" xfId="101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3" fontId="12" fillId="0" borderId="36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 horizontal="right" vertical="center"/>
    </xf>
    <xf numFmtId="0" fontId="41" fillId="54" borderId="25" xfId="108" applyFont="1" applyFill="1" applyBorder="1" applyAlignment="1">
      <alignment horizontal="center" vertical="center"/>
      <protection/>
    </xf>
    <xf numFmtId="0" fontId="41" fillId="54" borderId="40" xfId="108" applyFont="1" applyFill="1" applyBorder="1" applyAlignment="1">
      <alignment horizontal="center" vertical="center"/>
      <protection/>
    </xf>
    <xf numFmtId="0" fontId="22" fillId="0" borderId="0" xfId="105" applyFont="1" applyFill="1" applyBorder="1" applyAlignment="1">
      <alignment horizontal="center" vertical="center"/>
      <protection/>
    </xf>
    <xf numFmtId="0" fontId="34" fillId="0" borderId="34" xfId="108" applyFont="1" applyBorder="1" applyAlignment="1">
      <alignment horizontal="center" vertical="center" wrapText="1"/>
      <protection/>
    </xf>
    <xf numFmtId="0" fontId="34" fillId="0" borderId="23" xfId="108" applyFont="1" applyBorder="1" applyAlignment="1">
      <alignment horizontal="center" vertical="center" wrapText="1"/>
      <protection/>
    </xf>
    <xf numFmtId="0" fontId="34" fillId="0" borderId="114" xfId="108" applyFont="1" applyBorder="1" applyAlignment="1">
      <alignment horizontal="center" vertical="center" wrapText="1"/>
      <protection/>
    </xf>
    <xf numFmtId="0" fontId="34" fillId="0" borderId="113" xfId="108" applyFont="1" applyBorder="1" applyAlignment="1">
      <alignment horizontal="center" vertical="center" wrapText="1"/>
      <protection/>
    </xf>
    <xf numFmtId="0" fontId="34" fillId="0" borderId="139" xfId="108" applyFont="1" applyBorder="1" applyAlignment="1">
      <alignment horizontal="center" vertical="center" wrapText="1"/>
      <protection/>
    </xf>
    <xf numFmtId="0" fontId="34" fillId="0" borderId="33" xfId="109" applyFont="1" applyBorder="1" applyAlignment="1">
      <alignment horizontal="left" vertical="center" wrapText="1"/>
      <protection/>
    </xf>
    <xf numFmtId="0" fontId="34" fillId="0" borderId="90" xfId="109" applyFont="1" applyBorder="1" applyAlignment="1">
      <alignment horizontal="left" vertical="center" wrapText="1"/>
      <protection/>
    </xf>
    <xf numFmtId="3" fontId="14" fillId="58" borderId="70" xfId="105" applyNumberFormat="1" applyFont="1" applyFill="1" applyBorder="1" applyAlignment="1">
      <alignment horizontal="right" vertical="center"/>
      <protection/>
    </xf>
    <xf numFmtId="3" fontId="14" fillId="58" borderId="57" xfId="105" applyNumberFormat="1" applyFont="1" applyFill="1" applyBorder="1" applyAlignment="1">
      <alignment horizontal="right" vertical="center"/>
      <protection/>
    </xf>
    <xf numFmtId="3" fontId="14" fillId="53" borderId="114" xfId="105" applyNumberFormat="1" applyFont="1" applyFill="1" applyBorder="1" applyAlignment="1">
      <alignment vertical="center"/>
      <protection/>
    </xf>
    <xf numFmtId="3" fontId="14" fillId="53" borderId="133" xfId="105" applyNumberFormat="1" applyFont="1" applyFill="1" applyBorder="1" applyAlignment="1">
      <alignment vertical="center"/>
      <protection/>
    </xf>
    <xf numFmtId="3" fontId="14" fillId="53" borderId="121" xfId="105" applyNumberFormat="1" applyFont="1" applyFill="1" applyBorder="1" applyAlignment="1">
      <alignment horizontal="right" vertical="center"/>
      <protection/>
    </xf>
    <xf numFmtId="3" fontId="14" fillId="53" borderId="124" xfId="105" applyNumberFormat="1" applyFont="1" applyFill="1" applyBorder="1" applyAlignment="1">
      <alignment horizontal="right" vertical="center"/>
      <protection/>
    </xf>
    <xf numFmtId="3" fontId="14" fillId="53" borderId="119" xfId="105" applyNumberFormat="1" applyFont="1" applyFill="1" applyBorder="1" applyAlignment="1">
      <alignment horizontal="right" vertical="center"/>
      <protection/>
    </xf>
    <xf numFmtId="3" fontId="17" fillId="0" borderId="32" xfId="105" applyNumberFormat="1" applyFont="1" applyFill="1" applyBorder="1" applyAlignment="1">
      <alignment horizontal="right" vertical="center"/>
      <protection/>
    </xf>
    <xf numFmtId="3" fontId="17" fillId="0" borderId="22" xfId="105" applyNumberFormat="1" applyFont="1" applyFill="1" applyBorder="1" applyAlignment="1">
      <alignment horizontal="right" vertical="center"/>
      <protection/>
    </xf>
    <xf numFmtId="3" fontId="17" fillId="0" borderId="19" xfId="105" applyNumberFormat="1" applyFont="1" applyFill="1" applyBorder="1" applyAlignment="1">
      <alignment horizontal="right" vertical="center"/>
      <protection/>
    </xf>
    <xf numFmtId="3" fontId="17" fillId="0" borderId="20" xfId="105" applyNumberFormat="1" applyFont="1" applyFill="1" applyBorder="1" applyAlignment="1">
      <alignment horizontal="right" vertical="center"/>
      <protection/>
    </xf>
    <xf numFmtId="3" fontId="17" fillId="0" borderId="91" xfId="105" applyNumberFormat="1" applyFont="1" applyFill="1" applyBorder="1" applyAlignment="1">
      <alignment horizontal="right" vertical="center"/>
      <protection/>
    </xf>
    <xf numFmtId="3" fontId="14" fillId="53" borderId="81" xfId="105" applyNumberFormat="1" applyFont="1" applyFill="1" applyBorder="1" applyAlignment="1">
      <alignment horizontal="right" vertical="center"/>
      <protection/>
    </xf>
    <xf numFmtId="3" fontId="14" fillId="0" borderId="120" xfId="105" applyNumberFormat="1" applyFont="1" applyFill="1" applyBorder="1" applyAlignment="1">
      <alignment horizontal="right" vertical="center"/>
      <protection/>
    </xf>
    <xf numFmtId="3" fontId="14" fillId="0" borderId="119" xfId="105" applyNumberFormat="1" applyFont="1" applyFill="1" applyBorder="1" applyAlignment="1">
      <alignment horizontal="right" vertical="center"/>
      <protection/>
    </xf>
    <xf numFmtId="3" fontId="17" fillId="53" borderId="50" xfId="105" applyNumberFormat="1" applyFont="1" applyFill="1" applyBorder="1" applyAlignment="1">
      <alignment horizontal="right" vertical="center"/>
      <protection/>
    </xf>
    <xf numFmtId="0" fontId="34" fillId="0" borderId="33" xfId="109" applyFont="1" applyBorder="1" applyAlignment="1">
      <alignment vertical="center" wrapText="1"/>
      <protection/>
    </xf>
    <xf numFmtId="0" fontId="34" fillId="0" borderId="90" xfId="109" applyFont="1" applyBorder="1" applyAlignment="1">
      <alignment vertical="center" wrapText="1"/>
      <protection/>
    </xf>
    <xf numFmtId="0" fontId="34" fillId="0" borderId="30" xfId="109" applyFont="1" applyBorder="1" applyAlignment="1">
      <alignment vertical="center" wrapText="1"/>
      <protection/>
    </xf>
    <xf numFmtId="0" fontId="34" fillId="0" borderId="91" xfId="109" applyFont="1" applyBorder="1" applyAlignment="1">
      <alignment vertical="center" wrapText="1"/>
      <protection/>
    </xf>
    <xf numFmtId="3" fontId="13" fillId="0" borderId="29" xfId="0" applyNumberFormat="1" applyFont="1" applyFill="1" applyBorder="1" applyAlignment="1">
      <alignment vertical="center"/>
    </xf>
    <xf numFmtId="3" fontId="8" fillId="0" borderId="8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13" fillId="0" borderId="87" xfId="0" applyNumberFormat="1" applyFont="1" applyFill="1" applyBorder="1" applyAlignment="1">
      <alignment vertical="center"/>
    </xf>
    <xf numFmtId="0" fontId="34" fillId="0" borderId="35" xfId="0" applyFont="1" applyFill="1" applyBorder="1" applyAlignment="1">
      <alignment vertical="center" wrapText="1"/>
    </xf>
    <xf numFmtId="3" fontId="18" fillId="0" borderId="35" xfId="101" applyNumberFormat="1" applyFont="1" applyFill="1" applyBorder="1" applyAlignment="1">
      <alignment horizontal="right" vertical="center"/>
    </xf>
    <xf numFmtId="0" fontId="0" fillId="65" borderId="37" xfId="0" applyFill="1" applyBorder="1" applyAlignment="1">
      <alignment vertical="center"/>
    </xf>
    <xf numFmtId="3" fontId="41" fillId="54" borderId="23" xfId="0" applyNumberFormat="1" applyFont="1" applyFill="1" applyBorder="1" applyAlignment="1">
      <alignment horizontal="right" vertical="center"/>
    </xf>
    <xf numFmtId="3" fontId="34" fillId="0" borderId="130" xfId="0" applyNumberFormat="1" applyFont="1" applyFill="1" applyBorder="1" applyAlignment="1">
      <alignment horizontal="right" vertical="center"/>
    </xf>
    <xf numFmtId="3" fontId="41" fillId="45" borderId="130" xfId="0" applyNumberFormat="1" applyFont="1" applyFill="1" applyBorder="1" applyAlignment="1">
      <alignment horizontal="right" vertical="center"/>
    </xf>
    <xf numFmtId="0" fontId="41" fillId="60" borderId="39" xfId="0" applyFont="1" applyFill="1" applyBorder="1" applyAlignment="1">
      <alignment horizontal="center" vertical="center"/>
    </xf>
    <xf numFmtId="3" fontId="41" fillId="60" borderId="24" xfId="0" applyNumberFormat="1" applyFont="1" applyFill="1" applyBorder="1" applyAlignment="1">
      <alignment horizontal="right" vertical="center"/>
    </xf>
    <xf numFmtId="0" fontId="41" fillId="53" borderId="24" xfId="101" applyNumberFormat="1" applyFont="1" applyFill="1" applyBorder="1" applyAlignment="1" applyProtection="1">
      <alignment horizontal="left" vertical="center" wrapText="1"/>
      <protection locked="0"/>
    </xf>
    <xf numFmtId="3" fontId="41" fillId="0" borderId="34" xfId="0" applyNumberFormat="1" applyFont="1" applyFill="1" applyBorder="1" applyAlignment="1">
      <alignment horizontal="right" vertical="center"/>
    </xf>
    <xf numFmtId="0" fontId="2" fillId="54" borderId="41" xfId="0" applyFont="1" applyFill="1" applyBorder="1" applyAlignment="1">
      <alignment horizontal="center" vertical="center"/>
    </xf>
    <xf numFmtId="3" fontId="131" fillId="65" borderId="71" xfId="0" applyNumberFormat="1" applyFont="1" applyFill="1" applyBorder="1" applyAlignment="1">
      <alignment/>
    </xf>
    <xf numFmtId="3" fontId="131" fillId="0" borderId="128" xfId="0" applyNumberFormat="1" applyFont="1" applyBorder="1" applyAlignment="1">
      <alignment horizontal="left" vertical="center" wrapText="1"/>
    </xf>
    <xf numFmtId="0" fontId="12" fillId="0" borderId="34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34" fillId="0" borderId="52" xfId="0" applyFont="1" applyFill="1" applyBorder="1" applyAlignment="1">
      <alignment horizontal="center" vertical="center"/>
    </xf>
    <xf numFmtId="0" fontId="20" fillId="50" borderId="143" xfId="0" applyFont="1" applyFill="1" applyBorder="1" applyAlignment="1" applyProtection="1">
      <alignment horizontal="center" vertical="center"/>
      <protection locked="0"/>
    </xf>
    <xf numFmtId="0" fontId="41" fillId="54" borderId="102" xfId="0" applyFont="1" applyFill="1" applyBorder="1" applyAlignment="1">
      <alignment horizontal="right" vertical="center"/>
    </xf>
    <xf numFmtId="0" fontId="20" fillId="50" borderId="86" xfId="0" applyFont="1" applyFill="1" applyBorder="1" applyAlignment="1">
      <alignment horizontal="center" vertical="center"/>
    </xf>
    <xf numFmtId="3" fontId="20" fillId="50" borderId="86" xfId="0" applyNumberFormat="1" applyFont="1" applyFill="1" applyBorder="1" applyAlignment="1">
      <alignment horizontal="center" vertical="center"/>
    </xf>
    <xf numFmtId="0" fontId="20" fillId="50" borderId="144" xfId="0" applyFont="1" applyFill="1" applyBorder="1" applyAlignment="1">
      <alignment horizontal="center" vertical="center"/>
    </xf>
    <xf numFmtId="0" fontId="12" fillId="53" borderId="41" xfId="0" applyFont="1" applyFill="1" applyBorder="1" applyAlignment="1">
      <alignment horizontal="center" vertical="center"/>
    </xf>
    <xf numFmtId="0" fontId="41" fillId="53" borderId="23" xfId="0" applyFont="1" applyFill="1" applyBorder="1" applyAlignment="1">
      <alignment horizontal="center" vertical="center"/>
    </xf>
    <xf numFmtId="3" fontId="47" fillId="0" borderId="69" xfId="68" applyNumberFormat="1" applyFont="1" applyBorder="1" applyAlignment="1" applyProtection="1">
      <alignment horizontal="right" vertical="center"/>
      <protection hidden="1"/>
    </xf>
    <xf numFmtId="3" fontId="42" fillId="0" borderId="57" xfId="106" applyNumberFormat="1" applyFont="1" applyBorder="1" applyAlignment="1" applyProtection="1">
      <alignment horizontal="right" vertical="center"/>
      <protection hidden="1"/>
    </xf>
    <xf numFmtId="3" fontId="47" fillId="0" borderId="57" xfId="106" applyNumberFormat="1" applyFont="1" applyBorder="1" applyAlignment="1" applyProtection="1">
      <alignment horizontal="right" vertical="center"/>
      <protection hidden="1"/>
    </xf>
    <xf numFmtId="3" fontId="46" fillId="0" borderId="65" xfId="68" applyNumberFormat="1" applyFont="1" applyBorder="1" applyAlignment="1" applyProtection="1">
      <alignment horizontal="right" vertical="center"/>
      <protection hidden="1"/>
    </xf>
    <xf numFmtId="0" fontId="47" fillId="0" borderId="92" xfId="106" applyFont="1" applyBorder="1" applyAlignment="1" applyProtection="1">
      <alignment horizontal="left" vertical="center"/>
      <protection hidden="1"/>
    </xf>
    <xf numFmtId="3" fontId="47" fillId="0" borderId="122" xfId="106" applyNumberFormat="1" applyFont="1" applyBorder="1" applyAlignment="1" applyProtection="1">
      <alignment horizontal="right" vertical="center"/>
      <protection hidden="1"/>
    </xf>
    <xf numFmtId="0" fontId="47" fillId="0" borderId="130" xfId="106" applyFont="1" applyBorder="1" applyAlignment="1" applyProtection="1">
      <alignment horizontal="left" vertical="center"/>
      <protection hidden="1"/>
    </xf>
    <xf numFmtId="0" fontId="46" fillId="0" borderId="50" xfId="106" applyFont="1" applyBorder="1" applyAlignment="1" applyProtection="1">
      <alignment horizontal="left" vertical="center"/>
      <protection hidden="1"/>
    </xf>
    <xf numFmtId="3" fontId="131" fillId="65" borderId="90" xfId="0" applyNumberFormat="1" applyFont="1" applyFill="1" applyBorder="1" applyAlignment="1">
      <alignment wrapText="1"/>
    </xf>
    <xf numFmtId="3" fontId="18" fillId="0" borderId="38" xfId="101" applyNumberFormat="1" applyFont="1" applyFill="1" applyBorder="1" applyAlignment="1">
      <alignment horizontal="right" vertical="center"/>
    </xf>
    <xf numFmtId="0" fontId="41" fillId="53" borderId="39" xfId="0" applyFont="1" applyFill="1" applyBorder="1" applyAlignment="1" applyProtection="1">
      <alignment horizontal="left" vertical="center"/>
      <protection locked="0"/>
    </xf>
    <xf numFmtId="3" fontId="41" fillId="53" borderId="39" xfId="0" applyNumberFormat="1" applyFont="1" applyFill="1" applyBorder="1" applyAlignment="1">
      <alignment horizontal="right" vertical="center"/>
    </xf>
    <xf numFmtId="3" fontId="131" fillId="65" borderId="36" xfId="0" applyNumberFormat="1" applyFont="1" applyFill="1" applyBorder="1" applyAlignment="1">
      <alignment horizontal="left" vertical="center" wrapText="1"/>
    </xf>
    <xf numFmtId="3" fontId="34" fillId="0" borderId="50" xfId="0" applyNumberFormat="1" applyFont="1" applyFill="1" applyBorder="1" applyAlignment="1">
      <alignment vertical="center"/>
    </xf>
    <xf numFmtId="3" fontId="131" fillId="65" borderId="92" xfId="0" applyNumberFormat="1" applyFont="1" applyFill="1" applyBorder="1" applyAlignment="1">
      <alignment wrapText="1"/>
    </xf>
    <xf numFmtId="3" fontId="34" fillId="0" borderId="55" xfId="102" applyNumberFormat="1" applyFont="1" applyBorder="1" applyAlignment="1">
      <alignment vertical="center"/>
    </xf>
    <xf numFmtId="3" fontId="34" fillId="45" borderId="55" xfId="0" applyNumberFormat="1" applyFont="1" applyFill="1" applyBorder="1" applyAlignment="1">
      <alignment horizontal="right" vertical="center"/>
    </xf>
    <xf numFmtId="3" fontId="41" fillId="45" borderId="51" xfId="0" applyNumberFormat="1" applyFont="1" applyFill="1" applyBorder="1" applyAlignment="1">
      <alignment horizontal="right" vertical="center"/>
    </xf>
    <xf numFmtId="3" fontId="41" fillId="0" borderId="51" xfId="0" applyNumberFormat="1" applyFont="1" applyFill="1" applyBorder="1" applyAlignment="1">
      <alignment horizontal="right" vertical="center"/>
    </xf>
    <xf numFmtId="0" fontId="14" fillId="60" borderId="24" xfId="0" applyFont="1" applyFill="1" applyBorder="1" applyAlignment="1">
      <alignment horizontal="left" vertical="center" wrapText="1"/>
    </xf>
    <xf numFmtId="0" fontId="133" fillId="60" borderId="24" xfId="104" applyFont="1" applyFill="1" applyBorder="1" applyAlignment="1">
      <alignment horizontal="left" vertical="center" wrapText="1"/>
    </xf>
    <xf numFmtId="0" fontId="41" fillId="54" borderId="39" xfId="108" applyFont="1" applyFill="1" applyBorder="1" applyAlignment="1">
      <alignment horizontal="left" vertical="center"/>
      <protection/>
    </xf>
    <xf numFmtId="0" fontId="19" fillId="50" borderId="25" xfId="105" applyFont="1" applyFill="1" applyBorder="1" applyAlignment="1">
      <alignment horizontal="center" vertical="center"/>
      <protection/>
    </xf>
    <xf numFmtId="3" fontId="17" fillId="53" borderId="81" xfId="103" applyNumberFormat="1" applyFont="1" applyFill="1" applyBorder="1" applyAlignment="1">
      <alignment horizontal="right" vertical="center"/>
    </xf>
    <xf numFmtId="3" fontId="17" fillId="0" borderId="119" xfId="105" applyNumberFormat="1" applyFont="1" applyFill="1" applyBorder="1" applyAlignment="1">
      <alignment horizontal="right" vertical="center"/>
      <protection/>
    </xf>
    <xf numFmtId="3" fontId="14" fillId="53" borderId="42" xfId="105" applyNumberFormat="1" applyFont="1" applyFill="1" applyBorder="1" applyAlignment="1">
      <alignment vertical="center"/>
      <protection/>
    </xf>
    <xf numFmtId="3" fontId="17" fillId="0" borderId="126" xfId="105" applyNumberFormat="1" applyFont="1" applyFill="1" applyBorder="1" applyAlignment="1">
      <alignment horizontal="right" vertical="center"/>
      <protection/>
    </xf>
    <xf numFmtId="3" fontId="17" fillId="0" borderId="129" xfId="105" applyNumberFormat="1" applyFont="1" applyFill="1" applyBorder="1" applyAlignment="1">
      <alignment horizontal="right" vertical="center"/>
      <protection/>
    </xf>
    <xf numFmtId="3" fontId="14" fillId="54" borderId="119" xfId="105" applyNumberFormat="1" applyFont="1" applyFill="1" applyBorder="1" applyAlignment="1">
      <alignment vertical="center"/>
      <protection/>
    </xf>
    <xf numFmtId="0" fontId="19" fillId="50" borderId="29" xfId="105" applyFont="1" applyFill="1" applyBorder="1" applyAlignment="1">
      <alignment horizontal="center" vertical="center"/>
      <protection/>
    </xf>
    <xf numFmtId="3" fontId="17" fillId="0" borderId="21" xfId="105" applyNumberFormat="1" applyFont="1" applyFill="1" applyBorder="1" applyAlignment="1">
      <alignment horizontal="right" vertical="center"/>
      <protection/>
    </xf>
    <xf numFmtId="3" fontId="17" fillId="0" borderId="21" xfId="105" applyNumberFormat="1" applyFont="1" applyFill="1" applyBorder="1" applyAlignment="1">
      <alignment horizontal="right" vertical="center"/>
      <protection/>
    </xf>
    <xf numFmtId="3" fontId="17" fillId="0" borderId="84" xfId="105" applyNumberFormat="1" applyFont="1" applyFill="1" applyBorder="1" applyAlignment="1">
      <alignment horizontal="right" vertical="center"/>
      <protection/>
    </xf>
    <xf numFmtId="3" fontId="17" fillId="0" borderId="84" xfId="105" applyNumberFormat="1" applyFont="1" applyFill="1" applyBorder="1" applyAlignment="1">
      <alignment horizontal="right" vertical="center"/>
      <protection/>
    </xf>
    <xf numFmtId="3" fontId="17" fillId="53" borderId="31" xfId="103" applyNumberFormat="1" applyFont="1" applyFill="1" applyBorder="1" applyAlignment="1">
      <alignment horizontal="right" vertical="center"/>
    </xf>
    <xf numFmtId="3" fontId="17" fillId="0" borderId="139" xfId="105" applyNumberFormat="1" applyFont="1" applyFill="1" applyBorder="1" applyAlignment="1">
      <alignment horizontal="right" vertical="center"/>
      <protection/>
    </xf>
    <xf numFmtId="3" fontId="14" fillId="53" borderId="139" xfId="105" applyNumberFormat="1" applyFont="1" applyFill="1" applyBorder="1" applyAlignment="1">
      <alignment horizontal="right" vertical="center"/>
      <protection/>
    </xf>
    <xf numFmtId="3" fontId="14" fillId="54" borderId="139" xfId="105" applyNumberFormat="1" applyFont="1" applyFill="1" applyBorder="1" applyAlignment="1">
      <alignment vertical="center"/>
      <protection/>
    </xf>
    <xf numFmtId="3" fontId="14" fillId="53" borderId="29" xfId="105" applyNumberFormat="1" applyFont="1" applyFill="1" applyBorder="1" applyAlignment="1">
      <alignment vertical="center"/>
      <protection/>
    </xf>
    <xf numFmtId="3" fontId="13" fillId="0" borderId="32" xfId="0" applyNumberFormat="1" applyFont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9" fillId="50" borderId="39" xfId="0" applyFont="1" applyFill="1" applyBorder="1" applyAlignment="1">
      <alignment horizontal="center" vertical="center"/>
    </xf>
    <xf numFmtId="0" fontId="16" fillId="49" borderId="125" xfId="0" applyFont="1" applyFill="1" applyBorder="1" applyAlignment="1">
      <alignment vertical="center"/>
    </xf>
    <xf numFmtId="0" fontId="39" fillId="49" borderId="69" xfId="0" applyFont="1" applyFill="1" applyBorder="1" applyAlignment="1">
      <alignment vertical="center"/>
    </xf>
    <xf numFmtId="3" fontId="13" fillId="0" borderId="123" xfId="0" applyNumberFormat="1" applyFont="1" applyBorder="1" applyAlignment="1">
      <alignment vertical="center"/>
    </xf>
    <xf numFmtId="3" fontId="13" fillId="16" borderId="49" xfId="0" applyNumberFormat="1" applyFont="1" applyFill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49" borderId="128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20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0" fontId="19" fillId="50" borderId="46" xfId="0" applyFont="1" applyFill="1" applyBorder="1" applyAlignment="1">
      <alignment horizontal="center"/>
    </xf>
    <xf numFmtId="0" fontId="16" fillId="49" borderId="131" xfId="0" applyFont="1" applyFill="1" applyBorder="1" applyAlignment="1">
      <alignment/>
    </xf>
    <xf numFmtId="3" fontId="8" fillId="0" borderId="33" xfId="0" applyNumberFormat="1" applyFont="1" applyBorder="1" applyAlignment="1">
      <alignment vertical="center"/>
    </xf>
    <xf numFmtId="3" fontId="13" fillId="16" borderId="145" xfId="0" applyNumberFormat="1" applyFont="1" applyFill="1" applyBorder="1" applyAlignment="1">
      <alignment vertical="center"/>
    </xf>
    <xf numFmtId="3" fontId="8" fillId="49" borderId="119" xfId="0" applyNumberFormat="1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horizontal="right" vertical="center"/>
    </xf>
    <xf numFmtId="3" fontId="17" fillId="0" borderId="88" xfId="0" applyNumberFormat="1" applyFont="1" applyBorder="1" applyAlignment="1">
      <alignment vertical="center"/>
    </xf>
    <xf numFmtId="3" fontId="17" fillId="0" borderId="87" xfId="0" applyNumberFormat="1" applyFont="1" applyBorder="1" applyAlignment="1">
      <alignment vertical="center"/>
    </xf>
    <xf numFmtId="3" fontId="17" fillId="0" borderId="37" xfId="0" applyNumberFormat="1" applyFont="1" applyFill="1" applyBorder="1" applyAlignment="1">
      <alignment horizontal="right" vertical="center"/>
    </xf>
    <xf numFmtId="3" fontId="17" fillId="0" borderId="69" xfId="0" applyNumberFormat="1" applyFont="1" applyBorder="1" applyAlignment="1">
      <alignment vertical="center"/>
    </xf>
    <xf numFmtId="3" fontId="14" fillId="58" borderId="39" xfId="0" applyNumberFormat="1" applyFont="1" applyFill="1" applyBorder="1" applyAlignment="1">
      <alignment vertical="center"/>
    </xf>
    <xf numFmtId="3" fontId="14" fillId="58" borderId="28" xfId="0" applyNumberFormat="1" applyFont="1" applyFill="1" applyBorder="1" applyAlignment="1">
      <alignment vertical="center"/>
    </xf>
    <xf numFmtId="3" fontId="14" fillId="58" borderId="4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87" xfId="0" applyNumberFormat="1" applyFont="1" applyFill="1" applyBorder="1" applyAlignment="1">
      <alignment horizontal="left" vertical="center"/>
    </xf>
    <xf numFmtId="49" fontId="17" fillId="0" borderId="87" xfId="0" applyNumberFormat="1" applyFont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49" fontId="17" fillId="0" borderId="87" xfId="96" applyNumberFormat="1" applyFont="1" applyFill="1" applyBorder="1" applyAlignment="1">
      <alignment vertical="center" wrapText="1"/>
      <protection/>
    </xf>
    <xf numFmtId="49" fontId="17" fillId="0" borderId="0" xfId="96" applyNumberFormat="1" applyFont="1" applyFill="1" applyBorder="1" applyAlignment="1">
      <alignment vertical="center" wrapText="1"/>
      <protection/>
    </xf>
    <xf numFmtId="49" fontId="17" fillId="0" borderId="119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46" fillId="0" borderId="92" xfId="106" applyFont="1" applyBorder="1" applyAlignment="1" applyProtection="1">
      <alignment horizontal="left" vertical="center"/>
      <protection hidden="1"/>
    </xf>
    <xf numFmtId="0" fontId="46" fillId="0" borderId="53" xfId="106" applyFont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3" fontId="46" fillId="54" borderId="23" xfId="95" applyNumberFormat="1" applyFont="1" applyFill="1" applyBorder="1" applyAlignment="1">
      <alignment horizontal="right" vertical="center"/>
      <protection/>
    </xf>
    <xf numFmtId="0" fontId="18" fillId="45" borderId="33" xfId="0" applyFont="1" applyFill="1" applyBorder="1" applyAlignment="1" applyProtection="1">
      <alignment horizontal="left" vertical="center" wrapText="1"/>
      <protection locked="0"/>
    </xf>
    <xf numFmtId="3" fontId="12" fillId="0" borderId="24" xfId="0" applyNumberFormat="1" applyFont="1" applyFill="1" applyBorder="1" applyAlignment="1">
      <alignment horizontal="right" vertical="center"/>
    </xf>
    <xf numFmtId="0" fontId="24" fillId="45" borderId="52" xfId="0" applyFont="1" applyFill="1" applyBorder="1" applyAlignment="1">
      <alignment/>
    </xf>
    <xf numFmtId="3" fontId="12" fillId="45" borderId="51" xfId="0" applyNumberFormat="1" applyFont="1" applyFill="1" applyBorder="1" applyAlignment="1">
      <alignment horizontal="right" vertical="center"/>
    </xf>
    <xf numFmtId="49" fontId="18" fillId="45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45" borderId="94" xfId="0" applyFont="1" applyFill="1" applyBorder="1" applyAlignment="1" applyProtection="1">
      <alignment horizontal="left" vertical="center"/>
      <protection locked="0"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8" fillId="45" borderId="33" xfId="0" applyFont="1" applyFill="1" applyBorder="1" applyAlignment="1" applyProtection="1">
      <alignment horizontal="left" vertical="center"/>
      <protection locked="0"/>
    </xf>
    <xf numFmtId="3" fontId="18" fillId="45" borderId="35" xfId="0" applyNumberFormat="1" applyFont="1" applyFill="1" applyBorder="1" applyAlignment="1">
      <alignment horizontal="right" vertical="center"/>
    </xf>
    <xf numFmtId="0" fontId="12" fillId="51" borderId="33" xfId="0" applyFont="1" applyFill="1" applyBorder="1" applyAlignment="1" applyProtection="1">
      <alignment horizontal="left" vertical="center"/>
      <protection locked="0"/>
    </xf>
    <xf numFmtId="3" fontId="12" fillId="0" borderId="36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 horizontal="right" vertical="center"/>
    </xf>
    <xf numFmtId="3" fontId="47" fillId="0" borderId="0" xfId="95" applyNumberFormat="1" applyFont="1" applyFill="1" applyBorder="1" applyAlignment="1" quotePrefix="1">
      <alignment vertical="center"/>
      <protection/>
    </xf>
    <xf numFmtId="3" fontId="47" fillId="45" borderId="23" xfId="0" applyNumberFormat="1" applyFont="1" applyFill="1" applyBorder="1" applyAlignment="1">
      <alignment horizontal="right" vertical="center"/>
    </xf>
    <xf numFmtId="3" fontId="47" fillId="45" borderId="36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horizontal="right" vertical="center"/>
    </xf>
    <xf numFmtId="3" fontId="12" fillId="58" borderId="51" xfId="0" applyNumberFormat="1" applyFont="1" applyFill="1" applyBorder="1" applyAlignment="1">
      <alignment vertical="center"/>
    </xf>
    <xf numFmtId="3" fontId="46" fillId="61" borderId="25" xfId="95" applyNumberFormat="1" applyFont="1" applyFill="1" applyBorder="1" applyAlignment="1" quotePrefix="1">
      <alignment vertical="center"/>
      <protection/>
    </xf>
    <xf numFmtId="3" fontId="34" fillId="45" borderId="51" xfId="0" applyNumberFormat="1" applyFont="1" applyFill="1" applyBorder="1" applyAlignment="1">
      <alignment horizontal="right" vertical="center"/>
    </xf>
    <xf numFmtId="3" fontId="34" fillId="45" borderId="35" xfId="0" applyNumberFormat="1" applyFont="1" applyFill="1" applyBorder="1" applyAlignment="1">
      <alignment horizontal="right" vertical="center"/>
    </xf>
    <xf numFmtId="0" fontId="34" fillId="0" borderId="36" xfId="102" applyFont="1" applyBorder="1" applyAlignment="1">
      <alignment vertical="center"/>
    </xf>
    <xf numFmtId="0" fontId="12" fillId="53" borderId="141" xfId="0" applyFont="1" applyFill="1" applyBorder="1" applyAlignment="1">
      <alignment horizontal="center" vertical="center"/>
    </xf>
    <xf numFmtId="0" fontId="14" fillId="60" borderId="140" xfId="0" applyFont="1" applyFill="1" applyBorder="1" applyAlignment="1">
      <alignment horizontal="left" vertical="center" wrapText="1"/>
    </xf>
    <xf numFmtId="3" fontId="14" fillId="60" borderId="140" xfId="0" applyNumberFormat="1" applyFont="1" applyFill="1" applyBorder="1" applyAlignment="1">
      <alignment horizontal="right" vertical="center"/>
    </xf>
    <xf numFmtId="3" fontId="12" fillId="53" borderId="140" xfId="102" applyNumberFormat="1" applyFont="1" applyFill="1" applyBorder="1" applyAlignment="1">
      <alignment vertical="center"/>
    </xf>
    <xf numFmtId="3" fontId="41" fillId="60" borderId="146" xfId="0" applyNumberFormat="1" applyFont="1" applyFill="1" applyBorder="1" applyAlignment="1">
      <alignment horizontal="right" vertical="center"/>
    </xf>
    <xf numFmtId="0" fontId="34" fillId="0" borderId="34" xfId="101" applyFont="1" applyFill="1" applyBorder="1" applyAlignment="1" applyProtection="1">
      <alignment horizontal="left" vertical="center" wrapText="1"/>
      <protection locked="0"/>
    </xf>
    <xf numFmtId="3" fontId="34" fillId="0" borderId="34" xfId="0" applyNumberFormat="1" applyFont="1" applyFill="1" applyBorder="1" applyAlignment="1">
      <alignment horizontal="right" vertical="center"/>
    </xf>
    <xf numFmtId="0" fontId="34" fillId="0" borderId="130" xfId="101" applyFont="1" applyFill="1" applyBorder="1" applyAlignment="1" applyProtection="1">
      <alignment horizontal="left" vertical="center"/>
      <protection locked="0"/>
    </xf>
    <xf numFmtId="0" fontId="34" fillId="0" borderId="70" xfId="0" applyFont="1" applyBorder="1" applyAlignment="1">
      <alignment vertical="center" wrapText="1"/>
    </xf>
    <xf numFmtId="3" fontId="34" fillId="45" borderId="51" xfId="0" applyNumberFormat="1" applyFont="1" applyFill="1" applyBorder="1" applyAlignment="1">
      <alignment horizontal="right" vertical="center"/>
    </xf>
    <xf numFmtId="0" fontId="34" fillId="0" borderId="38" xfId="110" applyNumberFormat="1" applyFont="1" applyFill="1" applyBorder="1" applyAlignment="1">
      <alignment vertical="center" wrapText="1"/>
      <protection/>
    </xf>
    <xf numFmtId="3" fontId="34" fillId="0" borderId="36" xfId="0" applyNumberFormat="1" applyFont="1" applyFill="1" applyBorder="1" applyAlignment="1">
      <alignment horizontal="right" vertical="center"/>
    </xf>
    <xf numFmtId="0" fontId="34" fillId="0" borderId="37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52" xfId="0" applyFont="1" applyFill="1" applyBorder="1" applyAlignment="1">
      <alignment vertical="center"/>
    </xf>
    <xf numFmtId="0" fontId="34" fillId="65" borderId="35" xfId="102" applyFont="1" applyFill="1" applyBorder="1" applyAlignment="1">
      <alignment vertical="center" wrapText="1"/>
    </xf>
    <xf numFmtId="3" fontId="34" fillId="0" borderId="51" xfId="0" applyNumberFormat="1" applyFont="1" applyFill="1" applyBorder="1" applyAlignment="1">
      <alignment horizontal="right" vertical="center"/>
    </xf>
    <xf numFmtId="0" fontId="34" fillId="0" borderId="35" xfId="0" applyFont="1" applyBorder="1" applyAlignment="1">
      <alignment vertical="center"/>
    </xf>
    <xf numFmtId="3" fontId="131" fillId="0" borderId="50" xfId="0" applyNumberFormat="1" applyFont="1" applyFill="1" applyBorder="1" applyAlignment="1">
      <alignment wrapText="1"/>
    </xf>
    <xf numFmtId="0" fontId="34" fillId="0" borderId="125" xfId="0" applyFont="1" applyBorder="1" applyAlignment="1">
      <alignment vertical="center"/>
    </xf>
    <xf numFmtId="3" fontId="34" fillId="0" borderId="87" xfId="68" applyNumberFormat="1" applyFont="1" applyFill="1" applyBorder="1" applyAlignment="1">
      <alignment horizontal="right" vertical="center"/>
    </xf>
    <xf numFmtId="0" fontId="131" fillId="0" borderId="50" xfId="0" applyFont="1" applyFill="1" applyBorder="1" applyAlignment="1">
      <alignment horizontal="left"/>
    </xf>
    <xf numFmtId="3" fontId="34" fillId="0" borderId="50" xfId="102" applyNumberFormat="1" applyFont="1" applyFill="1" applyBorder="1" applyAlignment="1">
      <alignment vertical="center"/>
    </xf>
    <xf numFmtId="3" fontId="131" fillId="65" borderId="90" xfId="0" applyNumberFormat="1" applyFont="1" applyFill="1" applyBorder="1" applyAlignment="1">
      <alignment vertical="center" wrapText="1"/>
    </xf>
    <xf numFmtId="0" fontId="131" fillId="0" borderId="35" xfId="0" applyFont="1" applyFill="1" applyBorder="1" applyAlignment="1">
      <alignment wrapText="1"/>
    </xf>
    <xf numFmtId="0" fontId="131" fillId="0" borderId="35" xfId="0" applyFont="1" applyFill="1" applyBorder="1" applyAlignment="1">
      <alignment vertical="center" wrapText="1"/>
    </xf>
    <xf numFmtId="3" fontId="34" fillId="0" borderId="87" xfId="102" applyNumberFormat="1" applyFont="1" applyBorder="1" applyAlignment="1">
      <alignment vertical="center"/>
    </xf>
    <xf numFmtId="3" fontId="34" fillId="0" borderId="57" xfId="102" applyNumberFormat="1" applyFont="1" applyBorder="1" applyAlignment="1">
      <alignment vertical="center"/>
    </xf>
    <xf numFmtId="49" fontId="34" fillId="0" borderId="36" xfId="102" applyNumberFormat="1" applyFont="1" applyFill="1" applyBorder="1" applyAlignment="1">
      <alignment vertical="center"/>
    </xf>
    <xf numFmtId="3" fontId="34" fillId="0" borderId="36" xfId="102" applyNumberFormat="1" applyFont="1" applyBorder="1" applyAlignment="1">
      <alignment vertical="center"/>
    </xf>
    <xf numFmtId="3" fontId="72" fillId="0" borderId="36" xfId="102" applyNumberFormat="1" applyFont="1" applyBorder="1" applyAlignment="1">
      <alignment vertical="center"/>
    </xf>
    <xf numFmtId="49" fontId="72" fillId="0" borderId="35" xfId="0" applyNumberFormat="1" applyFont="1" applyBorder="1" applyAlignment="1">
      <alignment vertical="center" wrapText="1"/>
    </xf>
    <xf numFmtId="0" fontId="18" fillId="65" borderId="35" xfId="98" applyFont="1" applyFill="1" applyBorder="1" applyAlignment="1">
      <alignment vertical="center" wrapText="1"/>
    </xf>
    <xf numFmtId="3" fontId="72" fillId="0" borderId="36" xfId="0" applyNumberFormat="1" applyFont="1" applyFill="1" applyBorder="1" applyAlignment="1">
      <alignment horizontal="right" vertical="center"/>
    </xf>
    <xf numFmtId="3" fontId="72" fillId="45" borderId="36" xfId="0" applyNumberFormat="1" applyFont="1" applyFill="1" applyBorder="1" applyAlignment="1">
      <alignment horizontal="right" vertical="center"/>
    </xf>
    <xf numFmtId="3" fontId="72" fillId="45" borderId="35" xfId="0" applyNumberFormat="1" applyFont="1" applyFill="1" applyBorder="1" applyAlignment="1">
      <alignment horizontal="right" vertical="center"/>
    </xf>
    <xf numFmtId="49" fontId="37" fillId="0" borderId="35" xfId="0" applyNumberFormat="1" applyFont="1" applyFill="1" applyBorder="1" applyAlignment="1">
      <alignment vertical="center" wrapText="1"/>
    </xf>
    <xf numFmtId="49" fontId="73" fillId="0" borderId="35" xfId="0" applyNumberFormat="1" applyFont="1" applyFill="1" applyBorder="1" applyAlignment="1">
      <alignment vertical="center" wrapText="1"/>
    </xf>
    <xf numFmtId="0" fontId="2" fillId="0" borderId="140" xfId="0" applyFont="1" applyFill="1" applyBorder="1" applyAlignment="1">
      <alignment horizontal="center" vertical="center"/>
    </xf>
    <xf numFmtId="3" fontId="34" fillId="0" borderId="14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right" vertical="center"/>
      <protection locked="0"/>
    </xf>
    <xf numFmtId="0" fontId="34" fillId="0" borderId="81" xfId="0" applyFont="1" applyFill="1" applyBorder="1" applyAlignment="1" applyProtection="1">
      <alignment horizontal="right" vertical="center"/>
      <protection locked="0"/>
    </xf>
    <xf numFmtId="0" fontId="34" fillId="0" borderId="36" xfId="0" applyFont="1" applyFill="1" applyBorder="1" applyAlignment="1">
      <alignment vertical="center" wrapText="1"/>
    </xf>
    <xf numFmtId="3" fontId="34" fillId="0" borderId="50" xfId="102" applyNumberFormat="1" applyFont="1" applyFill="1" applyBorder="1" applyAlignment="1">
      <alignment horizontal="right" vertical="center"/>
    </xf>
    <xf numFmtId="0" fontId="34" fillId="0" borderId="50" xfId="0" applyFont="1" applyBorder="1" applyAlignment="1">
      <alignment vertical="center" wrapText="1"/>
    </xf>
    <xf numFmtId="3" fontId="34" fillId="0" borderId="36" xfId="102" applyNumberFormat="1" applyFont="1" applyFill="1" applyBorder="1" applyAlignment="1">
      <alignment horizontal="right" vertical="center"/>
    </xf>
    <xf numFmtId="3" fontId="34" fillId="0" borderId="35" xfId="102" applyNumberFormat="1" applyFont="1" applyFill="1" applyBorder="1" applyAlignment="1">
      <alignment horizontal="right" vertical="center"/>
    </xf>
    <xf numFmtId="3" fontId="34" fillId="0" borderId="23" xfId="102" applyNumberFormat="1" applyFont="1" applyFill="1" applyBorder="1" applyAlignment="1">
      <alignment horizontal="right" vertical="center"/>
    </xf>
    <xf numFmtId="3" fontId="34" fillId="0" borderId="51" xfId="102" applyNumberFormat="1" applyFont="1" applyFill="1" applyBorder="1" applyAlignment="1">
      <alignment horizontal="right" vertical="center"/>
    </xf>
    <xf numFmtId="0" fontId="34" fillId="65" borderId="35" xfId="0" applyFont="1" applyFill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45" borderId="50" xfId="101" applyNumberFormat="1" applyFont="1" applyFill="1" applyBorder="1" applyAlignment="1" applyProtection="1">
      <alignment horizontal="left" vertical="center" wrapText="1"/>
      <protection locked="0"/>
    </xf>
    <xf numFmtId="0" fontId="34" fillId="0" borderId="38" xfId="101" applyNumberFormat="1" applyFont="1" applyFill="1" applyBorder="1" applyAlignment="1" applyProtection="1">
      <alignment horizontal="left" vertical="center" wrapText="1"/>
      <protection locked="0"/>
    </xf>
    <xf numFmtId="3" fontId="12" fillId="66" borderId="24" xfId="101" applyNumberFormat="1" applyFont="1" applyFill="1" applyBorder="1" applyAlignment="1">
      <alignment horizontal="right" vertical="center"/>
    </xf>
    <xf numFmtId="0" fontId="34" fillId="0" borderId="50" xfId="0" applyFont="1" applyFill="1" applyBorder="1" applyAlignment="1">
      <alignment vertical="center"/>
    </xf>
    <xf numFmtId="0" fontId="34" fillId="0" borderId="51" xfId="0" applyFont="1" applyFill="1" applyBorder="1" applyAlignment="1">
      <alignment vertical="center"/>
    </xf>
    <xf numFmtId="49" fontId="18" fillId="65" borderId="35" xfId="98" applyNumberFormat="1" applyFont="1" applyFill="1" applyBorder="1" applyAlignment="1">
      <alignment vertical="center" wrapText="1"/>
    </xf>
    <xf numFmtId="0" fontId="34" fillId="0" borderId="55" xfId="95" applyFont="1" applyFill="1" applyBorder="1" applyAlignment="1">
      <alignment vertical="center" wrapText="1"/>
      <protection/>
    </xf>
    <xf numFmtId="0" fontId="34" fillId="0" borderId="51" xfId="0" applyFont="1" applyBorder="1" applyAlignment="1">
      <alignment vertical="center"/>
    </xf>
    <xf numFmtId="3" fontId="18" fillId="0" borderId="51" xfId="101" applyNumberFormat="1" applyFont="1" applyFill="1" applyBorder="1" applyAlignment="1">
      <alignment horizontal="right" vertical="center"/>
    </xf>
    <xf numFmtId="3" fontId="18" fillId="0" borderId="35" xfId="101" applyNumberFormat="1" applyFont="1" applyFill="1" applyBorder="1" applyAlignment="1">
      <alignment horizontal="right" vertical="center"/>
    </xf>
    <xf numFmtId="3" fontId="34" fillId="0" borderId="36" xfId="101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vertical="center"/>
    </xf>
    <xf numFmtId="3" fontId="34" fillId="0" borderId="55" xfId="102" applyNumberFormat="1" applyFont="1" applyFill="1" applyBorder="1" applyAlignment="1">
      <alignment horizontal="right" vertical="center"/>
    </xf>
    <xf numFmtId="0" fontId="34" fillId="65" borderId="37" xfId="0" applyFont="1" applyFill="1" applyBorder="1" applyAlignment="1">
      <alignment vertical="center"/>
    </xf>
    <xf numFmtId="0" fontId="34" fillId="65" borderId="36" xfId="0" applyFont="1" applyFill="1" applyBorder="1" applyAlignment="1">
      <alignment vertical="center"/>
    </xf>
    <xf numFmtId="3" fontId="18" fillId="45" borderId="51" xfId="101" applyNumberFormat="1" applyFont="1" applyFill="1" applyBorder="1" applyAlignment="1">
      <alignment horizontal="right" vertical="center"/>
    </xf>
    <xf numFmtId="0" fontId="34" fillId="45" borderId="35" xfId="101" applyNumberFormat="1" applyFont="1" applyFill="1" applyBorder="1" applyAlignment="1" applyProtection="1">
      <alignment horizontal="left" vertical="center" wrapText="1"/>
      <protection locked="0"/>
    </xf>
    <xf numFmtId="3" fontId="34" fillId="0" borderId="51" xfId="102" applyNumberFormat="1" applyFont="1" applyFill="1" applyBorder="1" applyAlignment="1">
      <alignment vertical="center"/>
    </xf>
    <xf numFmtId="49" fontId="34" fillId="65" borderId="35" xfId="0" applyNumberFormat="1" applyFont="1" applyFill="1" applyBorder="1" applyAlignment="1">
      <alignment vertical="center" wrapText="1"/>
    </xf>
    <xf numFmtId="49" fontId="72" fillId="65" borderId="51" xfId="0" applyNumberFormat="1" applyFont="1" applyFill="1" applyBorder="1" applyAlignment="1">
      <alignment vertical="center" wrapText="1"/>
    </xf>
    <xf numFmtId="49" fontId="72" fillId="65" borderId="35" xfId="0" applyNumberFormat="1" applyFont="1" applyFill="1" applyBorder="1" applyAlignment="1">
      <alignment vertical="center" wrapText="1"/>
    </xf>
    <xf numFmtId="3" fontId="72" fillId="0" borderId="35" xfId="102" applyNumberFormat="1" applyFont="1" applyFill="1" applyBorder="1" applyAlignment="1">
      <alignment vertical="center"/>
    </xf>
    <xf numFmtId="3" fontId="72" fillId="0" borderId="35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72" fillId="0" borderId="23" xfId="102" applyNumberFormat="1" applyFont="1" applyFill="1" applyBorder="1" applyAlignment="1">
      <alignment vertical="center"/>
    </xf>
    <xf numFmtId="3" fontId="72" fillId="0" borderId="102" xfId="102" applyNumberFormat="1" applyFont="1" applyFill="1" applyBorder="1" applyAlignment="1">
      <alignment vertical="center"/>
    </xf>
    <xf numFmtId="49" fontId="72" fillId="65" borderId="55" xfId="0" applyNumberFormat="1" applyFont="1" applyFill="1" applyBorder="1" applyAlignment="1">
      <alignment vertical="center" wrapText="1"/>
    </xf>
    <xf numFmtId="3" fontId="72" fillId="0" borderId="55" xfId="0" applyNumberFormat="1" applyFont="1" applyFill="1" applyBorder="1" applyAlignment="1">
      <alignment horizontal="right" vertical="center"/>
    </xf>
    <xf numFmtId="3" fontId="72" fillId="0" borderId="37" xfId="102" applyNumberFormat="1" applyFont="1" applyFill="1" applyBorder="1" applyAlignment="1">
      <alignment vertical="center"/>
    </xf>
    <xf numFmtId="3" fontId="34" fillId="0" borderId="44" xfId="102" applyNumberFormat="1" applyFont="1" applyFill="1" applyBorder="1" applyAlignment="1">
      <alignment vertical="center"/>
    </xf>
    <xf numFmtId="3" fontId="34" fillId="0" borderId="37" xfId="102" applyNumberFormat="1" applyFont="1" applyFill="1" applyBorder="1" applyAlignment="1">
      <alignment vertical="center"/>
    </xf>
    <xf numFmtId="3" fontId="72" fillId="0" borderId="52" xfId="102" applyNumberFormat="1" applyFont="1" applyFill="1" applyBorder="1" applyAlignment="1">
      <alignment vertical="center"/>
    </xf>
    <xf numFmtId="3" fontId="41" fillId="0" borderId="35" xfId="102" applyNumberFormat="1" applyFont="1" applyFill="1" applyBorder="1" applyAlignment="1">
      <alignment vertical="center"/>
    </xf>
    <xf numFmtId="3" fontId="72" fillId="0" borderId="130" xfId="0" applyNumberFormat="1" applyFont="1" applyFill="1" applyBorder="1" applyAlignment="1">
      <alignment horizontal="right" vertical="center"/>
    </xf>
    <xf numFmtId="0" fontId="14" fillId="0" borderId="36" xfId="105" applyFont="1" applyFill="1" applyBorder="1" applyAlignment="1">
      <alignment horizontal="center" vertical="center"/>
      <protection/>
    </xf>
    <xf numFmtId="0" fontId="14" fillId="0" borderId="35" xfId="105" applyFont="1" applyFill="1" applyBorder="1" applyAlignment="1">
      <alignment horizontal="center" vertical="center"/>
      <protection/>
    </xf>
    <xf numFmtId="0" fontId="18" fillId="0" borderId="35" xfId="105" applyFont="1" applyFill="1" applyBorder="1" applyAlignment="1">
      <alignment vertical="center"/>
      <protection/>
    </xf>
    <xf numFmtId="0" fontId="18" fillId="0" borderId="36" xfId="105" applyFont="1" applyFill="1" applyBorder="1" applyAlignment="1">
      <alignment vertical="center"/>
      <protection/>
    </xf>
    <xf numFmtId="0" fontId="12" fillId="53" borderId="44" xfId="103" applyFont="1" applyFill="1" applyBorder="1" applyAlignment="1">
      <alignment vertical="center"/>
    </xf>
    <xf numFmtId="0" fontId="18" fillId="0" borderId="38" xfId="103" applyFont="1" applyFill="1" applyBorder="1" applyAlignment="1">
      <alignment vertical="center"/>
    </xf>
    <xf numFmtId="0" fontId="18" fillId="0" borderId="37" xfId="103" applyFont="1" applyFill="1" applyBorder="1" applyAlignment="1">
      <alignment vertical="center"/>
    </xf>
    <xf numFmtId="0" fontId="18" fillId="0" borderId="91" xfId="103" applyFont="1" applyFill="1" applyBorder="1" applyAlignment="1">
      <alignment vertical="center"/>
    </xf>
    <xf numFmtId="0" fontId="18" fillId="0" borderId="102" xfId="103" applyFont="1" applyFill="1" applyBorder="1" applyAlignment="1">
      <alignment vertical="center"/>
    </xf>
    <xf numFmtId="0" fontId="18" fillId="0" borderId="52" xfId="105" applyFont="1" applyFill="1" applyBorder="1" applyAlignment="1">
      <alignment horizontal="left" vertical="center"/>
      <protection/>
    </xf>
    <xf numFmtId="0" fontId="18" fillId="0" borderId="125" xfId="105" applyFont="1" applyFill="1" applyBorder="1" applyAlignment="1">
      <alignment horizontal="left" vertical="center"/>
      <protection/>
    </xf>
    <xf numFmtId="0" fontId="12" fillId="53" borderId="24" xfId="105" applyFont="1" applyFill="1" applyBorder="1" applyAlignment="1">
      <alignment vertical="center"/>
      <protection/>
    </xf>
    <xf numFmtId="3" fontId="41" fillId="0" borderId="140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4" fontId="8" fillId="0" borderId="100" xfId="0" applyNumberFormat="1" applyFont="1" applyBorder="1" applyAlignment="1">
      <alignment vertical="center"/>
    </xf>
    <xf numFmtId="3" fontId="131" fillId="65" borderId="35" xfId="0" applyNumberFormat="1" applyFont="1" applyFill="1" applyBorder="1" applyAlignment="1">
      <alignment vertical="center"/>
    </xf>
    <xf numFmtId="3" fontId="131" fillId="65" borderId="36" xfId="0" applyNumberFormat="1" applyFont="1" applyFill="1" applyBorder="1" applyAlignment="1">
      <alignment vertical="center" wrapText="1"/>
    </xf>
    <xf numFmtId="0" fontId="131" fillId="0" borderId="130" xfId="0" applyFont="1" applyFill="1" applyBorder="1" applyAlignment="1">
      <alignment vertical="center" wrapText="1"/>
    </xf>
    <xf numFmtId="0" fontId="34" fillId="65" borderId="102" xfId="0" applyFont="1" applyFill="1" applyBorder="1" applyAlignment="1">
      <alignment vertical="center" wrapText="1"/>
    </xf>
    <xf numFmtId="3" fontId="131" fillId="0" borderId="38" xfId="0" applyNumberFormat="1" applyFont="1" applyFill="1" applyBorder="1" applyAlignment="1">
      <alignment wrapText="1"/>
    </xf>
    <xf numFmtId="3" fontId="131" fillId="65" borderId="125" xfId="0" applyNumberFormat="1" applyFont="1" applyFill="1" applyBorder="1" applyAlignment="1">
      <alignment wrapText="1"/>
    </xf>
    <xf numFmtId="3" fontId="18" fillId="0" borderId="125" xfId="101" applyNumberFormat="1" applyFont="1" applyFill="1" applyBorder="1" applyAlignment="1">
      <alignment horizontal="right" vertical="center"/>
    </xf>
    <xf numFmtId="3" fontId="131" fillId="65" borderId="102" xfId="0" applyNumberFormat="1" applyFont="1" applyFill="1" applyBorder="1" applyAlignment="1">
      <alignment vertical="center" wrapText="1"/>
    </xf>
    <xf numFmtId="3" fontId="18" fillId="0" borderId="102" xfId="101" applyNumberFormat="1" applyFont="1" applyFill="1" applyBorder="1" applyAlignment="1">
      <alignment horizontal="right" vertical="center"/>
    </xf>
    <xf numFmtId="0" fontId="33" fillId="45" borderId="52" xfId="0" applyFont="1" applyFill="1" applyBorder="1" applyAlignment="1">
      <alignment/>
    </xf>
    <xf numFmtId="3" fontId="18" fillId="0" borderId="24" xfId="0" applyNumberFormat="1" applyFont="1" applyFill="1" applyBorder="1" applyAlignment="1">
      <alignment horizontal="right" vertical="center"/>
    </xf>
    <xf numFmtId="3" fontId="13" fillId="0" borderId="105" xfId="0" applyNumberFormat="1" applyFont="1" applyBorder="1" applyAlignment="1">
      <alignment vertical="center"/>
    </xf>
    <xf numFmtId="0" fontId="23" fillId="45" borderId="39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3" fontId="134" fillId="0" borderId="0" xfId="0" applyNumberFormat="1" applyFont="1" applyAlignment="1">
      <alignment horizontal="right" vertical="center"/>
    </xf>
    <xf numFmtId="3" fontId="135" fillId="0" borderId="0" xfId="0" applyNumberFormat="1" applyFont="1" applyAlignment="1">
      <alignment horizontal="right" vertical="center"/>
    </xf>
    <xf numFmtId="3" fontId="135" fillId="0" borderId="0" xfId="0" applyNumberFormat="1" applyFont="1" applyAlignment="1">
      <alignment horizontal="center" vertical="center"/>
    </xf>
    <xf numFmtId="3" fontId="136" fillId="0" borderId="0" xfId="0" applyNumberFormat="1" applyFont="1" applyAlignment="1">
      <alignment horizontal="right" vertical="center"/>
    </xf>
    <xf numFmtId="3" fontId="135" fillId="0" borderId="0" xfId="0" applyNumberFormat="1" applyFont="1" applyFill="1" applyAlignment="1">
      <alignment horizontal="right" vertical="center"/>
    </xf>
    <xf numFmtId="3" fontId="135" fillId="0" borderId="0" xfId="0" applyNumberFormat="1" applyFont="1" applyAlignment="1" applyProtection="1">
      <alignment horizontal="right" vertical="center"/>
      <protection locked="0"/>
    </xf>
    <xf numFmtId="3" fontId="137" fillId="0" borderId="0" xfId="0" applyNumberFormat="1" applyFont="1" applyAlignment="1">
      <alignment horizontal="right" vertical="center"/>
    </xf>
    <xf numFmtId="3" fontId="135" fillId="0" borderId="0" xfId="0" applyNumberFormat="1" applyFont="1" applyFill="1" applyAlignment="1" applyProtection="1">
      <alignment horizontal="right" vertical="center"/>
      <protection locked="0"/>
    </xf>
    <xf numFmtId="3" fontId="138" fillId="0" borderId="0" xfId="0" applyNumberFormat="1" applyFont="1" applyAlignment="1">
      <alignment horizontal="right" vertical="center"/>
    </xf>
    <xf numFmtId="3" fontId="13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12" fillId="51" borderId="52" xfId="0" applyFont="1" applyFill="1" applyBorder="1" applyAlignment="1">
      <alignment horizontal="center" vertical="center"/>
    </xf>
    <xf numFmtId="0" fontId="12" fillId="51" borderId="94" xfId="0" applyFont="1" applyFill="1" applyBorder="1" applyAlignment="1" applyProtection="1">
      <alignment horizontal="left" vertical="center"/>
      <protection locked="0"/>
    </xf>
    <xf numFmtId="3" fontId="12" fillId="51" borderId="51" xfId="0" applyNumberFormat="1" applyFont="1" applyFill="1" applyBorder="1" applyAlignment="1">
      <alignment horizontal="right" vertical="center"/>
    </xf>
    <xf numFmtId="0" fontId="12" fillId="51" borderId="57" xfId="0" applyFont="1" applyFill="1" applyBorder="1" applyAlignment="1" applyProtection="1">
      <alignment horizontal="left" vertical="center"/>
      <protection locked="0"/>
    </xf>
    <xf numFmtId="3" fontId="12" fillId="45" borderId="51" xfId="0" applyNumberFormat="1" applyFont="1" applyFill="1" applyBorder="1" applyAlignment="1">
      <alignment horizontal="right" vertical="center"/>
    </xf>
    <xf numFmtId="3" fontId="34" fillId="0" borderId="51" xfId="102" applyNumberFormat="1" applyFont="1" applyBorder="1" applyAlignment="1">
      <alignment vertical="center"/>
    </xf>
    <xf numFmtId="0" fontId="34" fillId="0" borderId="51" xfId="102" applyFont="1" applyBorder="1" applyAlignment="1">
      <alignment vertical="center"/>
    </xf>
    <xf numFmtId="0" fontId="0" fillId="65" borderId="38" xfId="0" applyFont="1" applyFill="1" applyBorder="1" applyAlignment="1">
      <alignment vertical="center"/>
    </xf>
    <xf numFmtId="0" fontId="41" fillId="54" borderId="102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3" fontId="41" fillId="0" borderId="24" xfId="0" applyNumberFormat="1" applyFont="1" applyFill="1" applyBorder="1" applyAlignment="1">
      <alignment horizontal="right" vertical="center"/>
    </xf>
    <xf numFmtId="3" fontId="34" fillId="0" borderId="24" xfId="0" applyNumberFormat="1" applyFont="1" applyFill="1" applyBorder="1" applyAlignment="1">
      <alignment horizontal="right" vertical="center"/>
    </xf>
    <xf numFmtId="0" fontId="34" fillId="0" borderId="24" xfId="0" applyFont="1" applyFill="1" applyBorder="1" applyAlignment="1">
      <alignment vertical="center"/>
    </xf>
    <xf numFmtId="3" fontId="131" fillId="0" borderId="37" xfId="0" applyNumberFormat="1" applyFont="1" applyFill="1" applyBorder="1" applyAlignment="1">
      <alignment wrapText="1"/>
    </xf>
    <xf numFmtId="3" fontId="34" fillId="0" borderId="0" xfId="0" applyNumberFormat="1" applyFont="1" applyAlignment="1">
      <alignment vertical="center"/>
    </xf>
    <xf numFmtId="3" fontId="34" fillId="0" borderId="44" xfId="102" applyNumberFormat="1" applyFont="1" applyFill="1" applyBorder="1" applyAlignment="1">
      <alignment horizontal="right" vertical="center"/>
    </xf>
    <xf numFmtId="3" fontId="34" fillId="0" borderId="125" xfId="102" applyNumberFormat="1" applyFont="1" applyFill="1" applyBorder="1" applyAlignment="1">
      <alignment horizontal="right" vertical="center"/>
    </xf>
    <xf numFmtId="0" fontId="131" fillId="0" borderId="0" xfId="0" applyFont="1" applyFill="1" applyBorder="1" applyAlignment="1">
      <alignment wrapText="1"/>
    </xf>
    <xf numFmtId="0" fontId="131" fillId="0" borderId="37" xfId="0" applyFont="1" applyFill="1" applyBorder="1" applyAlignment="1">
      <alignment wrapText="1"/>
    </xf>
    <xf numFmtId="0" fontId="34" fillId="0" borderId="0" xfId="109" applyFont="1" applyBorder="1" applyAlignment="1">
      <alignment vertical="center" wrapText="1"/>
      <protection/>
    </xf>
    <xf numFmtId="0" fontId="34" fillId="0" borderId="35" xfId="109" applyFont="1" applyBorder="1" applyAlignment="1">
      <alignment horizontal="center" vertical="center"/>
      <protection/>
    </xf>
    <xf numFmtId="0" fontId="34" fillId="0" borderId="71" xfId="109" applyFont="1" applyBorder="1" applyAlignment="1">
      <alignment vertical="center" wrapText="1"/>
      <protection/>
    </xf>
    <xf numFmtId="0" fontId="34" fillId="0" borderId="27" xfId="109" applyFont="1" applyBorder="1" applyAlignment="1">
      <alignment vertical="center" wrapText="1"/>
      <protection/>
    </xf>
    <xf numFmtId="0" fontId="34" fillId="0" borderId="120" xfId="109" applyFont="1" applyBorder="1" applyAlignment="1">
      <alignment vertical="center" wrapText="1"/>
      <protection/>
    </xf>
    <xf numFmtId="0" fontId="34" fillId="0" borderId="51" xfId="109" applyFont="1" applyBorder="1" applyAlignment="1">
      <alignment horizontal="center" vertical="center"/>
      <protection/>
    </xf>
    <xf numFmtId="3" fontId="34" fillId="0" borderId="37" xfId="0" applyNumberFormat="1" applyFont="1" applyFill="1" applyBorder="1" applyAlignment="1">
      <alignment vertical="center"/>
    </xf>
    <xf numFmtId="3" fontId="34" fillId="0" borderId="84" xfId="0" applyNumberFormat="1" applyFont="1" applyFill="1" applyBorder="1" applyAlignment="1">
      <alignment vertical="center"/>
    </xf>
    <xf numFmtId="3" fontId="34" fillId="0" borderId="57" xfId="0" applyNumberFormat="1" applyFont="1" applyFill="1" applyBorder="1" applyAlignment="1">
      <alignment vertical="center"/>
    </xf>
    <xf numFmtId="3" fontId="34" fillId="0" borderId="80" xfId="0" applyNumberFormat="1" applyFont="1" applyFill="1" applyBorder="1" applyAlignment="1">
      <alignment vertical="center"/>
    </xf>
    <xf numFmtId="3" fontId="34" fillId="0" borderId="33" xfId="0" applyNumberFormat="1" applyFont="1" applyFill="1" applyBorder="1" applyAlignment="1">
      <alignment vertical="center"/>
    </xf>
    <xf numFmtId="3" fontId="41" fillId="53" borderId="39" xfId="108" applyNumberFormat="1" applyFont="1" applyFill="1" applyBorder="1" applyAlignment="1">
      <alignment vertical="center"/>
      <protection/>
    </xf>
    <xf numFmtId="3" fontId="41" fillId="54" borderId="25" xfId="108" applyNumberFormat="1" applyFont="1" applyFill="1" applyBorder="1" applyAlignment="1">
      <alignment vertical="center"/>
      <protection/>
    </xf>
    <xf numFmtId="3" fontId="41" fillId="53" borderId="29" xfId="108" applyNumberFormat="1" applyFont="1" applyFill="1" applyBorder="1" applyAlignment="1">
      <alignment vertical="center"/>
      <protection/>
    </xf>
    <xf numFmtId="3" fontId="41" fillId="54" borderId="29" xfId="108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2" fillId="0" borderId="130" xfId="68" applyNumberFormat="1" applyFont="1" applyBorder="1" applyAlignment="1" applyProtection="1">
      <alignment horizontal="right" vertical="center"/>
      <protection hidden="1"/>
    </xf>
    <xf numFmtId="3" fontId="17" fillId="0" borderId="147" xfId="105" applyNumberFormat="1" applyFont="1" applyFill="1" applyBorder="1" applyAlignment="1">
      <alignment horizontal="right" vertical="center"/>
      <protection/>
    </xf>
    <xf numFmtId="0" fontId="34" fillId="0" borderId="51" xfId="108" applyFont="1" applyBorder="1" applyAlignment="1">
      <alignment horizontal="center" vertical="center"/>
      <protection/>
    </xf>
    <xf numFmtId="3" fontId="34" fillId="57" borderId="51" xfId="108" applyNumberFormat="1" applyFont="1" applyFill="1" applyBorder="1" applyAlignment="1">
      <alignment vertical="center"/>
      <protection/>
    </xf>
    <xf numFmtId="3" fontId="34" fillId="0" borderId="0" xfId="108" applyNumberFormat="1" applyFont="1" applyBorder="1" applyAlignment="1">
      <alignment vertical="center"/>
      <protection/>
    </xf>
    <xf numFmtId="0" fontId="46" fillId="0" borderId="83" xfId="106" applyFont="1" applyBorder="1" applyAlignment="1" applyProtection="1">
      <alignment horizontal="center" vertical="top"/>
      <protection hidden="1"/>
    </xf>
    <xf numFmtId="0" fontId="46" fillId="0" borderId="95" xfId="106" applyFont="1" applyBorder="1" applyAlignment="1" applyProtection="1">
      <alignment horizontal="center" vertical="top"/>
      <protection hidden="1"/>
    </xf>
    <xf numFmtId="0" fontId="46" fillId="0" borderId="121" xfId="106" applyFont="1" applyBorder="1" applyAlignment="1" applyProtection="1">
      <alignment horizontal="center" vertical="top"/>
      <protection hidden="1"/>
    </xf>
    <xf numFmtId="0" fontId="36" fillId="53" borderId="25" xfId="106" applyFont="1" applyFill="1" applyBorder="1" applyAlignment="1" applyProtection="1">
      <alignment horizontal="left" vertical="center"/>
      <protection hidden="1"/>
    </xf>
    <xf numFmtId="0" fontId="36" fillId="53" borderId="40" xfId="106" applyFont="1" applyFill="1" applyBorder="1" applyAlignment="1" applyProtection="1">
      <alignment horizontal="left" vertical="center"/>
      <protection hidden="1"/>
    </xf>
    <xf numFmtId="0" fontId="42" fillId="0" borderId="91" xfId="106" applyFont="1" applyBorder="1" applyAlignment="1" applyProtection="1">
      <alignment horizontal="left" vertical="center"/>
      <protection hidden="1"/>
    </xf>
    <xf numFmtId="0" fontId="42" fillId="0" borderId="120" xfId="106" applyFont="1" applyBorder="1" applyAlignment="1" applyProtection="1">
      <alignment horizontal="left" vertical="center"/>
      <protection hidden="1"/>
    </xf>
    <xf numFmtId="0" fontId="42" fillId="0" borderId="57" xfId="106" applyFont="1" applyBorder="1" applyAlignment="1" applyProtection="1">
      <alignment horizontal="left" vertical="center"/>
      <protection hidden="1"/>
    </xf>
    <xf numFmtId="0" fontId="42" fillId="0" borderId="92" xfId="106" applyFont="1" applyBorder="1" applyAlignment="1" applyProtection="1">
      <alignment horizontal="left" vertical="center"/>
      <protection hidden="1"/>
    </xf>
    <xf numFmtId="0" fontId="42" fillId="0" borderId="128" xfId="106" applyFont="1" applyBorder="1" applyAlignment="1" applyProtection="1">
      <alignment horizontal="left" vertical="center"/>
      <protection hidden="1"/>
    </xf>
    <xf numFmtId="0" fontId="42" fillId="0" borderId="69" xfId="106" applyFont="1" applyBorder="1" applyAlignment="1" applyProtection="1">
      <alignment horizontal="left" vertical="center"/>
      <protection hidden="1"/>
    </xf>
    <xf numFmtId="0" fontId="46" fillId="0" borderId="120" xfId="106" applyFont="1" applyBorder="1" applyAlignment="1" applyProtection="1">
      <alignment horizontal="left" vertical="center"/>
      <protection hidden="1"/>
    </xf>
    <xf numFmtId="0" fontId="46" fillId="0" borderId="57" xfId="106" applyFont="1" applyBorder="1" applyAlignment="1" applyProtection="1">
      <alignment horizontal="left" vertical="center"/>
      <protection hidden="1"/>
    </xf>
    <xf numFmtId="0" fontId="46" fillId="0" borderId="80" xfId="106" applyFont="1" applyBorder="1" applyAlignment="1" applyProtection="1">
      <alignment horizontal="center" vertical="top"/>
      <protection hidden="1"/>
    </xf>
    <xf numFmtId="0" fontId="47" fillId="0" borderId="54" xfId="106" applyFont="1" applyBorder="1" applyAlignment="1" applyProtection="1">
      <alignment horizontal="center" vertical="top"/>
      <protection hidden="1"/>
    </xf>
    <xf numFmtId="0" fontId="47" fillId="0" borderId="88" xfId="106" applyFont="1" applyBorder="1" applyAlignment="1" applyProtection="1">
      <alignment horizontal="center" vertical="top"/>
      <protection hidden="1"/>
    </xf>
    <xf numFmtId="0" fontId="47" fillId="0" borderId="98" xfId="106" applyFont="1" applyBorder="1" applyAlignment="1" applyProtection="1">
      <alignment horizontal="center" vertical="top"/>
      <protection hidden="1"/>
    </xf>
    <xf numFmtId="0" fontId="47" fillId="0" borderId="95" xfId="106" applyFont="1" applyBorder="1" applyAlignment="1" applyProtection="1">
      <alignment horizontal="center" vertical="center"/>
      <protection hidden="1"/>
    </xf>
    <xf numFmtId="0" fontId="47" fillId="0" borderId="121" xfId="106" applyFont="1" applyBorder="1" applyAlignment="1" applyProtection="1">
      <alignment horizontal="center" vertical="center"/>
      <protection hidden="1"/>
    </xf>
    <xf numFmtId="0" fontId="42" fillId="0" borderId="26" xfId="106" applyFont="1" applyBorder="1" applyAlignment="1" applyProtection="1">
      <alignment horizontal="left" vertical="center"/>
      <protection hidden="1"/>
    </xf>
    <xf numFmtId="0" fontId="42" fillId="0" borderId="21" xfId="106" applyFont="1" applyBorder="1" applyAlignment="1" applyProtection="1">
      <alignment horizontal="left" vertical="center"/>
      <protection hidden="1"/>
    </xf>
    <xf numFmtId="0" fontId="46" fillId="0" borderId="91" xfId="106" applyFont="1" applyBorder="1" applyAlignment="1" applyProtection="1">
      <alignment horizontal="left" vertical="center"/>
      <protection hidden="1"/>
    </xf>
    <xf numFmtId="0" fontId="47" fillId="0" borderId="54" xfId="106" applyFont="1" applyBorder="1" applyAlignment="1" applyProtection="1">
      <alignment horizontal="center" vertical="center"/>
      <protection hidden="1"/>
    </xf>
    <xf numFmtId="0" fontId="47" fillId="0" borderId="88" xfId="106" applyFont="1" applyBorder="1" applyAlignment="1" applyProtection="1">
      <alignment horizontal="center" vertical="center"/>
      <protection hidden="1"/>
    </xf>
    <xf numFmtId="0" fontId="47" fillId="0" borderId="98" xfId="106" applyFont="1" applyBorder="1" applyAlignment="1" applyProtection="1">
      <alignment horizontal="center" vertical="center"/>
      <protection hidden="1"/>
    </xf>
    <xf numFmtId="0" fontId="46" fillId="54" borderId="93" xfId="106" applyFont="1" applyFill="1" applyBorder="1" applyAlignment="1" applyProtection="1">
      <alignment horizontal="left" vertical="center"/>
      <protection hidden="1"/>
    </xf>
    <xf numFmtId="0" fontId="46" fillId="54" borderId="25" xfId="106" applyFont="1" applyFill="1" applyBorder="1" applyAlignment="1" applyProtection="1">
      <alignment horizontal="left" vertical="center"/>
      <protection hidden="1"/>
    </xf>
    <xf numFmtId="0" fontId="46" fillId="54" borderId="40" xfId="106" applyFont="1" applyFill="1" applyBorder="1" applyAlignment="1" applyProtection="1">
      <alignment horizontal="left" vertical="center"/>
      <protection hidden="1"/>
    </xf>
    <xf numFmtId="0" fontId="46" fillId="54" borderId="39" xfId="106" applyFont="1" applyFill="1" applyBorder="1" applyAlignment="1" applyProtection="1">
      <alignment horizontal="left" vertical="center"/>
      <protection hidden="1"/>
    </xf>
    <xf numFmtId="0" fontId="42" fillId="0" borderId="129" xfId="106" applyFont="1" applyBorder="1" applyAlignment="1" applyProtection="1">
      <alignment horizontal="left" vertical="center"/>
      <protection hidden="1"/>
    </xf>
    <xf numFmtId="0" fontId="42" fillId="0" borderId="132" xfId="106" applyFont="1" applyBorder="1" applyAlignment="1" applyProtection="1">
      <alignment horizontal="left" vertical="center"/>
      <protection hidden="1"/>
    </xf>
    <xf numFmtId="0" fontId="42" fillId="0" borderId="122" xfId="106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center"/>
    </xf>
    <xf numFmtId="0" fontId="46" fillId="45" borderId="25" xfId="106" applyFont="1" applyFill="1" applyBorder="1" applyAlignment="1" applyProtection="1">
      <alignment horizontal="center" vertical="center" wrapText="1"/>
      <protection hidden="1"/>
    </xf>
    <xf numFmtId="0" fontId="46" fillId="45" borderId="40" xfId="106" applyFont="1" applyFill="1" applyBorder="1" applyAlignment="1" applyProtection="1">
      <alignment horizontal="center" vertical="center" wrapText="1"/>
      <protection hidden="1"/>
    </xf>
    <xf numFmtId="0" fontId="46" fillId="0" borderId="25" xfId="106" applyFont="1" applyBorder="1" applyAlignment="1" applyProtection="1">
      <alignment horizontal="left" vertical="center"/>
      <protection hidden="1"/>
    </xf>
    <xf numFmtId="0" fontId="46" fillId="0" borderId="40" xfId="106" applyFont="1" applyBorder="1" applyAlignment="1" applyProtection="1">
      <alignment horizontal="left" vertical="center"/>
      <protection hidden="1"/>
    </xf>
    <xf numFmtId="0" fontId="46" fillId="0" borderId="93" xfId="106" applyFont="1" applyBorder="1" applyAlignment="1" applyProtection="1">
      <alignment horizontal="left" vertical="center"/>
      <protection hidden="1"/>
    </xf>
    <xf numFmtId="0" fontId="46" fillId="0" borderId="39" xfId="106" applyFont="1" applyBorder="1" applyAlignment="1" applyProtection="1">
      <alignment horizontal="left" vertical="center"/>
      <protection hidden="1"/>
    </xf>
    <xf numFmtId="0" fontId="47" fillId="0" borderId="90" xfId="106" applyFont="1" applyBorder="1" applyAlignment="1" applyProtection="1">
      <alignment horizontal="left" vertical="center"/>
      <protection hidden="1"/>
    </xf>
    <xf numFmtId="0" fontId="47" fillId="0" borderId="71" xfId="106" applyFont="1" applyBorder="1" applyAlignment="1" applyProtection="1">
      <alignment horizontal="left" vertical="center"/>
      <protection hidden="1"/>
    </xf>
    <xf numFmtId="0" fontId="47" fillId="0" borderId="91" xfId="106" applyFont="1" applyBorder="1" applyAlignment="1" applyProtection="1">
      <alignment horizontal="left" vertical="center"/>
      <protection hidden="1"/>
    </xf>
    <xf numFmtId="0" fontId="47" fillId="0" borderId="120" xfId="106" applyFont="1" applyBorder="1" applyAlignment="1" applyProtection="1">
      <alignment horizontal="left" vertical="center"/>
      <protection hidden="1"/>
    </xf>
    <xf numFmtId="0" fontId="42" fillId="0" borderId="54" xfId="106" applyFont="1" applyBorder="1" applyAlignment="1" applyProtection="1">
      <alignment horizontal="center" vertical="center"/>
      <protection hidden="1"/>
    </xf>
    <xf numFmtId="0" fontId="42" fillId="0" borderId="88" xfId="106" applyFont="1" applyBorder="1" applyAlignment="1" applyProtection="1">
      <alignment horizontal="center" vertical="center"/>
      <protection hidden="1"/>
    </xf>
    <xf numFmtId="0" fontId="42" fillId="0" borderId="98" xfId="106" applyFont="1" applyBorder="1" applyAlignment="1" applyProtection="1">
      <alignment horizontal="center" vertical="center"/>
      <protection hidden="1"/>
    </xf>
    <xf numFmtId="0" fontId="50" fillId="0" borderId="91" xfId="106" applyFont="1" applyBorder="1" applyAlignment="1" applyProtection="1">
      <alignment horizontal="left" vertical="center"/>
      <protection hidden="1"/>
    </xf>
    <xf numFmtId="0" fontId="50" fillId="0" borderId="120" xfId="106" applyFont="1" applyBorder="1" applyAlignment="1" applyProtection="1">
      <alignment horizontal="left" vertical="center"/>
      <protection hidden="1"/>
    </xf>
    <xf numFmtId="0" fontId="50" fillId="0" borderId="57" xfId="106" applyFont="1" applyBorder="1" applyAlignment="1" applyProtection="1">
      <alignment horizontal="left" vertical="center"/>
      <protection hidden="1"/>
    </xf>
    <xf numFmtId="0" fontId="54" fillId="17" borderId="93" xfId="106" applyFont="1" applyFill="1" applyBorder="1" applyAlignment="1" applyProtection="1">
      <alignment horizontal="center" vertical="center" wrapText="1"/>
      <protection hidden="1"/>
    </xf>
    <xf numFmtId="0" fontId="54" fillId="17" borderId="25" xfId="106" applyFont="1" applyFill="1" applyBorder="1" applyAlignment="1" applyProtection="1">
      <alignment horizontal="center" vertical="center" wrapText="1"/>
      <protection hidden="1"/>
    </xf>
    <xf numFmtId="0" fontId="54" fillId="17" borderId="40" xfId="106" applyFont="1" applyFill="1" applyBorder="1" applyAlignment="1" applyProtection="1">
      <alignment horizontal="center" vertical="center" wrapText="1"/>
      <protection hidden="1"/>
    </xf>
    <xf numFmtId="0" fontId="46" fillId="0" borderId="126" xfId="106" applyFont="1" applyBorder="1" applyAlignment="1" applyProtection="1">
      <alignment horizontal="left" vertical="center"/>
      <protection hidden="1"/>
    </xf>
    <xf numFmtId="0" fontId="46" fillId="0" borderId="81" xfId="106" applyFont="1" applyBorder="1" applyAlignment="1" applyProtection="1">
      <alignment horizontal="left" vertical="center"/>
      <protection hidden="1"/>
    </xf>
    <xf numFmtId="0" fontId="46" fillId="0" borderId="65" xfId="106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46" fillId="0" borderId="71" xfId="106" applyFont="1" applyBorder="1" applyAlignment="1" applyProtection="1">
      <alignment horizontal="left" vertical="center"/>
      <protection hidden="1"/>
    </xf>
    <xf numFmtId="0" fontId="46" fillId="0" borderId="70" xfId="106" applyFont="1" applyBorder="1" applyAlignment="1" applyProtection="1">
      <alignment horizontal="left" vertical="center"/>
      <protection hidden="1"/>
    </xf>
    <xf numFmtId="0" fontId="42" fillId="0" borderId="126" xfId="106" applyFont="1" applyBorder="1" applyAlignment="1" applyProtection="1">
      <alignment horizontal="left" vertical="center"/>
      <protection hidden="1"/>
    </xf>
    <xf numFmtId="0" fontId="42" fillId="0" borderId="81" xfId="106" applyFont="1" applyBorder="1" applyAlignment="1" applyProtection="1">
      <alignment horizontal="left" vertical="center"/>
      <protection hidden="1"/>
    </xf>
    <xf numFmtId="0" fontId="42" fillId="0" borderId="65" xfId="106" applyFont="1" applyBorder="1" applyAlignment="1" applyProtection="1">
      <alignment horizontal="left" vertical="center"/>
      <protection hidden="1"/>
    </xf>
    <xf numFmtId="0" fontId="46" fillId="0" borderId="129" xfId="106" applyFont="1" applyBorder="1" applyAlignment="1" applyProtection="1">
      <alignment horizontal="left" vertical="center"/>
      <protection hidden="1"/>
    </xf>
    <xf numFmtId="0" fontId="46" fillId="0" borderId="132" xfId="106" applyFont="1" applyBorder="1" applyAlignment="1" applyProtection="1">
      <alignment horizontal="left" vertical="center"/>
      <protection hidden="1"/>
    </xf>
    <xf numFmtId="0" fontId="46" fillId="0" borderId="122" xfId="106" applyFont="1" applyBorder="1" applyAlignment="1" applyProtection="1">
      <alignment horizontal="left" vertical="center"/>
      <protection hidden="1"/>
    </xf>
    <xf numFmtId="0" fontId="48" fillId="62" borderId="93" xfId="106" applyFont="1" applyFill="1" applyBorder="1" applyAlignment="1" applyProtection="1">
      <alignment horizontal="left" vertical="center"/>
      <protection hidden="1"/>
    </xf>
    <xf numFmtId="0" fontId="48" fillId="62" borderId="25" xfId="106" applyFont="1" applyFill="1" applyBorder="1" applyAlignment="1" applyProtection="1">
      <alignment horizontal="left" vertical="center"/>
      <protection hidden="1"/>
    </xf>
    <xf numFmtId="0" fontId="48" fillId="62" borderId="40" xfId="106" applyFont="1" applyFill="1" applyBorder="1" applyAlignment="1" applyProtection="1">
      <alignment horizontal="left" vertical="center"/>
      <protection hidden="1"/>
    </xf>
    <xf numFmtId="0" fontId="48" fillId="62" borderId="39" xfId="106" applyFont="1" applyFill="1" applyBorder="1" applyAlignment="1" applyProtection="1">
      <alignment horizontal="left" vertical="center"/>
      <protection hidden="1"/>
    </xf>
    <xf numFmtId="0" fontId="47" fillId="0" borderId="57" xfId="106" applyFont="1" applyBorder="1" applyAlignment="1" applyProtection="1">
      <alignment horizontal="left" vertical="center"/>
      <protection hidden="1"/>
    </xf>
    <xf numFmtId="0" fontId="42" fillId="0" borderId="114" xfId="95" applyFont="1" applyFill="1" applyBorder="1" applyAlignment="1" applyProtection="1">
      <alignment horizontal="center" vertical="center"/>
      <protection hidden="1"/>
    </xf>
    <xf numFmtId="0" fontId="42" fillId="0" borderId="121" xfId="95" applyFont="1" applyFill="1" applyBorder="1" applyAlignment="1" applyProtection="1">
      <alignment horizontal="center" vertical="center"/>
      <protection hidden="1"/>
    </xf>
    <xf numFmtId="0" fontId="46" fillId="45" borderId="114" xfId="95" applyFont="1" applyFill="1" applyBorder="1" applyAlignment="1" applyProtection="1">
      <alignment horizontal="center" vertical="center"/>
      <protection/>
    </xf>
    <xf numFmtId="0" fontId="46" fillId="45" borderId="95" xfId="95" applyFont="1" applyFill="1" applyBorder="1" applyAlignment="1" applyProtection="1">
      <alignment horizontal="center" vertical="center"/>
      <protection/>
    </xf>
    <xf numFmtId="0" fontId="46" fillId="45" borderId="121" xfId="95" applyFont="1" applyFill="1" applyBorder="1" applyAlignment="1" applyProtection="1">
      <alignment horizontal="center" vertical="center"/>
      <protection/>
    </xf>
    <xf numFmtId="0" fontId="46" fillId="45" borderId="54" xfId="95" applyFont="1" applyFill="1" applyBorder="1" applyAlignment="1" applyProtection="1">
      <alignment horizontal="center" vertical="top"/>
      <protection/>
    </xf>
    <xf numFmtId="0" fontId="46" fillId="45" borderId="88" xfId="95" applyFont="1" applyFill="1" applyBorder="1" applyAlignment="1" applyProtection="1">
      <alignment horizontal="center" vertical="top"/>
      <protection/>
    </xf>
    <xf numFmtId="0" fontId="46" fillId="45" borderId="98" xfId="95" applyFont="1" applyFill="1" applyBorder="1" applyAlignment="1" applyProtection="1">
      <alignment horizontal="center" vertical="top"/>
      <protection/>
    </xf>
    <xf numFmtId="0" fontId="46" fillId="45" borderId="79" xfId="95" applyFont="1" applyFill="1" applyBorder="1" applyAlignment="1" applyProtection="1">
      <alignment horizontal="center" vertical="top"/>
      <protection/>
    </xf>
    <xf numFmtId="0" fontId="46" fillId="0" borderId="54" xfId="106" applyFont="1" applyBorder="1" applyAlignment="1" applyProtection="1">
      <alignment horizontal="center" vertical="top"/>
      <protection hidden="1"/>
    </xf>
    <xf numFmtId="0" fontId="46" fillId="0" borderId="88" xfId="106" applyFont="1" applyBorder="1" applyAlignment="1" applyProtection="1">
      <alignment horizontal="center" vertical="top"/>
      <protection hidden="1"/>
    </xf>
    <xf numFmtId="0" fontId="46" fillId="0" borderId="79" xfId="106" applyFont="1" applyBorder="1" applyAlignment="1" applyProtection="1">
      <alignment horizontal="center" vertical="top"/>
      <protection hidden="1"/>
    </xf>
    <xf numFmtId="0" fontId="52" fillId="0" borderId="54" xfId="106" applyFont="1" applyBorder="1" applyAlignment="1" applyProtection="1">
      <alignment horizontal="center" vertical="top"/>
      <protection hidden="1"/>
    </xf>
    <xf numFmtId="0" fontId="52" fillId="0" borderId="88" xfId="106" applyFont="1" applyBorder="1" applyAlignment="1" applyProtection="1">
      <alignment horizontal="center" vertical="top"/>
      <protection hidden="1"/>
    </xf>
    <xf numFmtId="0" fontId="52" fillId="0" borderId="79" xfId="106" applyFont="1" applyBorder="1" applyAlignment="1" applyProtection="1">
      <alignment horizontal="center" vertical="top"/>
      <protection hidden="1"/>
    </xf>
    <xf numFmtId="0" fontId="46" fillId="0" borderId="98" xfId="106" applyFont="1" applyBorder="1" applyAlignment="1" applyProtection="1">
      <alignment horizontal="center" vertical="top"/>
      <protection hidden="1"/>
    </xf>
    <xf numFmtId="0" fontId="46" fillId="54" borderId="46" xfId="106" applyFont="1" applyFill="1" applyBorder="1" applyAlignment="1" applyProtection="1">
      <alignment horizontal="left" vertical="center"/>
      <protection hidden="1"/>
    </xf>
    <xf numFmtId="0" fontId="48" fillId="62" borderId="39" xfId="95" applyFont="1" applyFill="1" applyBorder="1" applyAlignment="1" applyProtection="1">
      <alignment horizontal="left" vertical="center"/>
      <protection/>
    </xf>
    <xf numFmtId="0" fontId="48" fillId="62" borderId="25" xfId="95" applyFont="1" applyFill="1" applyBorder="1" applyAlignment="1" applyProtection="1">
      <alignment horizontal="left" vertical="center"/>
      <protection/>
    </xf>
    <xf numFmtId="0" fontId="42" fillId="0" borderId="123" xfId="106" applyFont="1" applyBorder="1" applyAlignment="1" applyProtection="1">
      <alignment horizontal="left" vertical="center"/>
      <protection hidden="1"/>
    </xf>
    <xf numFmtId="0" fontId="42" fillId="0" borderId="131" xfId="106" applyFont="1" applyBorder="1" applyAlignment="1" applyProtection="1">
      <alignment horizontal="left" vertical="center"/>
      <protection hidden="1"/>
    </xf>
    <xf numFmtId="0" fontId="46" fillId="54" borderId="138" xfId="106" applyFont="1" applyFill="1" applyBorder="1" applyAlignment="1" applyProtection="1">
      <alignment horizontal="left" vertical="center"/>
      <protection hidden="1"/>
    </xf>
    <xf numFmtId="0" fontId="46" fillId="54" borderId="119" xfId="106" applyFont="1" applyFill="1" applyBorder="1" applyAlignment="1" applyProtection="1">
      <alignment horizontal="left" vertical="center"/>
      <protection hidden="1"/>
    </xf>
    <xf numFmtId="0" fontId="46" fillId="54" borderId="124" xfId="106" applyFont="1" applyFill="1" applyBorder="1" applyAlignment="1" applyProtection="1">
      <alignment horizontal="left" vertical="center"/>
      <protection hidden="1"/>
    </xf>
    <xf numFmtId="0" fontId="36" fillId="28" borderId="39" xfId="106" applyFont="1" applyFill="1" applyBorder="1" applyAlignment="1" applyProtection="1">
      <alignment horizontal="center" vertical="center"/>
      <protection hidden="1"/>
    </xf>
    <xf numFmtId="0" fontId="36" fillId="28" borderId="25" xfId="106" applyFont="1" applyFill="1" applyBorder="1" applyAlignment="1" applyProtection="1">
      <alignment horizontal="center" vertical="center"/>
      <protection hidden="1"/>
    </xf>
    <xf numFmtId="0" fontId="36" fillId="28" borderId="40" xfId="106" applyFont="1" applyFill="1" applyBorder="1" applyAlignment="1" applyProtection="1">
      <alignment horizontal="center" vertical="center"/>
      <protection hidden="1"/>
    </xf>
    <xf numFmtId="0" fontId="46" fillId="0" borderId="114" xfId="95" applyFont="1" applyFill="1" applyBorder="1" applyAlignment="1" applyProtection="1">
      <alignment horizontal="center" vertical="center"/>
      <protection hidden="1"/>
    </xf>
    <xf numFmtId="0" fontId="46" fillId="0" borderId="95" xfId="95" applyFont="1" applyFill="1" applyBorder="1" applyAlignment="1" applyProtection="1">
      <alignment horizontal="center" vertical="center"/>
      <protection hidden="1"/>
    </xf>
    <xf numFmtId="0" fontId="46" fillId="0" borderId="115" xfId="106" applyFont="1" applyBorder="1" applyAlignment="1" applyProtection="1">
      <alignment horizontal="center" vertical="top"/>
      <protection hidden="1"/>
    </xf>
    <xf numFmtId="0" fontId="46" fillId="0" borderId="121" xfId="95" applyFont="1" applyFill="1" applyBorder="1" applyAlignment="1" applyProtection="1">
      <alignment horizontal="center" vertical="center"/>
      <protection hidden="1"/>
    </xf>
    <xf numFmtId="49" fontId="13" fillId="9" borderId="52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49" fontId="13" fillId="9" borderId="87" xfId="0" applyNumberFormat="1" applyFont="1" applyFill="1" applyBorder="1" applyAlignment="1">
      <alignment horizontal="center" vertical="center"/>
    </xf>
    <xf numFmtId="0" fontId="46" fillId="0" borderId="123" xfId="106" applyFont="1" applyBorder="1" applyAlignment="1" applyProtection="1">
      <alignment horizontal="left" vertical="center"/>
      <protection hidden="1"/>
    </xf>
    <xf numFmtId="0" fontId="46" fillId="0" borderId="30" xfId="106" applyFont="1" applyBorder="1" applyAlignment="1" applyProtection="1">
      <alignment horizontal="left" vertical="center"/>
      <protection hidden="1"/>
    </xf>
    <xf numFmtId="0" fontId="46" fillId="0" borderId="131" xfId="106" applyFont="1" applyBorder="1" applyAlignment="1" applyProtection="1">
      <alignment horizontal="left" vertical="center"/>
      <protection hidden="1"/>
    </xf>
    <xf numFmtId="0" fontId="36" fillId="54" borderId="93" xfId="106" applyFont="1" applyFill="1" applyBorder="1" applyAlignment="1" applyProtection="1">
      <alignment horizontal="left" vertical="center"/>
      <protection hidden="1"/>
    </xf>
    <xf numFmtId="0" fontId="36" fillId="54" borderId="25" xfId="106" applyFont="1" applyFill="1" applyBorder="1" applyAlignment="1" applyProtection="1">
      <alignment horizontal="left" vertical="center"/>
      <protection hidden="1"/>
    </xf>
    <xf numFmtId="0" fontId="36" fillId="54" borderId="46" xfId="106" applyFont="1" applyFill="1" applyBorder="1" applyAlignment="1" applyProtection="1">
      <alignment horizontal="left" vertical="center"/>
      <protection hidden="1"/>
    </xf>
    <xf numFmtId="0" fontId="48" fillId="62" borderId="39" xfId="95" applyFont="1" applyFill="1" applyBorder="1" applyAlignment="1" applyProtection="1">
      <alignment horizontal="left" vertical="center"/>
      <protection hidden="1"/>
    </xf>
    <xf numFmtId="0" fontId="48" fillId="62" borderId="25" xfId="95" applyFont="1" applyFill="1" applyBorder="1" applyAlignment="1" applyProtection="1">
      <alignment horizontal="left" vertical="center"/>
      <protection hidden="1"/>
    </xf>
    <xf numFmtId="0" fontId="36" fillId="53" borderId="93" xfId="106" applyFont="1" applyFill="1" applyBorder="1" applyAlignment="1" applyProtection="1">
      <alignment horizontal="left" vertical="center"/>
      <protection hidden="1"/>
    </xf>
    <xf numFmtId="0" fontId="46" fillId="45" borderId="93" xfId="95" applyFont="1" applyFill="1" applyBorder="1" applyAlignment="1" applyProtection="1">
      <alignment horizontal="center" vertical="center"/>
      <protection/>
    </xf>
    <xf numFmtId="0" fontId="46" fillId="45" borderId="25" xfId="95" applyFont="1" applyFill="1" applyBorder="1" applyAlignment="1" applyProtection="1">
      <alignment horizontal="center" vertical="center"/>
      <protection/>
    </xf>
    <xf numFmtId="0" fontId="46" fillId="45" borderId="46" xfId="95" applyFont="1" applyFill="1" applyBorder="1" applyAlignment="1" applyProtection="1">
      <alignment horizontal="center" vertical="center"/>
      <protection/>
    </xf>
    <xf numFmtId="0" fontId="54" fillId="17" borderId="93" xfId="95" applyFont="1" applyFill="1" applyBorder="1" applyAlignment="1" applyProtection="1">
      <alignment horizontal="center" vertical="center"/>
      <protection/>
    </xf>
    <xf numFmtId="0" fontId="54" fillId="17" borderId="25" xfId="95" applyFont="1" applyFill="1" applyBorder="1" applyAlignment="1" applyProtection="1">
      <alignment horizontal="center" vertical="center"/>
      <protection/>
    </xf>
    <xf numFmtId="0" fontId="54" fillId="17" borderId="46" xfId="95" applyFont="1" applyFill="1" applyBorder="1" applyAlignment="1" applyProtection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67" borderId="44" xfId="0" applyFont="1" applyFill="1" applyBorder="1" applyAlignment="1">
      <alignment horizontal="center" vertical="center"/>
    </xf>
    <xf numFmtId="0" fontId="13" fillId="67" borderId="81" xfId="0" applyFont="1" applyFill="1" applyBorder="1" applyAlignment="1">
      <alignment horizontal="center" vertical="center"/>
    </xf>
    <xf numFmtId="0" fontId="13" fillId="67" borderId="65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 wrapText="1"/>
    </xf>
    <xf numFmtId="0" fontId="13" fillId="53" borderId="81" xfId="0" applyFont="1" applyFill="1" applyBorder="1" applyAlignment="1">
      <alignment horizontal="center" vertical="center"/>
    </xf>
    <xf numFmtId="0" fontId="13" fillId="53" borderId="65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81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13" fillId="53" borderId="39" xfId="0" applyFont="1" applyFill="1" applyBorder="1" applyAlignment="1" applyProtection="1">
      <alignment horizontal="center" vertical="center" wrapText="1"/>
      <protection locked="0"/>
    </xf>
    <xf numFmtId="0" fontId="13" fillId="53" borderId="25" xfId="0" applyFont="1" applyFill="1" applyBorder="1" applyAlignment="1" applyProtection="1">
      <alignment horizontal="center" vertical="center" wrapText="1"/>
      <protection locked="0"/>
    </xf>
    <xf numFmtId="0" fontId="13" fillId="53" borderId="4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3" fillId="45" borderId="0" xfId="0" applyFont="1" applyFill="1" applyBorder="1" applyAlignment="1" applyProtection="1">
      <alignment horizontal="center" vertical="center" wrapText="1"/>
      <protection locked="0"/>
    </xf>
    <xf numFmtId="0" fontId="46" fillId="56" borderId="39" xfId="0" applyFont="1" applyFill="1" applyBorder="1" applyAlignment="1" applyProtection="1">
      <alignment horizontal="center" vertical="center"/>
      <protection locked="0"/>
    </xf>
    <xf numFmtId="0" fontId="46" fillId="56" borderId="25" xfId="0" applyFont="1" applyFill="1" applyBorder="1" applyAlignment="1" applyProtection="1">
      <alignment horizontal="center" vertical="center"/>
      <protection locked="0"/>
    </xf>
    <xf numFmtId="0" fontId="46" fillId="56" borderId="40" xfId="0" applyFont="1" applyFill="1" applyBorder="1" applyAlignment="1" applyProtection="1">
      <alignment horizontal="center" vertical="center"/>
      <protection locked="0"/>
    </xf>
    <xf numFmtId="0" fontId="21" fillId="45" borderId="39" xfId="0" applyFont="1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22" fillId="45" borderId="0" xfId="0" applyFont="1" applyFill="1" applyBorder="1" applyAlignment="1" applyProtection="1">
      <alignment horizontal="center" wrapText="1"/>
      <protection locked="0"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19" fillId="50" borderId="25" xfId="0" applyFont="1" applyFill="1" applyBorder="1" applyAlignment="1" applyProtection="1">
      <alignment horizontal="center" vertical="center"/>
      <protection locked="0"/>
    </xf>
    <xf numFmtId="0" fontId="46" fillId="61" borderId="46" xfId="95" applyFont="1" applyFill="1" applyBorder="1" applyAlignment="1">
      <alignment horizontal="left" vertical="center" wrapText="1"/>
      <protection/>
    </xf>
    <xf numFmtId="0" fontId="46" fillId="61" borderId="93" xfId="95" applyFont="1" applyFill="1" applyBorder="1" applyAlignment="1">
      <alignment horizontal="left" vertical="center" wrapText="1"/>
      <protection/>
    </xf>
    <xf numFmtId="0" fontId="46" fillId="61" borderId="39" xfId="95" applyFont="1" applyFill="1" applyBorder="1" applyAlignment="1">
      <alignment horizontal="left" vertical="center" wrapText="1"/>
      <protection/>
    </xf>
    <xf numFmtId="0" fontId="46" fillId="61" borderId="40" xfId="95" applyFont="1" applyFill="1" applyBorder="1" applyAlignment="1">
      <alignment horizontal="left" vertical="center" wrapText="1"/>
      <protection/>
    </xf>
    <xf numFmtId="0" fontId="46" fillId="0" borderId="5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3" fillId="16" borderId="39" xfId="0" applyFont="1" applyFill="1" applyBorder="1" applyAlignment="1">
      <alignment horizontal="left" vertical="center"/>
    </xf>
    <xf numFmtId="0" fontId="13" fillId="16" borderId="40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4" fillId="58" borderId="40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4" fillId="58" borderId="40" xfId="0" applyFont="1" applyFill="1" applyBorder="1" applyAlignment="1">
      <alignment horizontal="left" vertical="center"/>
    </xf>
    <xf numFmtId="0" fontId="13" fillId="59" borderId="49" xfId="0" applyFont="1" applyFill="1" applyBorder="1" applyAlignment="1">
      <alignment horizontal="left" vertical="center"/>
    </xf>
    <xf numFmtId="0" fontId="13" fillId="59" borderId="68" xfId="0" applyFont="1" applyFill="1" applyBorder="1" applyAlignment="1">
      <alignment horizontal="left" vertical="center"/>
    </xf>
    <xf numFmtId="0" fontId="34" fillId="0" borderId="39" xfId="108" applyFont="1" applyBorder="1" applyAlignment="1">
      <alignment horizontal="center" vertical="center" wrapText="1"/>
      <protection/>
    </xf>
    <xf numFmtId="0" fontId="34" fillId="0" borderId="25" xfId="108" applyFont="1" applyBorder="1" applyAlignment="1">
      <alignment horizontal="center" vertical="center" wrapText="1"/>
      <protection/>
    </xf>
    <xf numFmtId="0" fontId="34" fillId="0" borderId="40" xfId="108" applyFont="1" applyBorder="1" applyAlignment="1">
      <alignment horizontal="center" vertical="center" wrapText="1"/>
      <protection/>
    </xf>
    <xf numFmtId="0" fontId="41" fillId="0" borderId="39" xfId="108" applyFont="1" applyBorder="1" applyAlignment="1">
      <alignment horizontal="center" vertical="center" wrapText="1"/>
      <protection/>
    </xf>
    <xf numFmtId="0" fontId="41" fillId="0" borderId="25" xfId="108" applyFont="1" applyBorder="1" applyAlignment="1">
      <alignment horizontal="center" vertical="center" wrapText="1"/>
      <protection/>
    </xf>
    <xf numFmtId="0" fontId="41" fillId="0" borderId="40" xfId="108" applyFont="1" applyBorder="1" applyAlignment="1">
      <alignment horizontal="center" vertical="center" wrapText="1"/>
      <protection/>
    </xf>
    <xf numFmtId="0" fontId="9" fillId="0" borderId="0" xfId="105" applyFont="1" applyFill="1" applyBorder="1" applyAlignment="1">
      <alignment horizontal="center"/>
      <protection/>
    </xf>
    <xf numFmtId="0" fontId="22" fillId="0" borderId="0" xfId="105" applyFont="1" applyFill="1" applyBorder="1" applyAlignment="1">
      <alignment horizontal="center"/>
      <protection/>
    </xf>
    <xf numFmtId="0" fontId="10" fillId="0" borderId="39" xfId="105" applyFont="1" applyFill="1" applyBorder="1" applyAlignment="1">
      <alignment horizontal="center" vertical="center" wrapText="1"/>
      <protection/>
    </xf>
    <xf numFmtId="0" fontId="10" fillId="0" borderId="25" xfId="105" applyFont="1" applyFill="1" applyBorder="1" applyAlignment="1">
      <alignment horizontal="center" vertical="center" wrapText="1"/>
      <protection/>
    </xf>
    <xf numFmtId="0" fontId="10" fillId="0" borderId="40" xfId="105" applyFont="1" applyFill="1" applyBorder="1" applyAlignment="1">
      <alignment horizontal="center" vertical="center" wrapText="1"/>
      <protection/>
    </xf>
    <xf numFmtId="0" fontId="22" fillId="0" borderId="0" xfId="105" applyFont="1" applyFill="1" applyBorder="1" applyAlignment="1">
      <alignment horizontal="center" vertical="center"/>
      <protection/>
    </xf>
    <xf numFmtId="0" fontId="17" fillId="0" borderId="34" xfId="105" applyFont="1" applyFill="1" applyBorder="1" applyAlignment="1">
      <alignment horizontal="center" vertical="center" wrapText="1"/>
      <protection/>
    </xf>
    <xf numFmtId="0" fontId="17" fillId="0" borderId="23" xfId="105" applyFont="1" applyFill="1" applyBorder="1" applyAlignment="1">
      <alignment horizontal="center" vertical="center" wrapText="1"/>
      <protection/>
    </xf>
    <xf numFmtId="0" fontId="14" fillId="58" borderId="34" xfId="105" applyFont="1" applyFill="1" applyBorder="1" applyAlignment="1">
      <alignment horizontal="center" vertical="center" wrapText="1"/>
      <protection/>
    </xf>
    <xf numFmtId="0" fontId="14" fillId="58" borderId="23" xfId="105" applyFont="1" applyFill="1" applyBorder="1" applyAlignment="1">
      <alignment horizontal="center" vertical="center" wrapText="1"/>
      <protection/>
    </xf>
    <xf numFmtId="0" fontId="9" fillId="0" borderId="0" xfId="105" applyFont="1" applyFill="1" applyBorder="1" applyAlignment="1">
      <alignment horizontal="center" vertical="center"/>
      <protection/>
    </xf>
    <xf numFmtId="0" fontId="10" fillId="0" borderId="34" xfId="105" applyFont="1" applyFill="1" applyBorder="1" applyAlignment="1">
      <alignment horizontal="center" vertical="center" wrapText="1"/>
      <protection/>
    </xf>
    <xf numFmtId="0" fontId="10" fillId="0" borderId="51" xfId="105" applyFont="1" applyFill="1" applyBorder="1" applyAlignment="1">
      <alignment horizontal="center" vertical="center" wrapText="1"/>
      <protection/>
    </xf>
    <xf numFmtId="0" fontId="10" fillId="0" borderId="23" xfId="105" applyFont="1" applyFill="1" applyBorder="1" applyAlignment="1">
      <alignment horizontal="center" vertical="center" wrapText="1"/>
      <protection/>
    </xf>
    <xf numFmtId="0" fontId="23" fillId="0" borderId="34" xfId="105" applyFont="1" applyFill="1" applyBorder="1" applyAlignment="1">
      <alignment horizontal="center" vertical="center" wrapText="1"/>
      <protection/>
    </xf>
    <xf numFmtId="0" fontId="23" fillId="0" borderId="51" xfId="105" applyFont="1" applyFill="1" applyBorder="1" applyAlignment="1">
      <alignment horizontal="center" vertical="center" wrapText="1"/>
      <protection/>
    </xf>
    <xf numFmtId="0" fontId="23" fillId="0" borderId="23" xfId="105" applyFont="1" applyFill="1" applyBorder="1" applyAlignment="1">
      <alignment horizontal="center" vertical="center" wrapText="1"/>
      <protection/>
    </xf>
    <xf numFmtId="0" fontId="17" fillId="0" borderId="42" xfId="105" applyFont="1" applyFill="1" applyBorder="1" applyAlignment="1">
      <alignment horizontal="center" vertical="center" wrapText="1"/>
      <protection/>
    </xf>
    <xf numFmtId="0" fontId="14" fillId="0" borderId="119" xfId="105" applyFont="1" applyFill="1" applyBorder="1" applyAlignment="1">
      <alignment horizontal="center" vertical="center" wrapText="1"/>
      <protection/>
    </xf>
    <xf numFmtId="0" fontId="17" fillId="0" borderId="113" xfId="105" applyFont="1" applyFill="1" applyBorder="1" applyAlignment="1">
      <alignment horizontal="center" vertical="center" wrapText="1"/>
      <protection/>
    </xf>
    <xf numFmtId="0" fontId="14" fillId="0" borderId="139" xfId="105" applyFont="1" applyFill="1" applyBorder="1" applyAlignment="1">
      <alignment horizontal="center" vertical="center" wrapText="1"/>
      <protection/>
    </xf>
    <xf numFmtId="0" fontId="17" fillId="0" borderId="114" xfId="105" applyFont="1" applyFill="1" applyBorder="1" applyAlignment="1">
      <alignment horizontal="center" vertical="center" wrapText="1"/>
      <protection/>
    </xf>
    <xf numFmtId="0" fontId="17" fillId="0" borderId="121" xfId="105" applyFont="1" applyFill="1" applyBorder="1" applyAlignment="1">
      <alignment horizontal="center" vertical="center" wrapText="1"/>
      <protection/>
    </xf>
    <xf numFmtId="0" fontId="17" fillId="0" borderId="133" xfId="105" applyFont="1" applyFill="1" applyBorder="1" applyAlignment="1">
      <alignment horizontal="center" vertical="center" wrapText="1"/>
      <protection/>
    </xf>
    <xf numFmtId="0" fontId="17" fillId="0" borderId="124" xfId="105" applyFont="1" applyFill="1" applyBorder="1" applyAlignment="1">
      <alignment horizontal="center" vertical="center" wrapText="1"/>
      <protection/>
    </xf>
  </cellXfs>
  <cellStyles count="109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yperlink" xfId="71"/>
    <cellStyle name="Hivatkozott cella" xfId="72"/>
    <cellStyle name="Hivatkozott cella 2" xfId="73"/>
    <cellStyle name="Jegyzet" xfId="74"/>
    <cellStyle name="Jegyzet 2" xfId="75"/>
    <cellStyle name="Jelölőszín (1) 2" xfId="76"/>
    <cellStyle name="Jelölőszín (2) 2" xfId="77"/>
    <cellStyle name="Jelölőszín (3) 2" xfId="78"/>
    <cellStyle name="Jelölőszín (4) 2" xfId="79"/>
    <cellStyle name="Jelölőszín (5) 2" xfId="80"/>
    <cellStyle name="Jelölőszín (6) 2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Jó 2" xfId="89"/>
    <cellStyle name="Kimenet" xfId="90"/>
    <cellStyle name="Kimenet 2" xfId="91"/>
    <cellStyle name="Followed Hyperlink" xfId="92"/>
    <cellStyle name="Magyarázó szöveg" xfId="93"/>
    <cellStyle name="Magyarázó szöveg 2" xfId="94"/>
    <cellStyle name="Normál 2" xfId="95"/>
    <cellStyle name="Normál 2 2" xfId="96"/>
    <cellStyle name="Normál 3" xfId="97"/>
    <cellStyle name="Normál 3 2" xfId="98"/>
    <cellStyle name="Normál_GÖRDÜLŐ" xfId="99"/>
    <cellStyle name="Normál_gördülő2" xfId="100"/>
    <cellStyle name="Normál_kiad2003eredeti" xfId="101"/>
    <cellStyle name="Normál_kiad2004eredeti HIVATALI AJÁNLOTT" xfId="102"/>
    <cellStyle name="Normál_kiad2006eredeti(4)" xfId="103"/>
    <cellStyle name="Normál_kiad2011_módos2" xfId="104"/>
    <cellStyle name="Normál_kiadásössz" xfId="105"/>
    <cellStyle name="Normál_KVFORMÁTUM" xfId="106"/>
    <cellStyle name="Normál_Önkbevét+Intézm." xfId="107"/>
    <cellStyle name="Normál_ÖSSZESSÍTETT pályázatok" xfId="108"/>
    <cellStyle name="Normál_ÖSSZESSÍTETT pályázatok 2" xfId="109"/>
    <cellStyle name="Normál_Városüzemeltetés Kht." xfId="110"/>
    <cellStyle name="Normál_x4. sz. melléklet-VÜZ" xfId="111"/>
    <cellStyle name="Összesen" xfId="112"/>
    <cellStyle name="Összesen 2" xfId="113"/>
    <cellStyle name="Currency" xfId="114"/>
    <cellStyle name="Currency [0]" xfId="115"/>
    <cellStyle name="Rossz" xfId="116"/>
    <cellStyle name="Rossz 2" xfId="117"/>
    <cellStyle name="Semleges" xfId="118"/>
    <cellStyle name="Semleges 2" xfId="119"/>
    <cellStyle name="Számítás" xfId="120"/>
    <cellStyle name="Számítás 2" xfId="121"/>
    <cellStyle name="Percen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A7A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TGVET&#201;S\2018\eredeti\kiad2018_tervez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TGVET&#201;S\2018\m&#243;dos1\kiad2018_m&#243;do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abinet\irodai_kozos\TEST&#220;LETI%20EL&#336;TERJESZT&#201;SEK\2018\09%20szeptember\szeptember%2013\kiad2018_m&#243;do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unka1"/>
    </sheetNames>
    <sheetDataSet>
      <sheetData sheetId="24">
        <row r="33">
          <cell r="L3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aradvány_kerület_összesen"/>
      <sheetName val="maradvány_igi"/>
      <sheetName val="2017. évi pm. önkormányzat"/>
      <sheetName val="Munka1"/>
    </sheetNames>
    <sheetDataSet>
      <sheetData sheetId="15">
        <row r="15">
          <cell r="T15">
            <v>85000</v>
          </cell>
        </row>
        <row r="16">
          <cell r="T16">
            <v>60722</v>
          </cell>
        </row>
        <row r="17">
          <cell r="T17">
            <v>48144</v>
          </cell>
        </row>
      </sheetData>
      <sheetData sheetId="19">
        <row r="113">
          <cell r="D113">
            <v>203127</v>
          </cell>
          <cell r="E113">
            <v>153924</v>
          </cell>
        </row>
      </sheetData>
      <sheetData sheetId="22">
        <row r="15">
          <cell r="T15">
            <v>6000</v>
          </cell>
        </row>
        <row r="16">
          <cell r="T16">
            <v>140000</v>
          </cell>
        </row>
        <row r="17">
          <cell r="T17">
            <v>13000</v>
          </cell>
        </row>
        <row r="18">
          <cell r="T18">
            <v>6480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unka1"/>
    </sheetNames>
    <sheetDataSet>
      <sheetData sheetId="2">
        <row r="21">
          <cell r="T21">
            <v>2000</v>
          </cell>
        </row>
        <row r="31">
          <cell r="T31">
            <v>5901</v>
          </cell>
        </row>
        <row r="32">
          <cell r="T32">
            <v>200</v>
          </cell>
        </row>
        <row r="33">
          <cell r="T33">
            <v>100</v>
          </cell>
        </row>
        <row r="34">
          <cell r="T34">
            <v>5000</v>
          </cell>
        </row>
        <row r="35">
          <cell r="T35">
            <v>900</v>
          </cell>
        </row>
      </sheetData>
      <sheetData sheetId="5">
        <row r="21">
          <cell r="T21">
            <v>45780</v>
          </cell>
        </row>
        <row r="22">
          <cell r="T22">
            <v>5000</v>
          </cell>
        </row>
        <row r="23">
          <cell r="T23">
            <v>5000</v>
          </cell>
        </row>
      </sheetData>
      <sheetData sheetId="8">
        <row r="16">
          <cell r="T16">
            <v>2000</v>
          </cell>
        </row>
        <row r="17">
          <cell r="T17">
            <v>2000</v>
          </cell>
        </row>
        <row r="18">
          <cell r="T18">
            <v>300</v>
          </cell>
        </row>
      </sheetData>
      <sheetData sheetId="9">
        <row r="26">
          <cell r="T26">
            <v>11300</v>
          </cell>
        </row>
      </sheetData>
      <sheetData sheetId="10">
        <row r="24">
          <cell r="E24">
            <v>35531</v>
          </cell>
        </row>
      </sheetData>
      <sheetData sheetId="14">
        <row r="15">
          <cell r="T15">
            <v>2000</v>
          </cell>
        </row>
        <row r="18">
          <cell r="T18">
            <v>1032</v>
          </cell>
        </row>
        <row r="19">
          <cell r="T19">
            <v>250</v>
          </cell>
        </row>
        <row r="20">
          <cell r="T20">
            <v>10000</v>
          </cell>
        </row>
      </sheetData>
      <sheetData sheetId="16">
        <row r="11">
          <cell r="T11">
            <v>3023</v>
          </cell>
        </row>
        <row r="31">
          <cell r="T31">
            <v>8341</v>
          </cell>
        </row>
        <row r="32">
          <cell r="T32">
            <v>11659</v>
          </cell>
        </row>
        <row r="33">
          <cell r="T33">
            <v>10591</v>
          </cell>
        </row>
        <row r="34">
          <cell r="T34">
            <v>69889</v>
          </cell>
        </row>
        <row r="36">
          <cell r="T36">
            <v>4000</v>
          </cell>
        </row>
        <row r="37">
          <cell r="T37">
            <v>36639</v>
          </cell>
        </row>
        <row r="38">
          <cell r="T38">
            <v>25000</v>
          </cell>
        </row>
        <row r="39">
          <cell r="T39">
            <v>10000</v>
          </cell>
        </row>
        <row r="40">
          <cell r="T40">
            <v>5571</v>
          </cell>
        </row>
        <row r="41">
          <cell r="T41">
            <v>77937</v>
          </cell>
        </row>
        <row r="42">
          <cell r="T42">
            <v>8000</v>
          </cell>
        </row>
      </sheetData>
      <sheetData sheetId="18">
        <row r="36">
          <cell r="T36">
            <v>663175</v>
          </cell>
        </row>
        <row r="40">
          <cell r="T40">
            <v>177952</v>
          </cell>
        </row>
        <row r="45">
          <cell r="T45">
            <v>79785</v>
          </cell>
        </row>
        <row r="49">
          <cell r="T49">
            <v>6372</v>
          </cell>
        </row>
        <row r="55">
          <cell r="T55">
            <v>40748</v>
          </cell>
        </row>
        <row r="68">
          <cell r="T68">
            <v>606041</v>
          </cell>
        </row>
        <row r="72">
          <cell r="V72">
            <v>88464</v>
          </cell>
        </row>
        <row r="79">
          <cell r="V79">
            <v>27892</v>
          </cell>
        </row>
        <row r="82">
          <cell r="V82">
            <v>70419</v>
          </cell>
        </row>
        <row r="88">
          <cell r="V88">
            <v>231186</v>
          </cell>
        </row>
        <row r="121">
          <cell r="T121">
            <v>337842</v>
          </cell>
        </row>
        <row r="122">
          <cell r="T122">
            <v>186607</v>
          </cell>
        </row>
        <row r="123">
          <cell r="T123">
            <v>278574</v>
          </cell>
        </row>
        <row r="124">
          <cell r="T124">
            <v>5809</v>
          </cell>
        </row>
        <row r="142">
          <cell r="T142">
            <v>304580</v>
          </cell>
        </row>
        <row r="143">
          <cell r="T143">
            <v>44209</v>
          </cell>
        </row>
        <row r="148">
          <cell r="T148">
            <v>659987</v>
          </cell>
        </row>
        <row r="150">
          <cell r="T150">
            <v>9527</v>
          </cell>
        </row>
      </sheetData>
      <sheetData sheetId="24">
        <row r="30">
          <cell r="T30">
            <v>3000</v>
          </cell>
        </row>
        <row r="31">
          <cell r="T31">
            <v>2143</v>
          </cell>
        </row>
        <row r="33">
          <cell r="T33">
            <v>7402</v>
          </cell>
        </row>
        <row r="35">
          <cell r="T35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6"/>
  <sheetViews>
    <sheetView showGridLines="0" zoomScale="90" zoomScaleNormal="90" zoomScalePageLayoutView="0" workbookViewId="0" topLeftCell="A1">
      <pane xSplit="6" ySplit="7" topLeftCell="G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6.875" style="631" customWidth="1"/>
    <col min="2" max="2" width="7.375" style="631" customWidth="1"/>
    <col min="3" max="3" width="11.50390625" style="633" customWidth="1"/>
    <col min="4" max="4" width="6.875" style="633" customWidth="1"/>
    <col min="5" max="5" width="83.875" style="633" customWidth="1"/>
    <col min="6" max="6" width="9.375" style="633" customWidth="1"/>
    <col min="7" max="7" width="16.50390625" style="643" customWidth="1"/>
    <col min="8" max="8" width="17.125" style="643" customWidth="1"/>
    <col min="9" max="9" width="18.00390625" style="643" customWidth="1"/>
    <col min="10" max="10" width="16.125" style="32" customWidth="1"/>
    <col min="11" max="11" width="13.875" style="808" customWidth="1"/>
  </cols>
  <sheetData>
    <row r="1" spans="3:9" ht="14.25">
      <c r="C1" s="632"/>
      <c r="I1" s="644" t="s">
        <v>867</v>
      </c>
    </row>
    <row r="2" ht="13.5" customHeight="1">
      <c r="I2" s="644" t="s">
        <v>102</v>
      </c>
    </row>
    <row r="3" spans="1:10" s="641" customFormat="1" ht="30.75" customHeight="1">
      <c r="A3" s="1743" t="s">
        <v>334</v>
      </c>
      <c r="B3" s="1743"/>
      <c r="C3" s="1743"/>
      <c r="D3" s="1743"/>
      <c r="E3" s="1743"/>
      <c r="F3" s="1743"/>
      <c r="G3" s="1743"/>
      <c r="H3" s="1743"/>
      <c r="I3" s="1743"/>
      <c r="J3" s="1288"/>
    </row>
    <row r="4" spans="1:10" s="638" customFormat="1" ht="21" customHeight="1">
      <c r="A4" s="1766" t="s">
        <v>570</v>
      </c>
      <c r="B4" s="1766"/>
      <c r="C4" s="1766"/>
      <c r="D4" s="1766"/>
      <c r="E4" s="1766"/>
      <c r="F4" s="1766"/>
      <c r="G4" s="1766"/>
      <c r="H4" s="1766"/>
      <c r="I4" s="1766"/>
      <c r="J4" s="1289"/>
    </row>
    <row r="5" ht="24" customHeight="1" thickBot="1">
      <c r="I5" s="644" t="s">
        <v>145</v>
      </c>
    </row>
    <row r="6" spans="1:11" s="636" customFormat="1" ht="66" customHeight="1" thickBot="1">
      <c r="A6" s="637" t="s">
        <v>332</v>
      </c>
      <c r="B6" s="1744" t="s">
        <v>333</v>
      </c>
      <c r="C6" s="1744"/>
      <c r="D6" s="1744"/>
      <c r="E6" s="1745"/>
      <c r="F6" s="665" t="s">
        <v>245</v>
      </c>
      <c r="G6" s="1100" t="s">
        <v>802</v>
      </c>
      <c r="H6" s="1101" t="s">
        <v>467</v>
      </c>
      <c r="I6" s="660" t="s">
        <v>665</v>
      </c>
      <c r="J6" s="1290"/>
      <c r="K6" s="1703"/>
    </row>
    <row r="7" spans="1:11" s="1086" customFormat="1" ht="10.5" customHeight="1" thickBot="1">
      <c r="A7" s="1087">
        <v>1</v>
      </c>
      <c r="B7" s="1760">
        <v>2</v>
      </c>
      <c r="C7" s="1761"/>
      <c r="D7" s="1761"/>
      <c r="E7" s="1762"/>
      <c r="F7" s="1088">
        <v>3</v>
      </c>
      <c r="G7" s="1089">
        <v>4</v>
      </c>
      <c r="H7" s="1090">
        <v>5</v>
      </c>
      <c r="I7" s="1091">
        <v>6</v>
      </c>
      <c r="J7" s="1291"/>
      <c r="K7" s="1704"/>
    </row>
    <row r="8" spans="1:11" s="220" customFormat="1" ht="17.25" customHeight="1" thickBot="1">
      <c r="A8" s="688">
        <v>1</v>
      </c>
      <c r="B8" s="1746" t="s">
        <v>335</v>
      </c>
      <c r="C8" s="1746"/>
      <c r="D8" s="1746"/>
      <c r="E8" s="1747"/>
      <c r="F8" s="689" t="s">
        <v>248</v>
      </c>
      <c r="G8" s="931">
        <f>SUM(G9:G14)</f>
        <v>1717680</v>
      </c>
      <c r="H8" s="931">
        <f>SUM(H9:H14)</f>
        <v>45635</v>
      </c>
      <c r="I8" s="1285">
        <f>SUM(I9:I14)</f>
        <v>1763315</v>
      </c>
      <c r="J8" s="167"/>
      <c r="K8" s="1515">
        <f>hivatal9!K36</f>
        <v>1763315</v>
      </c>
    </row>
    <row r="9" spans="1:11" s="96" customFormat="1" ht="15.75" customHeight="1">
      <c r="A9" s="706"/>
      <c r="B9" s="704" t="s">
        <v>108</v>
      </c>
      <c r="C9" s="1769" t="s">
        <v>249</v>
      </c>
      <c r="D9" s="1770"/>
      <c r="E9" s="1771"/>
      <c r="F9" s="693" t="s">
        <v>250</v>
      </c>
      <c r="G9" s="1124">
        <v>0</v>
      </c>
      <c r="H9" s="694">
        <v>1535</v>
      </c>
      <c r="I9" s="695">
        <f aca="true" t="shared" si="0" ref="I9:I15">SUM(G9:H9)</f>
        <v>1535</v>
      </c>
      <c r="J9" s="268"/>
      <c r="K9" s="806"/>
    </row>
    <row r="10" spans="1:11" s="96" customFormat="1" ht="14.25">
      <c r="A10" s="706"/>
      <c r="B10" s="674" t="s">
        <v>109</v>
      </c>
      <c r="C10" s="1716" t="s">
        <v>251</v>
      </c>
      <c r="D10" s="1717"/>
      <c r="E10" s="1718"/>
      <c r="F10" s="666" t="s">
        <v>252</v>
      </c>
      <c r="G10" s="655">
        <v>869077</v>
      </c>
      <c r="H10" s="648">
        <f>2206</f>
        <v>2206</v>
      </c>
      <c r="I10" s="695">
        <f t="shared" si="0"/>
        <v>871283</v>
      </c>
      <c r="J10" s="268"/>
      <c r="K10" s="806"/>
    </row>
    <row r="11" spans="1:11" s="96" customFormat="1" ht="14.25">
      <c r="A11" s="706"/>
      <c r="B11" s="674" t="s">
        <v>110</v>
      </c>
      <c r="C11" s="1757" t="s">
        <v>253</v>
      </c>
      <c r="D11" s="1758"/>
      <c r="E11" s="1759"/>
      <c r="F11" s="666" t="s">
        <v>254</v>
      </c>
      <c r="G11" s="655">
        <v>614450</v>
      </c>
      <c r="H11" s="648">
        <f>31623</f>
        <v>31623</v>
      </c>
      <c r="I11" s="695">
        <f t="shared" si="0"/>
        <v>646073</v>
      </c>
      <c r="J11" s="1013">
        <f>SUM(I9:I11)</f>
        <v>1518891</v>
      </c>
      <c r="K11" s="806"/>
    </row>
    <row r="12" spans="1:11" s="96" customFormat="1" ht="14.25">
      <c r="A12" s="706"/>
      <c r="B12" s="674" t="s">
        <v>111</v>
      </c>
      <c r="C12" s="1716" t="s">
        <v>255</v>
      </c>
      <c r="D12" s="1717"/>
      <c r="E12" s="1718"/>
      <c r="F12" s="666" t="s">
        <v>256</v>
      </c>
      <c r="G12" s="655">
        <v>234153</v>
      </c>
      <c r="H12" s="648">
        <v>3326</v>
      </c>
      <c r="I12" s="695">
        <f t="shared" si="0"/>
        <v>237479</v>
      </c>
      <c r="J12" s="268"/>
      <c r="K12" s="806"/>
    </row>
    <row r="13" spans="1:11" s="96" customFormat="1" ht="14.25">
      <c r="A13" s="706"/>
      <c r="B13" s="674" t="s">
        <v>202</v>
      </c>
      <c r="C13" s="1716" t="s">
        <v>562</v>
      </c>
      <c r="D13" s="1717"/>
      <c r="E13" s="1718"/>
      <c r="F13" s="666" t="s">
        <v>257</v>
      </c>
      <c r="G13" s="655"/>
      <c r="H13" s="648">
        <v>6945</v>
      </c>
      <c r="I13" s="695">
        <f t="shared" si="0"/>
        <v>6945</v>
      </c>
      <c r="J13" s="268"/>
      <c r="K13" s="806"/>
    </row>
    <row r="14" spans="1:11" s="96" customFormat="1" ht="15" thickBot="1">
      <c r="A14" s="707"/>
      <c r="B14" s="682" t="s">
        <v>359</v>
      </c>
      <c r="C14" s="1740" t="s">
        <v>563</v>
      </c>
      <c r="D14" s="1741"/>
      <c r="E14" s="1742"/>
      <c r="F14" s="697" t="s">
        <v>258</v>
      </c>
      <c r="G14" s="657"/>
      <c r="H14" s="649"/>
      <c r="I14" s="695">
        <f t="shared" si="0"/>
        <v>0</v>
      </c>
      <c r="J14" s="268"/>
      <c r="K14" s="806"/>
    </row>
    <row r="15" spans="1:11" s="96" customFormat="1" ht="15.75" thickBot="1">
      <c r="A15" s="705">
        <v>2</v>
      </c>
      <c r="B15" s="1748" t="s">
        <v>259</v>
      </c>
      <c r="C15" s="1746"/>
      <c r="D15" s="1746"/>
      <c r="E15" s="1747"/>
      <c r="F15" s="738" t="s">
        <v>260</v>
      </c>
      <c r="G15" s="698"/>
      <c r="H15" s="699"/>
      <c r="I15" s="692">
        <f t="shared" si="0"/>
        <v>0</v>
      </c>
      <c r="J15" s="268"/>
      <c r="K15" s="806"/>
    </row>
    <row r="16" spans="1:11" s="268" customFormat="1" ht="14.25" customHeight="1" thickBot="1">
      <c r="A16" s="1136">
        <v>3</v>
      </c>
      <c r="B16" s="1749" t="s">
        <v>261</v>
      </c>
      <c r="C16" s="1746"/>
      <c r="D16" s="1746"/>
      <c r="E16" s="1747"/>
      <c r="F16" s="1139" t="s">
        <v>262</v>
      </c>
      <c r="G16" s="931">
        <f>SUM(G17:G19)</f>
        <v>190322</v>
      </c>
      <c r="H16" s="931">
        <f>SUM(H17:H19)</f>
        <v>23437</v>
      </c>
      <c r="I16" s="1112">
        <f>SUM(I17:I19)</f>
        <v>213759</v>
      </c>
      <c r="K16" s="1516">
        <f>hivatal9!K39</f>
        <v>213759</v>
      </c>
    </row>
    <row r="17" spans="1:11" s="220" customFormat="1" ht="15" customHeight="1">
      <c r="A17" s="678"/>
      <c r="B17" s="1734"/>
      <c r="C17" s="839" t="s">
        <v>267</v>
      </c>
      <c r="D17" s="1750" t="s">
        <v>336</v>
      </c>
      <c r="E17" s="1751"/>
      <c r="F17" s="1137" t="s">
        <v>262</v>
      </c>
      <c r="G17" s="734">
        <v>115822</v>
      </c>
      <c r="H17" s="735"/>
      <c r="I17" s="1138">
        <f>SUM(G17:H17)</f>
        <v>115822</v>
      </c>
      <c r="J17" s="167"/>
      <c r="K17" s="806"/>
    </row>
    <row r="18" spans="1:11" s="220" customFormat="1" ht="14.25">
      <c r="A18" s="678"/>
      <c r="B18" s="1734"/>
      <c r="C18" s="1319" t="s">
        <v>267</v>
      </c>
      <c r="D18" s="1752" t="s">
        <v>337</v>
      </c>
      <c r="E18" s="1753"/>
      <c r="F18" s="642" t="s">
        <v>262</v>
      </c>
      <c r="G18" s="663"/>
      <c r="H18" s="663"/>
      <c r="I18" s="1138">
        <f>SUM(G18:H18)</f>
        <v>0</v>
      </c>
      <c r="J18" s="167"/>
      <c r="K18" s="806"/>
    </row>
    <row r="19" spans="1:11" s="220" customFormat="1" ht="15" thickBot="1">
      <c r="A19" s="678"/>
      <c r="B19" s="1735"/>
      <c r="C19" s="839" t="s">
        <v>267</v>
      </c>
      <c r="D19" s="1750" t="s">
        <v>385</v>
      </c>
      <c r="E19" s="1751"/>
      <c r="F19" s="642" t="s">
        <v>262</v>
      </c>
      <c r="G19" s="734">
        <v>74500</v>
      </c>
      <c r="H19" s="735">
        <f>10206+947-31623-3326+107+46304+17+805</f>
        <v>23437</v>
      </c>
      <c r="I19" s="645">
        <f>SUM(G19:H19)</f>
        <v>97937</v>
      </c>
      <c r="J19" s="167"/>
      <c r="K19" s="806"/>
    </row>
    <row r="20" spans="1:15" s="220" customFormat="1" ht="18.75" customHeight="1" thickBot="1">
      <c r="A20" s="751" t="s">
        <v>105</v>
      </c>
      <c r="B20" s="1736" t="s">
        <v>246</v>
      </c>
      <c r="C20" s="1737"/>
      <c r="D20" s="1737"/>
      <c r="E20" s="1738"/>
      <c r="F20" s="752" t="s">
        <v>247</v>
      </c>
      <c r="G20" s="753">
        <f>G8+G15+G16</f>
        <v>1908002</v>
      </c>
      <c r="H20" s="753">
        <f>H8+H15+H16</f>
        <v>69072</v>
      </c>
      <c r="I20" s="754">
        <f>I8+I15+I16</f>
        <v>1977074</v>
      </c>
      <c r="J20" s="1286">
        <f>SUM(G20:H20)</f>
        <v>1977074</v>
      </c>
      <c r="K20" s="1515">
        <f>hivatal9!K40</f>
        <v>1977074</v>
      </c>
      <c r="O20" s="640"/>
    </row>
    <row r="21" spans="1:11" s="220" customFormat="1" ht="15.75" thickBot="1">
      <c r="A21" s="688">
        <v>1</v>
      </c>
      <c r="B21" s="1746" t="s">
        <v>265</v>
      </c>
      <c r="C21" s="1746"/>
      <c r="D21" s="1746"/>
      <c r="E21" s="1747"/>
      <c r="F21" s="689" t="s">
        <v>266</v>
      </c>
      <c r="G21" s="690">
        <v>0</v>
      </c>
      <c r="H21" s="691">
        <v>0</v>
      </c>
      <c r="I21" s="696">
        <f>SUM(G21:H21)</f>
        <v>0</v>
      </c>
      <c r="J21" s="167"/>
      <c r="K21" s="806"/>
    </row>
    <row r="22" spans="1:11" s="220" customFormat="1" ht="15">
      <c r="A22" s="701">
        <v>2</v>
      </c>
      <c r="B22" s="1767" t="s">
        <v>268</v>
      </c>
      <c r="C22" s="1767"/>
      <c r="D22" s="1767"/>
      <c r="E22" s="1768"/>
      <c r="F22" s="676" t="s">
        <v>269</v>
      </c>
      <c r="G22" s="687">
        <f>SUM(G23:G25)</f>
        <v>1721000</v>
      </c>
      <c r="H22" s="654">
        <f>SUM(H23:H25)</f>
        <v>0</v>
      </c>
      <c r="I22" s="654">
        <f>SUM(I23:I25)</f>
        <v>1721000</v>
      </c>
      <c r="J22" s="1286">
        <f>SUM(I23:I25)</f>
        <v>1721000</v>
      </c>
      <c r="K22" s="1515">
        <f>hivatal9!K42</f>
        <v>1721000</v>
      </c>
    </row>
    <row r="23" spans="1:11" s="96" customFormat="1" ht="14.25">
      <c r="A23" s="678"/>
      <c r="B23" s="674" t="s">
        <v>108</v>
      </c>
      <c r="C23" s="1716" t="s">
        <v>106</v>
      </c>
      <c r="D23" s="1717"/>
      <c r="E23" s="1718"/>
      <c r="F23" s="668" t="s">
        <v>269</v>
      </c>
      <c r="G23" s="656">
        <v>1090000</v>
      </c>
      <c r="H23" s="663"/>
      <c r="I23" s="662">
        <f>SUM(G23:H23)</f>
        <v>1090000</v>
      </c>
      <c r="J23" s="268"/>
      <c r="K23" s="806"/>
    </row>
    <row r="24" spans="1:11" s="96" customFormat="1" ht="14.25">
      <c r="A24" s="678"/>
      <c r="B24" s="674" t="s">
        <v>109</v>
      </c>
      <c r="C24" s="1716" t="s">
        <v>113</v>
      </c>
      <c r="D24" s="1717"/>
      <c r="E24" s="1718"/>
      <c r="F24" s="668" t="s">
        <v>269</v>
      </c>
      <c r="G24" s="656">
        <v>206000</v>
      </c>
      <c r="H24" s="663"/>
      <c r="I24" s="662">
        <f>SUM(G24:H24)</f>
        <v>206000</v>
      </c>
      <c r="J24" s="268"/>
      <c r="K24" s="806"/>
    </row>
    <row r="25" spans="1:11" s="96" customFormat="1" ht="15" thickBot="1">
      <c r="A25" s="678"/>
      <c r="B25" s="682" t="s">
        <v>110</v>
      </c>
      <c r="C25" s="1719" t="s">
        <v>107</v>
      </c>
      <c r="D25" s="1720"/>
      <c r="E25" s="1721"/>
      <c r="F25" s="713" t="s">
        <v>269</v>
      </c>
      <c r="G25" s="658">
        <v>425000</v>
      </c>
      <c r="H25" s="664"/>
      <c r="I25" s="662">
        <f>SUM(G25:H25)</f>
        <v>425000</v>
      </c>
      <c r="J25" s="268"/>
      <c r="K25" s="806"/>
    </row>
    <row r="26" spans="1:11" s="220" customFormat="1" ht="15" customHeight="1">
      <c r="A26" s="701">
        <v>3</v>
      </c>
      <c r="B26" s="1763" t="s">
        <v>270</v>
      </c>
      <c r="C26" s="1764"/>
      <c r="D26" s="1764"/>
      <c r="E26" s="1765"/>
      <c r="F26" s="673" t="s">
        <v>271</v>
      </c>
      <c r="G26" s="683">
        <f>G27+G29+G30+G28</f>
        <v>4062700</v>
      </c>
      <c r="H26" s="683"/>
      <c r="I26" s="684">
        <f>I27+I29+I30+I28</f>
        <v>4062700</v>
      </c>
      <c r="J26" s="167"/>
      <c r="K26" s="1515">
        <f>hivatal9!K43</f>
        <v>4062700</v>
      </c>
    </row>
    <row r="27" spans="1:11" s="220" customFormat="1" ht="14.25">
      <c r="A27" s="678"/>
      <c r="B27" s="674" t="s">
        <v>108</v>
      </c>
      <c r="C27" s="1716" t="s">
        <v>402</v>
      </c>
      <c r="D27" s="1717"/>
      <c r="E27" s="1718"/>
      <c r="F27" s="667" t="s">
        <v>272</v>
      </c>
      <c r="G27" s="1014">
        <v>3882785</v>
      </c>
      <c r="H27" s="645"/>
      <c r="I27" s="645">
        <f>SUM(G27:H27)</f>
        <v>3882785</v>
      </c>
      <c r="J27" s="167"/>
      <c r="K27" s="806"/>
    </row>
    <row r="28" spans="1:11" s="220" customFormat="1" ht="14.25">
      <c r="A28" s="678"/>
      <c r="B28" s="674" t="s">
        <v>109</v>
      </c>
      <c r="C28" s="1155" t="s">
        <v>529</v>
      </c>
      <c r="D28" s="1156"/>
      <c r="E28" s="667"/>
      <c r="F28" s="667" t="s">
        <v>530</v>
      </c>
      <c r="G28" s="1014"/>
      <c r="H28" s="645"/>
      <c r="I28" s="645">
        <f>SUM(G28:H28)</f>
        <v>0</v>
      </c>
      <c r="J28" s="167"/>
      <c r="K28" s="806"/>
    </row>
    <row r="29" spans="1:11" s="96" customFormat="1" ht="14.25">
      <c r="A29" s="678"/>
      <c r="B29" s="674" t="s">
        <v>110</v>
      </c>
      <c r="C29" s="1716" t="s">
        <v>114</v>
      </c>
      <c r="D29" s="1717"/>
      <c r="E29" s="1718"/>
      <c r="F29" s="667" t="s">
        <v>273</v>
      </c>
      <c r="G29" s="1014">
        <v>179000</v>
      </c>
      <c r="H29" s="645"/>
      <c r="I29" s="645">
        <f>SUM(G29:H29)</f>
        <v>179000</v>
      </c>
      <c r="J29" s="268"/>
      <c r="K29" s="806"/>
    </row>
    <row r="30" spans="1:11" s="96" customFormat="1" ht="15">
      <c r="A30" s="678"/>
      <c r="B30" s="1725" t="s">
        <v>111</v>
      </c>
      <c r="C30" s="1716" t="s">
        <v>274</v>
      </c>
      <c r="D30" s="1717"/>
      <c r="E30" s="1718"/>
      <c r="F30" s="677" t="s">
        <v>275</v>
      </c>
      <c r="G30" s="729">
        <f>SUM(G31:G32)</f>
        <v>915</v>
      </c>
      <c r="H30" s="729">
        <f>SUM(H31:H32)</f>
        <v>0</v>
      </c>
      <c r="I30" s="646">
        <f>SUM(I31:I32)</f>
        <v>915</v>
      </c>
      <c r="J30" s="268"/>
      <c r="K30" s="806"/>
    </row>
    <row r="31" spans="1:11" s="96" customFormat="1" ht="14.25">
      <c r="A31" s="678"/>
      <c r="B31" s="1726"/>
      <c r="C31" s="782" t="s">
        <v>267</v>
      </c>
      <c r="D31" s="1294" t="s">
        <v>557</v>
      </c>
      <c r="E31" s="667"/>
      <c r="F31" s="668" t="s">
        <v>275</v>
      </c>
      <c r="G31" s="1307">
        <v>915</v>
      </c>
      <c r="H31" s="1307"/>
      <c r="I31" s="939">
        <f>SUM(G31:H31)</f>
        <v>915</v>
      </c>
      <c r="J31" s="268"/>
      <c r="K31" s="806"/>
    </row>
    <row r="32" spans="1:11" s="1103" customFormat="1" ht="14.25" customHeight="1" thickBot="1">
      <c r="A32" s="1104"/>
      <c r="B32" s="1727"/>
      <c r="C32" s="801" t="s">
        <v>267</v>
      </c>
      <c r="D32" s="680" t="s">
        <v>386</v>
      </c>
      <c r="E32" s="681"/>
      <c r="F32" s="713" t="s">
        <v>275</v>
      </c>
      <c r="G32" s="1105"/>
      <c r="H32" s="1020"/>
      <c r="I32" s="1308">
        <f>SUM(G32:H32)</f>
        <v>0</v>
      </c>
      <c r="J32" s="1292"/>
      <c r="K32" s="785"/>
    </row>
    <row r="33" spans="1:11" s="220" customFormat="1" ht="14.25" customHeight="1">
      <c r="A33" s="701">
        <v>4</v>
      </c>
      <c r="B33" s="1763" t="s">
        <v>276</v>
      </c>
      <c r="C33" s="1764"/>
      <c r="D33" s="1764"/>
      <c r="E33" s="1764"/>
      <c r="F33" s="1445" t="s">
        <v>277</v>
      </c>
      <c r="G33" s="1441">
        <f>SUM(G34:G39)</f>
        <v>20020</v>
      </c>
      <c r="H33" s="684">
        <f>SUM(H34:H39)</f>
        <v>3949</v>
      </c>
      <c r="I33" s="1441">
        <f>SUM(I34:I39)</f>
        <v>23969</v>
      </c>
      <c r="J33" s="1286">
        <f>SUM(G33:H33)</f>
        <v>23969</v>
      </c>
      <c r="K33" s="1515">
        <f>hivatal9!K44</f>
        <v>23969</v>
      </c>
    </row>
    <row r="34" spans="1:11" s="96" customFormat="1" ht="14.25" customHeight="1">
      <c r="A34" s="678"/>
      <c r="B34" s="1754"/>
      <c r="C34" s="782" t="s">
        <v>267</v>
      </c>
      <c r="D34" s="1716" t="s">
        <v>48</v>
      </c>
      <c r="E34" s="1717"/>
      <c r="F34" s="642" t="s">
        <v>277</v>
      </c>
      <c r="G34" s="1439"/>
      <c r="H34" s="663">
        <v>140</v>
      </c>
      <c r="I34" s="662">
        <f>SUM(G34:H34)</f>
        <v>140</v>
      </c>
      <c r="J34" s="268"/>
      <c r="K34" s="806"/>
    </row>
    <row r="35" spans="1:11" s="96" customFormat="1" ht="14.25" customHeight="1">
      <c r="A35" s="678"/>
      <c r="B35" s="1755"/>
      <c r="C35" s="782" t="s">
        <v>267</v>
      </c>
      <c r="D35" s="1155" t="s">
        <v>864</v>
      </c>
      <c r="E35" s="1156"/>
      <c r="F35" s="642" t="s">
        <v>277</v>
      </c>
      <c r="G35" s="1439"/>
      <c r="H35" s="663">
        <v>1223</v>
      </c>
      <c r="I35" s="662">
        <f>SUM(G35:H35)</f>
        <v>1223</v>
      </c>
      <c r="J35" s="268"/>
      <c r="K35" s="806"/>
    </row>
    <row r="36" spans="1:11" s="96" customFormat="1" ht="14.25" customHeight="1">
      <c r="A36" s="678"/>
      <c r="B36" s="1755"/>
      <c r="C36" s="782" t="s">
        <v>267</v>
      </c>
      <c r="D36" s="1716" t="s">
        <v>357</v>
      </c>
      <c r="E36" s="1717"/>
      <c r="F36" s="642" t="s">
        <v>277</v>
      </c>
      <c r="G36" s="1439"/>
      <c r="H36" s="663"/>
      <c r="I36" s="662">
        <f>SUM(G36:H36)</f>
        <v>0</v>
      </c>
      <c r="J36" s="268"/>
      <c r="K36" s="806"/>
    </row>
    <row r="37" spans="1:11" s="220" customFormat="1" ht="14.25" customHeight="1">
      <c r="A37" s="679"/>
      <c r="B37" s="1755"/>
      <c r="C37" s="782" t="s">
        <v>267</v>
      </c>
      <c r="D37" s="1716" t="s">
        <v>358</v>
      </c>
      <c r="E37" s="1717"/>
      <c r="F37" s="642" t="s">
        <v>277</v>
      </c>
      <c r="G37" s="1439"/>
      <c r="H37" s="663"/>
      <c r="I37" s="662">
        <f>SUM(G37:H37)</f>
        <v>0</v>
      </c>
      <c r="J37" s="167"/>
      <c r="K37" s="806"/>
    </row>
    <row r="38" spans="1:11" s="220" customFormat="1" ht="14.25" customHeight="1">
      <c r="A38" s="679"/>
      <c r="B38" s="1755"/>
      <c r="C38" s="782" t="s">
        <v>267</v>
      </c>
      <c r="D38" s="1716" t="s">
        <v>338</v>
      </c>
      <c r="E38" s="1717"/>
      <c r="F38" s="642" t="s">
        <v>277</v>
      </c>
      <c r="G38" s="1439"/>
      <c r="H38" s="663"/>
      <c r="I38" s="662">
        <f>SUM(G38:H38)</f>
        <v>0</v>
      </c>
      <c r="J38" s="167"/>
      <c r="K38" s="806"/>
    </row>
    <row r="39" spans="1:11" s="96" customFormat="1" ht="14.25" customHeight="1">
      <c r="A39" s="1728"/>
      <c r="B39" s="1755"/>
      <c r="C39" s="1725" t="s">
        <v>267</v>
      </c>
      <c r="D39" s="1716" t="s">
        <v>49</v>
      </c>
      <c r="E39" s="1717"/>
      <c r="F39" s="642" t="s">
        <v>277</v>
      </c>
      <c r="G39" s="1439">
        <f>SUM(G40:G43)</f>
        <v>20020</v>
      </c>
      <c r="H39" s="663">
        <f>SUM(H40:H43)</f>
        <v>2586</v>
      </c>
      <c r="I39" s="1439">
        <f>SUM(I40:I43)</f>
        <v>22606</v>
      </c>
      <c r="J39" s="268"/>
      <c r="K39" s="806"/>
    </row>
    <row r="40" spans="1:11" s="96" customFormat="1" ht="14.25" customHeight="1">
      <c r="A40" s="1728"/>
      <c r="B40" s="1755"/>
      <c r="C40" s="1726"/>
      <c r="D40" s="629" t="s">
        <v>57</v>
      </c>
      <c r="E40" s="1442" t="s">
        <v>474</v>
      </c>
      <c r="F40" s="642" t="s">
        <v>277</v>
      </c>
      <c r="G40" s="1440">
        <v>8000</v>
      </c>
      <c r="H40" s="650"/>
      <c r="I40" s="1438">
        <f>SUM(G40:H40)</f>
        <v>8000</v>
      </c>
      <c r="J40" s="268"/>
      <c r="K40" s="806"/>
    </row>
    <row r="41" spans="1:11" s="96" customFormat="1" ht="14.25" customHeight="1">
      <c r="A41" s="1728"/>
      <c r="B41" s="1755"/>
      <c r="C41" s="1726"/>
      <c r="D41" s="629" t="s">
        <v>58</v>
      </c>
      <c r="E41" s="1442" t="s">
        <v>469</v>
      </c>
      <c r="F41" s="642" t="s">
        <v>277</v>
      </c>
      <c r="G41" s="1440">
        <v>6020</v>
      </c>
      <c r="H41" s="650"/>
      <c r="I41" s="1438">
        <f>SUM(G41:H41)</f>
        <v>6020</v>
      </c>
      <c r="J41" s="268"/>
      <c r="K41" s="806"/>
    </row>
    <row r="42" spans="1:11" s="96" customFormat="1" ht="14.25" customHeight="1">
      <c r="A42" s="1728"/>
      <c r="B42" s="1755"/>
      <c r="C42" s="1726"/>
      <c r="D42" s="708" t="s">
        <v>637</v>
      </c>
      <c r="E42" s="1442" t="s">
        <v>355</v>
      </c>
      <c r="F42" s="642" t="s">
        <v>277</v>
      </c>
      <c r="G42" s="1440">
        <v>6000</v>
      </c>
      <c r="H42" s="650">
        <v>802</v>
      </c>
      <c r="I42" s="1438">
        <f>SUM(G42:H42)</f>
        <v>6802</v>
      </c>
      <c r="J42" s="268"/>
      <c r="K42" s="806"/>
    </row>
    <row r="43" spans="1:11" s="96" customFormat="1" ht="14.25" customHeight="1" thickBot="1">
      <c r="A43" s="1729"/>
      <c r="B43" s="1756"/>
      <c r="C43" s="1727"/>
      <c r="D43" s="708" t="s">
        <v>638</v>
      </c>
      <c r="E43" s="1442" t="s">
        <v>403</v>
      </c>
      <c r="F43" s="1444" t="s">
        <v>277</v>
      </c>
      <c r="G43" s="1443"/>
      <c r="H43" s="1020">
        <v>1784</v>
      </c>
      <c r="I43" s="1438">
        <f>SUM(G43:H43)</f>
        <v>1784</v>
      </c>
      <c r="J43" s="268"/>
      <c r="K43" s="806"/>
    </row>
    <row r="44" spans="1:11" s="220" customFormat="1" ht="18.75" customHeight="1" thickBot="1">
      <c r="A44" s="755" t="s">
        <v>112</v>
      </c>
      <c r="B44" s="1739" t="s">
        <v>263</v>
      </c>
      <c r="C44" s="1737"/>
      <c r="D44" s="1737"/>
      <c r="E44" s="1738"/>
      <c r="F44" s="756" t="s">
        <v>264</v>
      </c>
      <c r="G44" s="757">
        <f>G21+G22++G26+G33</f>
        <v>5803720</v>
      </c>
      <c r="H44" s="758">
        <f>H21+H22++H26+H33</f>
        <v>3949</v>
      </c>
      <c r="I44" s="754">
        <f>I21+I22++I26+I33</f>
        <v>5807669</v>
      </c>
      <c r="J44" s="1286">
        <f>SUM(G44:H44)</f>
        <v>5807669</v>
      </c>
      <c r="K44" s="1515">
        <f>hivatal9!K45</f>
        <v>5807669</v>
      </c>
    </row>
    <row r="45" spans="1:11" s="220" customFormat="1" ht="15.75" customHeight="1">
      <c r="A45" s="701">
        <v>1</v>
      </c>
      <c r="B45" s="1763" t="s">
        <v>280</v>
      </c>
      <c r="C45" s="1764"/>
      <c r="D45" s="1764"/>
      <c r="E45" s="1765"/>
      <c r="F45" s="711" t="s">
        <v>281</v>
      </c>
      <c r="G45" s="717">
        <v>2000</v>
      </c>
      <c r="H45" s="718">
        <f>-1603+3</f>
        <v>-1600</v>
      </c>
      <c r="I45" s="730">
        <f>SUM(G45:H45)</f>
        <v>400</v>
      </c>
      <c r="J45" s="167"/>
      <c r="K45" s="806"/>
    </row>
    <row r="46" spans="1:11" s="220" customFormat="1" ht="15" customHeight="1">
      <c r="A46" s="700">
        <v>2</v>
      </c>
      <c r="B46" s="1732" t="s">
        <v>282</v>
      </c>
      <c r="C46" s="1722"/>
      <c r="D46" s="1722"/>
      <c r="E46" s="1723"/>
      <c r="F46" s="712" t="s">
        <v>283</v>
      </c>
      <c r="G46" s="721">
        <v>533324</v>
      </c>
      <c r="H46" s="722">
        <f>9214-944+2471-28-56+58-80-350+15000</f>
        <v>25285</v>
      </c>
      <c r="I46" s="646">
        <f aca="true" t="shared" si="1" ref="I46:I53">SUM(G46:H46)</f>
        <v>558609</v>
      </c>
      <c r="J46" s="167"/>
      <c r="K46" s="806"/>
    </row>
    <row r="47" spans="1:10" s="785" customFormat="1" ht="15" customHeight="1">
      <c r="A47" s="781"/>
      <c r="B47" s="1153"/>
      <c r="C47" s="629" t="s">
        <v>267</v>
      </c>
      <c r="D47" s="629" t="s">
        <v>339</v>
      </c>
      <c r="E47" s="630"/>
      <c r="F47" s="668" t="s">
        <v>283</v>
      </c>
      <c r="G47" s="728">
        <v>400097</v>
      </c>
      <c r="H47" s="650">
        <v>78918</v>
      </c>
      <c r="I47" s="939">
        <f t="shared" si="1"/>
        <v>479015</v>
      </c>
      <c r="J47" s="1102"/>
    </row>
    <row r="48" spans="1:11" s="220" customFormat="1" ht="15" customHeight="1">
      <c r="A48" s="700">
        <v>3</v>
      </c>
      <c r="B48" s="1732" t="s">
        <v>284</v>
      </c>
      <c r="C48" s="1722"/>
      <c r="D48" s="1722"/>
      <c r="E48" s="1723"/>
      <c r="F48" s="712" t="s">
        <v>285</v>
      </c>
      <c r="G48" s="721">
        <v>52000</v>
      </c>
      <c r="H48" s="722">
        <f>30771-606+617+432-22-83+80+17635+52-15000</f>
        <v>33876</v>
      </c>
      <c r="I48" s="646">
        <f t="shared" si="1"/>
        <v>85876</v>
      </c>
      <c r="J48" s="167"/>
      <c r="K48" s="806"/>
    </row>
    <row r="49" spans="1:11" s="220" customFormat="1" ht="15" customHeight="1">
      <c r="A49" s="719">
        <v>4</v>
      </c>
      <c r="B49" s="1722" t="s">
        <v>286</v>
      </c>
      <c r="C49" s="1722"/>
      <c r="D49" s="1722"/>
      <c r="E49" s="1723"/>
      <c r="F49" s="677" t="s">
        <v>287</v>
      </c>
      <c r="G49" s="659">
        <v>6000</v>
      </c>
      <c r="H49" s="659">
        <v>1050</v>
      </c>
      <c r="I49" s="646">
        <f t="shared" si="1"/>
        <v>7050</v>
      </c>
      <c r="J49" s="167"/>
      <c r="K49" s="806"/>
    </row>
    <row r="50" spans="1:11" s="220" customFormat="1" ht="16.5" customHeight="1">
      <c r="A50" s="686">
        <v>5</v>
      </c>
      <c r="B50" s="1732" t="s">
        <v>288</v>
      </c>
      <c r="C50" s="1722"/>
      <c r="D50" s="1722"/>
      <c r="E50" s="1723"/>
      <c r="F50" s="677" t="s">
        <v>289</v>
      </c>
      <c r="G50" s="659">
        <v>226999</v>
      </c>
      <c r="H50" s="651"/>
      <c r="I50" s="646">
        <f t="shared" si="1"/>
        <v>226999</v>
      </c>
      <c r="J50" s="167"/>
      <c r="K50" s="806"/>
    </row>
    <row r="51" spans="1:11" s="220" customFormat="1" ht="16.5" customHeight="1">
      <c r="A51" s="719">
        <v>6</v>
      </c>
      <c r="B51" s="1732" t="s">
        <v>290</v>
      </c>
      <c r="C51" s="1722"/>
      <c r="D51" s="1722"/>
      <c r="E51" s="1723"/>
      <c r="F51" s="712" t="s">
        <v>291</v>
      </c>
      <c r="G51" s="721">
        <v>128769</v>
      </c>
      <c r="H51" s="722">
        <f>6747+22+1+284+147+97+1234+403</f>
        <v>8935</v>
      </c>
      <c r="I51" s="646">
        <f t="shared" si="1"/>
        <v>137704</v>
      </c>
      <c r="J51" s="167"/>
      <c r="K51" s="806"/>
    </row>
    <row r="52" spans="1:11" s="220" customFormat="1" ht="16.5" customHeight="1">
      <c r="A52" s="719">
        <v>7</v>
      </c>
      <c r="B52" s="1732" t="s">
        <v>292</v>
      </c>
      <c r="C52" s="1722"/>
      <c r="D52" s="1722"/>
      <c r="E52" s="1723"/>
      <c r="F52" s="677" t="s">
        <v>293</v>
      </c>
      <c r="G52" s="659"/>
      <c r="H52" s="651">
        <f>19726</f>
        <v>19726</v>
      </c>
      <c r="I52" s="646">
        <f t="shared" si="1"/>
        <v>19726</v>
      </c>
      <c r="J52" s="167"/>
      <c r="K52" s="806"/>
    </row>
    <row r="53" spans="1:11" s="220" customFormat="1" ht="15.75" customHeight="1">
      <c r="A53" s="719">
        <v>8</v>
      </c>
      <c r="B53" s="1732" t="s">
        <v>47</v>
      </c>
      <c r="C53" s="1722"/>
      <c r="D53" s="1722"/>
      <c r="E53" s="1723"/>
      <c r="F53" s="677" t="s">
        <v>294</v>
      </c>
      <c r="G53" s="659">
        <v>60000</v>
      </c>
      <c r="H53" s="651">
        <f>5</f>
        <v>5</v>
      </c>
      <c r="I53" s="646">
        <f t="shared" si="1"/>
        <v>60005</v>
      </c>
      <c r="J53" s="167"/>
      <c r="K53" s="806"/>
    </row>
    <row r="54" spans="1:11" s="167" customFormat="1" ht="15">
      <c r="A54" s="719">
        <v>9</v>
      </c>
      <c r="B54" s="1732" t="s">
        <v>295</v>
      </c>
      <c r="C54" s="1722"/>
      <c r="D54" s="1722"/>
      <c r="E54" s="1723"/>
      <c r="F54" s="712" t="s">
        <v>296</v>
      </c>
      <c r="G54" s="721"/>
      <c r="H54" s="651"/>
      <c r="I54" s="646">
        <f>SUM(G54:H54)</f>
        <v>0</v>
      </c>
      <c r="K54" s="810"/>
    </row>
    <row r="55" spans="1:11" s="167" customFormat="1" ht="15">
      <c r="A55" s="719">
        <v>10</v>
      </c>
      <c r="B55" s="1732" t="s">
        <v>523</v>
      </c>
      <c r="C55" s="1722"/>
      <c r="D55" s="1722"/>
      <c r="E55" s="1723"/>
      <c r="F55" s="1173" t="s">
        <v>298</v>
      </c>
      <c r="G55" s="721"/>
      <c r="H55" s="651">
        <v>752</v>
      </c>
      <c r="I55" s="646">
        <f>SUM(G55:H55)</f>
        <v>752</v>
      </c>
      <c r="K55" s="810"/>
    </row>
    <row r="56" spans="1:11" s="167" customFormat="1" ht="16.5" customHeight="1" thickBot="1">
      <c r="A56" s="724">
        <v>11</v>
      </c>
      <c r="B56" s="1772" t="s">
        <v>297</v>
      </c>
      <c r="C56" s="1773"/>
      <c r="D56" s="1773"/>
      <c r="E56" s="1774"/>
      <c r="F56" s="1174" t="s">
        <v>522</v>
      </c>
      <c r="G56" s="726"/>
      <c r="H56" s="727">
        <f>2405+126+545+2+125+440+6809+28+22+56+25+154+298+30+13+100</f>
        <v>11178</v>
      </c>
      <c r="I56" s="646">
        <f>SUM(G56:H56)</f>
        <v>11178</v>
      </c>
      <c r="K56" s="810"/>
    </row>
    <row r="57" spans="1:11" s="220" customFormat="1" ht="18.75" customHeight="1" thickBot="1">
      <c r="A57" s="751" t="s">
        <v>115</v>
      </c>
      <c r="B57" s="1736" t="s">
        <v>278</v>
      </c>
      <c r="C57" s="1737"/>
      <c r="D57" s="1737"/>
      <c r="E57" s="1738"/>
      <c r="F57" s="760" t="s">
        <v>279</v>
      </c>
      <c r="G57" s="753">
        <f>G45+G46+G48+G49+G50+G51+G52+G53+G54+G55+G56</f>
        <v>1009092</v>
      </c>
      <c r="H57" s="753">
        <f>H45+H46+H48+H49+H50+H51+H52+H53+H54+H55+H56</f>
        <v>99207</v>
      </c>
      <c r="I57" s="754">
        <f>I45+I46+I48+I49+I50+I51+I52+I53+I54+I55+I56</f>
        <v>1108299</v>
      </c>
      <c r="J57" s="1286">
        <f>SUM(G57:H57)</f>
        <v>1108299</v>
      </c>
      <c r="K57" s="1515">
        <f>hivatal9!K46</f>
        <v>1108299</v>
      </c>
    </row>
    <row r="58" spans="1:11" s="96" customFormat="1" ht="15">
      <c r="A58" s="669">
        <v>1</v>
      </c>
      <c r="B58" s="1769" t="s">
        <v>301</v>
      </c>
      <c r="C58" s="1770"/>
      <c r="D58" s="1770"/>
      <c r="E58" s="1771"/>
      <c r="F58" s="1173" t="s">
        <v>524</v>
      </c>
      <c r="G58" s="655"/>
      <c r="H58" s="648">
        <v>20</v>
      </c>
      <c r="I58" s="661">
        <f>SUM(G58:H58)</f>
        <v>20</v>
      </c>
      <c r="J58" s="268"/>
      <c r="K58" s="806"/>
    </row>
    <row r="59" spans="1:11" s="96" customFormat="1" ht="15.75" thickBot="1">
      <c r="A59" s="670">
        <v>2</v>
      </c>
      <c r="B59" s="1740" t="s">
        <v>302</v>
      </c>
      <c r="C59" s="1741"/>
      <c r="D59" s="1741"/>
      <c r="E59" s="1742"/>
      <c r="F59" s="1174" t="s">
        <v>525</v>
      </c>
      <c r="G59" s="657"/>
      <c r="H59" s="649">
        <f>87+17</f>
        <v>104</v>
      </c>
      <c r="I59" s="661">
        <f>SUM(G59:H59)</f>
        <v>104</v>
      </c>
      <c r="J59" s="268"/>
      <c r="K59" s="806"/>
    </row>
    <row r="60" spans="1:11" s="96" customFormat="1" ht="17.25" customHeight="1" thickBot="1">
      <c r="A60" s="751" t="s">
        <v>116</v>
      </c>
      <c r="B60" s="1736" t="s">
        <v>299</v>
      </c>
      <c r="C60" s="1737"/>
      <c r="D60" s="1737"/>
      <c r="E60" s="1738"/>
      <c r="F60" s="759" t="s">
        <v>300</v>
      </c>
      <c r="G60" s="753">
        <f>SUM(G58:G59)</f>
        <v>0</v>
      </c>
      <c r="H60" s="754">
        <f>SUM(H58:H59)</f>
        <v>124</v>
      </c>
      <c r="I60" s="761">
        <f>SUM(I58:I59)</f>
        <v>124</v>
      </c>
      <c r="J60" s="1013">
        <f>SUM(G60:H60)</f>
        <v>124</v>
      </c>
      <c r="K60" s="1515">
        <f>hivatal9!K47</f>
        <v>124</v>
      </c>
    </row>
    <row r="61" spans="1:10" s="585" customFormat="1" ht="21" customHeight="1" thickBot="1">
      <c r="A61" s="897" t="s">
        <v>130</v>
      </c>
      <c r="B61" s="1775" t="s">
        <v>448</v>
      </c>
      <c r="C61" s="1776"/>
      <c r="D61" s="1776"/>
      <c r="E61" s="1777"/>
      <c r="F61" s="898"/>
      <c r="G61" s="899">
        <f>G20+G44+G57+G60</f>
        <v>8720814</v>
      </c>
      <c r="H61" s="899">
        <f>H20+H44+H57+H60</f>
        <v>172352</v>
      </c>
      <c r="I61" s="900">
        <f>I20+I44+I57+I60</f>
        <v>8893166</v>
      </c>
      <c r="J61" s="1293">
        <f>SUM(G61:H61)</f>
        <v>8893166</v>
      </c>
    </row>
    <row r="62" spans="1:11" s="220" customFormat="1" ht="16.5" customHeight="1">
      <c r="A62" s="719">
        <v>1</v>
      </c>
      <c r="B62" s="1763" t="s">
        <v>305</v>
      </c>
      <c r="C62" s="1764"/>
      <c r="D62" s="1764"/>
      <c r="E62" s="1765"/>
      <c r="F62" s="677" t="s">
        <v>306</v>
      </c>
      <c r="G62" s="659"/>
      <c r="H62" s="651">
        <v>131000</v>
      </c>
      <c r="I62" s="684">
        <f>SUM(G62:H62)</f>
        <v>131000</v>
      </c>
      <c r="J62" s="167"/>
      <c r="K62" s="1515">
        <f>hivatal9!K48</f>
        <v>131000</v>
      </c>
    </row>
    <row r="63" spans="1:11" s="220" customFormat="1" ht="16.5" customHeight="1">
      <c r="A63" s="1711">
        <v>2</v>
      </c>
      <c r="B63" s="1732" t="s">
        <v>307</v>
      </c>
      <c r="C63" s="1722"/>
      <c r="D63" s="1722"/>
      <c r="E63" s="1723"/>
      <c r="F63" s="714" t="s">
        <v>308</v>
      </c>
      <c r="G63" s="726">
        <f>SUM(G65:G66)</f>
        <v>100000</v>
      </c>
      <c r="H63" s="726">
        <f>SUM(H64:H66)</f>
        <v>268383</v>
      </c>
      <c r="I63" s="727">
        <f>SUM(I64:I66)</f>
        <v>368383</v>
      </c>
      <c r="J63" s="1286">
        <f>SUM(G63:H63)</f>
        <v>368383</v>
      </c>
      <c r="K63" s="1515">
        <f>hivatal9!K50</f>
        <v>368383</v>
      </c>
    </row>
    <row r="64" spans="1:11" s="96" customFormat="1" ht="15" customHeight="1">
      <c r="A64" s="1712"/>
      <c r="B64" s="1733"/>
      <c r="C64" s="628" t="s">
        <v>267</v>
      </c>
      <c r="D64" s="1752" t="s">
        <v>404</v>
      </c>
      <c r="E64" s="1779"/>
      <c r="F64" s="666" t="s">
        <v>308</v>
      </c>
      <c r="G64" s="656"/>
      <c r="H64" s="663">
        <v>108383</v>
      </c>
      <c r="I64" s="645">
        <f>SUM(G64:H64)</f>
        <v>108383</v>
      </c>
      <c r="J64" s="268"/>
      <c r="K64" s="806"/>
    </row>
    <row r="65" spans="1:11" s="96" customFormat="1" ht="15" customHeight="1">
      <c r="A65" s="1712"/>
      <c r="B65" s="1734"/>
      <c r="C65" s="780" t="s">
        <v>267</v>
      </c>
      <c r="D65" s="803" t="s">
        <v>337</v>
      </c>
      <c r="E65" s="804"/>
      <c r="F65" s="802" t="s">
        <v>308</v>
      </c>
      <c r="G65" s="734"/>
      <c r="H65" s="735">
        <f>60000+200000</f>
        <v>260000</v>
      </c>
      <c r="I65" s="645">
        <f>SUM(G65:H65)</f>
        <v>260000</v>
      </c>
      <c r="J65" s="268"/>
      <c r="K65" s="806"/>
    </row>
    <row r="66" spans="1:11" s="96" customFormat="1" ht="15" customHeight="1" thickBot="1">
      <c r="A66" s="1713"/>
      <c r="B66" s="1735"/>
      <c r="C66" s="628" t="s">
        <v>267</v>
      </c>
      <c r="D66" s="629" t="s">
        <v>458</v>
      </c>
      <c r="E66" s="630"/>
      <c r="F66" s="697" t="s">
        <v>308</v>
      </c>
      <c r="G66" s="656">
        <v>100000</v>
      </c>
      <c r="H66" s="663">
        <f>-100000</f>
        <v>-100000</v>
      </c>
      <c r="I66" s="1706">
        <f>SUM(G66:H66)</f>
        <v>0</v>
      </c>
      <c r="J66" s="268"/>
      <c r="K66" s="806"/>
    </row>
    <row r="67" spans="1:11" ht="15.75" thickBot="1">
      <c r="A67" s="751" t="s">
        <v>117</v>
      </c>
      <c r="B67" s="1739" t="s">
        <v>303</v>
      </c>
      <c r="C67" s="1737"/>
      <c r="D67" s="1737"/>
      <c r="E67" s="1738"/>
      <c r="F67" s="759" t="s">
        <v>304</v>
      </c>
      <c r="G67" s="753">
        <f>SUM(G62:G63)</f>
        <v>100000</v>
      </c>
      <c r="H67" s="753">
        <f>SUM(H62:H63)</f>
        <v>399383</v>
      </c>
      <c r="I67" s="754">
        <f>SUM(I62:I63)</f>
        <v>499383</v>
      </c>
      <c r="J67" s="1099">
        <f>SUM(G67:H67)</f>
        <v>499383</v>
      </c>
      <c r="K67" s="1705">
        <f>hivatal9!K51</f>
        <v>499383</v>
      </c>
    </row>
    <row r="68" spans="1:11" s="96" customFormat="1" ht="16.5" customHeight="1">
      <c r="A68" s="732">
        <v>1</v>
      </c>
      <c r="B68" s="1769" t="s">
        <v>50</v>
      </c>
      <c r="C68" s="1770"/>
      <c r="D68" s="1770"/>
      <c r="E68" s="1771"/>
      <c r="F68" s="733" t="s">
        <v>311</v>
      </c>
      <c r="G68" s="734"/>
      <c r="H68" s="735"/>
      <c r="I68" s="736">
        <f>SUM(G68:H68)</f>
        <v>0</v>
      </c>
      <c r="J68" s="268"/>
      <c r="K68" s="806"/>
    </row>
    <row r="69" spans="1:11" s="96" customFormat="1" ht="16.5" customHeight="1">
      <c r="A69" s="669">
        <v>2</v>
      </c>
      <c r="B69" s="1716" t="s">
        <v>312</v>
      </c>
      <c r="C69" s="1717"/>
      <c r="D69" s="1717"/>
      <c r="E69" s="1718"/>
      <c r="F69" s="667" t="s">
        <v>313</v>
      </c>
      <c r="G69" s="656">
        <v>479116</v>
      </c>
      <c r="H69" s="663">
        <f>-17789-30-13-100</f>
        <v>-17932</v>
      </c>
      <c r="I69" s="736">
        <f>SUM(G69:H69)</f>
        <v>461184</v>
      </c>
      <c r="J69" s="268"/>
      <c r="K69" s="806"/>
    </row>
    <row r="70" spans="1:11" s="96" customFormat="1" ht="16.5" customHeight="1">
      <c r="A70" s="669">
        <v>3</v>
      </c>
      <c r="B70" s="1716" t="s">
        <v>314</v>
      </c>
      <c r="C70" s="1717"/>
      <c r="D70" s="1717"/>
      <c r="E70" s="1718"/>
      <c r="F70" s="667" t="s">
        <v>315</v>
      </c>
      <c r="G70" s="656"/>
      <c r="H70" s="663">
        <f>5016+60</f>
        <v>5076</v>
      </c>
      <c r="I70" s="736">
        <f>SUM(G70:H70)</f>
        <v>5076</v>
      </c>
      <c r="J70" s="268"/>
      <c r="K70" s="806"/>
    </row>
    <row r="71" spans="1:11" s="220" customFormat="1" ht="16.5" customHeight="1" thickBot="1">
      <c r="A71" s="670">
        <v>4</v>
      </c>
      <c r="B71" s="1740" t="s">
        <v>316</v>
      </c>
      <c r="C71" s="1741"/>
      <c r="D71" s="1741"/>
      <c r="E71" s="1742"/>
      <c r="F71" s="715" t="s">
        <v>317</v>
      </c>
      <c r="G71" s="658"/>
      <c r="H71" s="664"/>
      <c r="I71" s="736">
        <f>SUM(G71:H71)</f>
        <v>0</v>
      </c>
      <c r="J71" s="167"/>
      <c r="K71" s="806"/>
    </row>
    <row r="72" spans="1:11" s="96" customFormat="1" ht="16.5" customHeight="1" thickBot="1">
      <c r="A72" s="751" t="s">
        <v>344</v>
      </c>
      <c r="B72" s="1739" t="s">
        <v>309</v>
      </c>
      <c r="C72" s="1737"/>
      <c r="D72" s="1737"/>
      <c r="E72" s="1738"/>
      <c r="F72" s="759" t="s">
        <v>310</v>
      </c>
      <c r="G72" s="761">
        <f>SUM(G68:G71)</f>
        <v>479116</v>
      </c>
      <c r="H72" s="761">
        <f>SUM(H68:H71)</f>
        <v>-12856</v>
      </c>
      <c r="I72" s="761">
        <f>SUM(I68:I71)</f>
        <v>466260</v>
      </c>
      <c r="J72" s="1013">
        <f>SUM(G72:H72)</f>
        <v>466260</v>
      </c>
      <c r="K72" s="1515">
        <f>hivatal9!K52</f>
        <v>466260</v>
      </c>
    </row>
    <row r="73" spans="1:11" s="220" customFormat="1" ht="16.5" customHeight="1">
      <c r="A73" s="685">
        <v>1</v>
      </c>
      <c r="B73" s="1763" t="s">
        <v>320</v>
      </c>
      <c r="C73" s="1764"/>
      <c r="D73" s="1764"/>
      <c r="E73" s="1765"/>
      <c r="F73" s="1175" t="s">
        <v>526</v>
      </c>
      <c r="G73" s="737">
        <f>SUM(G74:G75)</f>
        <v>1000</v>
      </c>
      <c r="H73" s="737">
        <f>SUM(H74:H75)</f>
        <v>1373</v>
      </c>
      <c r="I73" s="702">
        <f>SUM(I74:I75)</f>
        <v>2373</v>
      </c>
      <c r="J73" s="167"/>
      <c r="K73" s="1515">
        <f>hivatal9!K53</f>
        <v>2373</v>
      </c>
    </row>
    <row r="74" spans="1:10" s="785" customFormat="1" ht="15" customHeight="1">
      <c r="A74" s="679"/>
      <c r="B74" s="1733"/>
      <c r="C74" s="628" t="s">
        <v>267</v>
      </c>
      <c r="D74" s="629" t="s">
        <v>87</v>
      </c>
      <c r="E74" s="630"/>
      <c r="F74" s="1176" t="s">
        <v>526</v>
      </c>
      <c r="G74" s="728"/>
      <c r="H74" s="650"/>
      <c r="I74" s="939">
        <f>SUM(G74:H74)</f>
        <v>0</v>
      </c>
      <c r="J74" s="1102"/>
    </row>
    <row r="75" spans="1:10" s="785" customFormat="1" ht="15" customHeight="1" thickBot="1">
      <c r="A75" s="679"/>
      <c r="B75" s="1735"/>
      <c r="C75" s="653" t="s">
        <v>267</v>
      </c>
      <c r="D75" s="739" t="s">
        <v>88</v>
      </c>
      <c r="E75" s="671"/>
      <c r="F75" s="1177" t="str">
        <f>F74</f>
        <v>B74</v>
      </c>
      <c r="G75" s="1107">
        <v>1000</v>
      </c>
      <c r="H75" s="1108">
        <f>700+388+285</f>
        <v>1373</v>
      </c>
      <c r="I75" s="939">
        <f>SUM(G75:H75)</f>
        <v>2373</v>
      </c>
      <c r="J75" s="1102"/>
    </row>
    <row r="76" spans="1:11" s="220" customFormat="1" ht="16.5" customHeight="1">
      <c r="A76" s="685">
        <v>2</v>
      </c>
      <c r="B76" s="1763" t="s">
        <v>89</v>
      </c>
      <c r="C76" s="1764"/>
      <c r="D76" s="1764"/>
      <c r="E76" s="1765"/>
      <c r="F76" s="1178" t="s">
        <v>527</v>
      </c>
      <c r="G76" s="709">
        <f>SUM(G77:G78)</f>
        <v>0</v>
      </c>
      <c r="H76" s="709">
        <f>SUM(H77:H78)</f>
        <v>280271</v>
      </c>
      <c r="I76" s="710">
        <f>SUM(I77:I78)</f>
        <v>280271</v>
      </c>
      <c r="J76" s="1286">
        <f>SUM(I78:I78)</f>
        <v>280271</v>
      </c>
      <c r="K76" s="1515">
        <f>hivatal9!K54</f>
        <v>280271</v>
      </c>
    </row>
    <row r="77" spans="1:10" s="785" customFormat="1" ht="15" customHeight="1">
      <c r="A77" s="679"/>
      <c r="B77" s="675"/>
      <c r="C77" s="653" t="s">
        <v>267</v>
      </c>
      <c r="D77" s="739" t="s">
        <v>88</v>
      </c>
      <c r="E77" s="671"/>
      <c r="F77" s="1106" t="str">
        <f>F76</f>
        <v>B75</v>
      </c>
      <c r="G77" s="1107"/>
      <c r="H77" s="1108"/>
      <c r="I77" s="1015">
        <f>SUM(G77:H77)</f>
        <v>0</v>
      </c>
      <c r="J77" s="1102"/>
    </row>
    <row r="78" spans="1:10" s="785" customFormat="1" ht="15" customHeight="1" thickBot="1">
      <c r="A78" s="679"/>
      <c r="B78" s="675"/>
      <c r="C78" s="653" t="s">
        <v>267</v>
      </c>
      <c r="D78" s="739" t="s">
        <v>457</v>
      </c>
      <c r="E78" s="671"/>
      <c r="F78" s="1106" t="str">
        <f>F77</f>
        <v>B75</v>
      </c>
      <c r="G78" s="1105"/>
      <c r="H78" s="1020">
        <f>2271+150000+128000</f>
        <v>280271</v>
      </c>
      <c r="I78" s="1015">
        <f>SUM(G78:H78)</f>
        <v>280271</v>
      </c>
      <c r="J78" s="1102"/>
    </row>
    <row r="79" spans="1:11" s="220" customFormat="1" ht="18" customHeight="1" thickBot="1">
      <c r="A79" s="1094" t="s">
        <v>345</v>
      </c>
      <c r="B79" s="1739" t="s">
        <v>318</v>
      </c>
      <c r="C79" s="1737"/>
      <c r="D79" s="1737"/>
      <c r="E79" s="1738"/>
      <c r="F79" s="759" t="s">
        <v>319</v>
      </c>
      <c r="G79" s="753">
        <f>G73+G76</f>
        <v>1000</v>
      </c>
      <c r="H79" s="753">
        <f>H73+H76</f>
        <v>281644</v>
      </c>
      <c r="I79" s="754">
        <f>I73+I76</f>
        <v>282644</v>
      </c>
      <c r="J79" s="1286">
        <f>SUM(G79:H79)</f>
        <v>282644</v>
      </c>
      <c r="K79" s="1515">
        <f>hivatal9!K55</f>
        <v>282644</v>
      </c>
    </row>
    <row r="80" spans="1:11" s="220" customFormat="1" ht="21" customHeight="1" thickBot="1">
      <c r="A80" s="1095" t="s">
        <v>131</v>
      </c>
      <c r="B80" s="1778" t="s">
        <v>449</v>
      </c>
      <c r="C80" s="1776"/>
      <c r="D80" s="1776"/>
      <c r="E80" s="1777"/>
      <c r="F80" s="898"/>
      <c r="G80" s="899">
        <f>G67+G72+G79</f>
        <v>580116</v>
      </c>
      <c r="H80" s="899">
        <f>H67+H72+H79</f>
        <v>668171</v>
      </c>
      <c r="I80" s="900">
        <f>I67+I72+I79</f>
        <v>1248287</v>
      </c>
      <c r="J80" s="167"/>
      <c r="K80" s="806"/>
    </row>
    <row r="81" spans="1:10" s="585" customFormat="1" ht="24" customHeight="1" thickBot="1">
      <c r="A81" s="800" t="s">
        <v>121</v>
      </c>
      <c r="B81" s="1714" t="s">
        <v>90</v>
      </c>
      <c r="C81" s="1714"/>
      <c r="D81" s="1714"/>
      <c r="E81" s="1715"/>
      <c r="F81" s="740"/>
      <c r="G81" s="741">
        <f>G61+G80</f>
        <v>9300930</v>
      </c>
      <c r="H81" s="741">
        <f>H61+H80</f>
        <v>840523</v>
      </c>
      <c r="I81" s="742">
        <f>I61+I80</f>
        <v>10141453</v>
      </c>
      <c r="J81" s="1287"/>
    </row>
    <row r="82" spans="1:11" s="220" customFormat="1" ht="15.75" customHeight="1">
      <c r="A82" s="686">
        <v>1</v>
      </c>
      <c r="B82" s="1763" t="s">
        <v>323</v>
      </c>
      <c r="C82" s="1764"/>
      <c r="D82" s="1764"/>
      <c r="E82" s="1765"/>
      <c r="F82" s="711" t="s">
        <v>324</v>
      </c>
      <c r="G82" s="743"/>
      <c r="H82" s="744"/>
      <c r="I82" s="702">
        <f>SUM(G82:H82)</f>
        <v>0</v>
      </c>
      <c r="J82" s="167"/>
      <c r="K82" s="806"/>
    </row>
    <row r="83" spans="1:11" s="220" customFormat="1" ht="15.75" customHeight="1">
      <c r="A83" s="719">
        <v>2</v>
      </c>
      <c r="B83" s="1732" t="s">
        <v>325</v>
      </c>
      <c r="C83" s="1722"/>
      <c r="D83" s="1722"/>
      <c r="E83" s="1723"/>
      <c r="F83" s="712" t="s">
        <v>326</v>
      </c>
      <c r="G83" s="721">
        <v>7000000</v>
      </c>
      <c r="H83" s="722"/>
      <c r="I83" s="722">
        <f>SUM(G83:H83)</f>
        <v>7000000</v>
      </c>
      <c r="J83" s="167"/>
      <c r="K83" s="806"/>
    </row>
    <row r="84" spans="1:11" s="220" customFormat="1" ht="15.75" customHeight="1">
      <c r="A84" s="1711">
        <v>3</v>
      </c>
      <c r="B84" s="1732" t="s">
        <v>327</v>
      </c>
      <c r="C84" s="1722"/>
      <c r="D84" s="1722"/>
      <c r="E84" s="1723"/>
      <c r="F84" s="712" t="s">
        <v>328</v>
      </c>
      <c r="G84" s="745">
        <f>SUM(G85:G86)</f>
        <v>696968</v>
      </c>
      <c r="H84" s="745">
        <f>SUM(H85:H86)</f>
        <v>0</v>
      </c>
      <c r="I84" s="746">
        <f>SUM(I85:I86)</f>
        <v>696968</v>
      </c>
      <c r="J84" s="167"/>
      <c r="K84" s="1515">
        <f>hivatal9!K57</f>
        <v>696968</v>
      </c>
    </row>
    <row r="85" spans="1:11" s="96" customFormat="1" ht="15.75" customHeight="1">
      <c r="A85" s="1712"/>
      <c r="B85" s="831">
        <v>1</v>
      </c>
      <c r="C85" s="1730" t="s">
        <v>498</v>
      </c>
      <c r="D85" s="1730"/>
      <c r="E85" s="1731"/>
      <c r="F85" s="667" t="s">
        <v>329</v>
      </c>
      <c r="G85" s="656">
        <v>696968</v>
      </c>
      <c r="H85" s="663"/>
      <c r="I85" s="648">
        <f>SUM(G85:H85)</f>
        <v>696968</v>
      </c>
      <c r="J85" s="268"/>
      <c r="K85" s="806"/>
    </row>
    <row r="86" spans="1:11" s="96" customFormat="1" ht="15.75" customHeight="1">
      <c r="A86" s="1724"/>
      <c r="B86" s="831">
        <v>2</v>
      </c>
      <c r="C86" s="1730" t="s">
        <v>499</v>
      </c>
      <c r="D86" s="1730"/>
      <c r="E86" s="1731"/>
      <c r="F86" s="667" t="s">
        <v>500</v>
      </c>
      <c r="G86" s="656"/>
      <c r="H86" s="663"/>
      <c r="I86" s="648">
        <f>SUM(G86:H86)</f>
        <v>0</v>
      </c>
      <c r="J86" s="268"/>
      <c r="K86" s="806"/>
    </row>
    <row r="87" spans="1:11" s="220" customFormat="1" ht="15.75" customHeight="1">
      <c r="A87" s="719">
        <v>4</v>
      </c>
      <c r="B87" s="1732" t="s">
        <v>508</v>
      </c>
      <c r="C87" s="1722"/>
      <c r="D87" s="1722"/>
      <c r="E87" s="1723"/>
      <c r="F87" s="712" t="s">
        <v>507</v>
      </c>
      <c r="G87" s="721"/>
      <c r="H87" s="721"/>
      <c r="I87" s="722">
        <f>SUM(G87:H87)</f>
        <v>0</v>
      </c>
      <c r="J87" s="167"/>
      <c r="K87" s="806"/>
    </row>
    <row r="88" spans="1:11" s="220" customFormat="1" ht="15.75" customHeight="1" thickBot="1">
      <c r="A88" s="724">
        <v>5</v>
      </c>
      <c r="B88" s="1772" t="s">
        <v>330</v>
      </c>
      <c r="C88" s="1773"/>
      <c r="D88" s="1773"/>
      <c r="E88" s="1774"/>
      <c r="F88" s="714" t="s">
        <v>331</v>
      </c>
      <c r="G88" s="726"/>
      <c r="H88" s="727"/>
      <c r="I88" s="722">
        <f>SUM(G88:H88)</f>
        <v>0</v>
      </c>
      <c r="J88" s="167"/>
      <c r="K88" s="806"/>
    </row>
    <row r="89" spans="1:11" s="220" customFormat="1" ht="21" customHeight="1" thickBot="1">
      <c r="A89" s="1094" t="s">
        <v>120</v>
      </c>
      <c r="B89" s="1739" t="s">
        <v>321</v>
      </c>
      <c r="C89" s="1737"/>
      <c r="D89" s="1737"/>
      <c r="E89" s="1738"/>
      <c r="F89" s="759" t="s">
        <v>322</v>
      </c>
      <c r="G89" s="753">
        <f>G82+G83+G84+G87+G88</f>
        <v>7696968</v>
      </c>
      <c r="H89" s="753">
        <f>H82+H83+H84+H87+H88</f>
        <v>0</v>
      </c>
      <c r="I89" s="754">
        <f>I82+I83+I84+I87+I88</f>
        <v>7696968</v>
      </c>
      <c r="J89" s="1286">
        <f>SUM(G89:H89)</f>
        <v>7696968</v>
      </c>
      <c r="K89" s="806"/>
    </row>
    <row r="90" spans="1:11" s="220" customFormat="1" ht="21" customHeight="1" thickBot="1">
      <c r="A90" s="1094" t="s">
        <v>451</v>
      </c>
      <c r="B90" s="1739" t="s">
        <v>462</v>
      </c>
      <c r="C90" s="1737"/>
      <c r="D90" s="1737"/>
      <c r="E90" s="1738"/>
      <c r="F90" s="759" t="s">
        <v>40</v>
      </c>
      <c r="G90" s="753"/>
      <c r="H90" s="753"/>
      <c r="I90" s="754">
        <f>SUM(G90:H90)</f>
        <v>0</v>
      </c>
      <c r="J90" s="1286">
        <f>SUM(G90:H90)</f>
        <v>0</v>
      </c>
      <c r="K90" s="806"/>
    </row>
    <row r="91" spans="1:11" s="220" customFormat="1" ht="21" customHeight="1" thickBot="1">
      <c r="A91" s="1095" t="s">
        <v>42</v>
      </c>
      <c r="B91" s="1778" t="s">
        <v>452</v>
      </c>
      <c r="C91" s="1776"/>
      <c r="D91" s="1776"/>
      <c r="E91" s="1776"/>
      <c r="F91" s="1154" t="s">
        <v>44</v>
      </c>
      <c r="G91" s="899">
        <f>SUM(G89:G90)</f>
        <v>7696968</v>
      </c>
      <c r="H91" s="899">
        <f>SUM(H89:H90)</f>
        <v>0</v>
      </c>
      <c r="I91" s="900">
        <f>SUM(I89:I90)</f>
        <v>7696968</v>
      </c>
      <c r="J91" s="167"/>
      <c r="K91" s="806"/>
    </row>
    <row r="92" spans="1:11" s="585" customFormat="1" ht="21" customHeight="1" thickBot="1">
      <c r="A92" s="800" t="s">
        <v>43</v>
      </c>
      <c r="B92" s="1714" t="s">
        <v>41</v>
      </c>
      <c r="C92" s="1714"/>
      <c r="D92" s="1714"/>
      <c r="E92" s="1715"/>
      <c r="F92" s="740"/>
      <c r="G92" s="741">
        <f>G81+G91</f>
        <v>16997898</v>
      </c>
      <c r="H92" s="741">
        <f>H81+H91</f>
        <v>840523</v>
      </c>
      <c r="I92" s="742">
        <f>I81+I91</f>
        <v>17838421</v>
      </c>
      <c r="J92" s="1287"/>
      <c r="K92" s="731">
        <f>hivatal9!K60</f>
        <v>17838421</v>
      </c>
    </row>
    <row r="93" spans="1:11" s="96" customFormat="1" ht="14.25">
      <c r="A93" s="634"/>
      <c r="B93" s="634"/>
      <c r="C93" s="635"/>
      <c r="D93" s="635"/>
      <c r="E93" s="635"/>
      <c r="F93" s="635"/>
      <c r="G93" s="652"/>
      <c r="H93" s="652"/>
      <c r="I93" s="652"/>
      <c r="J93" s="268"/>
      <c r="K93" s="806"/>
    </row>
    <row r="94" spans="1:11" s="96" customFormat="1" ht="14.25">
      <c r="A94" s="634"/>
      <c r="B94" s="634"/>
      <c r="C94" s="635"/>
      <c r="D94" s="635"/>
      <c r="E94" s="635"/>
      <c r="F94" s="635"/>
      <c r="G94" s="652"/>
      <c r="H94" s="652"/>
      <c r="I94" s="652"/>
      <c r="J94" s="268"/>
      <c r="K94" s="806"/>
    </row>
    <row r="95" spans="1:11" s="96" customFormat="1" ht="14.25">
      <c r="A95" s="634"/>
      <c r="B95" s="634"/>
      <c r="C95" s="635"/>
      <c r="D95" s="635"/>
      <c r="E95" s="635"/>
      <c r="F95" s="635"/>
      <c r="G95" s="652"/>
      <c r="H95" s="652"/>
      <c r="I95" s="652"/>
      <c r="J95" s="268"/>
      <c r="K95" s="806"/>
    </row>
    <row r="96" spans="1:11" s="96" customFormat="1" ht="14.25">
      <c r="A96" s="634"/>
      <c r="B96" s="634"/>
      <c r="C96" s="635"/>
      <c r="D96" s="635"/>
      <c r="E96" s="635"/>
      <c r="F96" s="635"/>
      <c r="G96" s="652"/>
      <c r="H96" s="652"/>
      <c r="I96" s="652">
        <f>I92-hivatal9!K60</f>
        <v>0</v>
      </c>
      <c r="J96" s="268"/>
      <c r="K96" s="806"/>
    </row>
    <row r="97" spans="1:11" s="96" customFormat="1" ht="14.25">
      <c r="A97" s="634"/>
      <c r="B97" s="634"/>
      <c r="C97" s="635"/>
      <c r="D97" s="635"/>
      <c r="E97" s="635"/>
      <c r="F97" s="635"/>
      <c r="G97" s="652"/>
      <c r="H97" s="652"/>
      <c r="I97" s="652"/>
      <c r="J97" s="268"/>
      <c r="K97" s="806"/>
    </row>
    <row r="98" spans="1:11" s="96" customFormat="1" ht="14.25">
      <c r="A98" s="634"/>
      <c r="B98" s="634"/>
      <c r="C98" s="635"/>
      <c r="D98" s="635"/>
      <c r="E98" s="635"/>
      <c r="F98" s="635"/>
      <c r="G98" s="652"/>
      <c r="H98" s="652"/>
      <c r="I98" s="652"/>
      <c r="J98" s="268"/>
      <c r="K98" s="806"/>
    </row>
    <row r="99" spans="1:11" s="96" customFormat="1" ht="14.25">
      <c r="A99" s="634"/>
      <c r="B99" s="634"/>
      <c r="C99" s="635"/>
      <c r="D99" s="635"/>
      <c r="E99" s="635"/>
      <c r="F99" s="635"/>
      <c r="G99" s="652"/>
      <c r="H99" s="652"/>
      <c r="I99" s="652"/>
      <c r="J99" s="268"/>
      <c r="K99" s="806"/>
    </row>
    <row r="100" spans="1:11" s="96" customFormat="1" ht="14.25">
      <c r="A100" s="634"/>
      <c r="B100" s="634"/>
      <c r="C100" s="635"/>
      <c r="D100" s="635"/>
      <c r="E100" s="635"/>
      <c r="F100" s="635"/>
      <c r="G100" s="652"/>
      <c r="H100" s="652"/>
      <c r="I100" s="652"/>
      <c r="J100" s="268"/>
      <c r="K100" s="806"/>
    </row>
    <row r="101" spans="1:11" s="96" customFormat="1" ht="14.25">
      <c r="A101" s="634"/>
      <c r="B101" s="634"/>
      <c r="C101" s="635"/>
      <c r="D101" s="635"/>
      <c r="E101" s="635"/>
      <c r="F101" s="635"/>
      <c r="G101" s="647"/>
      <c r="H101" s="647"/>
      <c r="I101" s="647"/>
      <c r="J101" s="268"/>
      <c r="K101" s="806"/>
    </row>
    <row r="102" spans="1:11" s="96" customFormat="1" ht="14.25">
      <c r="A102" s="634"/>
      <c r="B102" s="634"/>
      <c r="C102" s="635"/>
      <c r="D102" s="635"/>
      <c r="E102" s="635"/>
      <c r="F102" s="635"/>
      <c r="G102" s="647"/>
      <c r="H102" s="647"/>
      <c r="I102" s="647"/>
      <c r="J102" s="268"/>
      <c r="K102" s="806"/>
    </row>
    <row r="103" spans="1:11" s="96" customFormat="1" ht="14.25">
      <c r="A103" s="634"/>
      <c r="B103" s="634"/>
      <c r="C103" s="635"/>
      <c r="D103" s="635"/>
      <c r="E103" s="635"/>
      <c r="F103" s="635"/>
      <c r="G103" s="647"/>
      <c r="H103" s="647"/>
      <c r="I103" s="647"/>
      <c r="J103" s="268"/>
      <c r="K103" s="806"/>
    </row>
    <row r="104" spans="1:11" s="96" customFormat="1" ht="14.25">
      <c r="A104" s="634"/>
      <c r="B104" s="634"/>
      <c r="C104" s="635"/>
      <c r="D104" s="635"/>
      <c r="E104" s="635"/>
      <c r="F104" s="635"/>
      <c r="G104" s="647"/>
      <c r="H104" s="647"/>
      <c r="I104" s="647"/>
      <c r="J104" s="268"/>
      <c r="K104" s="806"/>
    </row>
    <row r="105" spans="1:11" s="96" customFormat="1" ht="14.25">
      <c r="A105" s="634"/>
      <c r="B105" s="634"/>
      <c r="C105" s="635"/>
      <c r="D105" s="635"/>
      <c r="E105" s="635"/>
      <c r="F105" s="635"/>
      <c r="G105" s="647"/>
      <c r="H105" s="647"/>
      <c r="I105" s="647"/>
      <c r="J105" s="268"/>
      <c r="K105" s="806"/>
    </row>
    <row r="106" spans="1:11" s="96" customFormat="1" ht="14.25">
      <c r="A106" s="634"/>
      <c r="B106" s="634"/>
      <c r="C106" s="635"/>
      <c r="D106" s="635"/>
      <c r="E106" s="635"/>
      <c r="F106" s="635"/>
      <c r="G106" s="647"/>
      <c r="H106" s="647"/>
      <c r="I106" s="647"/>
      <c r="J106" s="268"/>
      <c r="K106" s="806"/>
    </row>
    <row r="107" spans="1:11" s="96" customFormat="1" ht="14.25">
      <c r="A107" s="634"/>
      <c r="B107" s="634"/>
      <c r="C107" s="635"/>
      <c r="D107" s="635"/>
      <c r="E107" s="635"/>
      <c r="F107" s="635"/>
      <c r="G107" s="647"/>
      <c r="H107" s="647"/>
      <c r="I107" s="647"/>
      <c r="J107" s="268"/>
      <c r="K107" s="806"/>
    </row>
    <row r="108" spans="1:11" s="96" customFormat="1" ht="14.25">
      <c r="A108" s="634"/>
      <c r="B108" s="634"/>
      <c r="C108" s="635"/>
      <c r="D108" s="635"/>
      <c r="E108" s="635"/>
      <c r="F108" s="635"/>
      <c r="G108" s="647"/>
      <c r="H108" s="647"/>
      <c r="I108" s="647"/>
      <c r="J108" s="268"/>
      <c r="K108" s="806"/>
    </row>
    <row r="109" spans="1:11" s="96" customFormat="1" ht="14.25">
      <c r="A109" s="634"/>
      <c r="B109" s="634"/>
      <c r="C109" s="635"/>
      <c r="D109" s="635"/>
      <c r="E109" s="635"/>
      <c r="F109" s="635"/>
      <c r="G109" s="647"/>
      <c r="H109" s="647"/>
      <c r="I109" s="647"/>
      <c r="J109" s="268"/>
      <c r="K109" s="806"/>
    </row>
    <row r="110" spans="1:11" s="96" customFormat="1" ht="14.25">
      <c r="A110" s="634"/>
      <c r="B110" s="634"/>
      <c r="C110" s="635"/>
      <c r="D110" s="635"/>
      <c r="E110" s="635"/>
      <c r="F110" s="635"/>
      <c r="G110" s="647"/>
      <c r="H110" s="647"/>
      <c r="I110" s="647"/>
      <c r="J110" s="268"/>
      <c r="K110" s="806"/>
    </row>
    <row r="111" spans="1:11" s="96" customFormat="1" ht="14.25">
      <c r="A111" s="634"/>
      <c r="B111" s="634"/>
      <c r="C111" s="635"/>
      <c r="D111" s="635"/>
      <c r="E111" s="635"/>
      <c r="F111" s="635"/>
      <c r="G111" s="647"/>
      <c r="H111" s="647"/>
      <c r="I111" s="647"/>
      <c r="J111" s="268"/>
      <c r="K111" s="806"/>
    </row>
    <row r="112" spans="1:11" s="96" customFormat="1" ht="14.25">
      <c r="A112" s="634"/>
      <c r="B112" s="634"/>
      <c r="C112" s="635"/>
      <c r="D112" s="635"/>
      <c r="E112" s="635"/>
      <c r="F112" s="635"/>
      <c r="G112" s="647"/>
      <c r="H112" s="647"/>
      <c r="I112" s="647"/>
      <c r="J112" s="268"/>
      <c r="K112" s="806"/>
    </row>
    <row r="113" spans="1:11" s="96" customFormat="1" ht="14.25">
      <c r="A113" s="634"/>
      <c r="B113" s="634"/>
      <c r="C113" s="635"/>
      <c r="D113" s="635"/>
      <c r="E113" s="635"/>
      <c r="F113" s="635"/>
      <c r="G113" s="647"/>
      <c r="H113" s="647"/>
      <c r="I113" s="647"/>
      <c r="J113" s="268"/>
      <c r="K113" s="806"/>
    </row>
    <row r="114" spans="1:11" s="96" customFormat="1" ht="14.25">
      <c r="A114" s="634"/>
      <c r="B114" s="634"/>
      <c r="C114" s="635"/>
      <c r="D114" s="635"/>
      <c r="E114" s="635"/>
      <c r="F114" s="635"/>
      <c r="G114" s="647"/>
      <c r="H114" s="647"/>
      <c r="I114" s="647"/>
      <c r="J114" s="268"/>
      <c r="K114" s="806"/>
    </row>
    <row r="115" spans="1:11" s="96" customFormat="1" ht="14.25">
      <c r="A115" s="634"/>
      <c r="B115" s="634"/>
      <c r="C115" s="635"/>
      <c r="D115" s="635"/>
      <c r="E115" s="635"/>
      <c r="F115" s="635"/>
      <c r="G115" s="647"/>
      <c r="H115" s="647"/>
      <c r="I115" s="647"/>
      <c r="J115" s="268"/>
      <c r="K115" s="806"/>
    </row>
    <row r="116" spans="1:11" s="96" customFormat="1" ht="14.25">
      <c r="A116" s="634"/>
      <c r="B116" s="634"/>
      <c r="C116" s="635"/>
      <c r="D116" s="635"/>
      <c r="E116" s="635"/>
      <c r="F116" s="635"/>
      <c r="G116" s="647"/>
      <c r="H116" s="647"/>
      <c r="I116" s="647"/>
      <c r="J116" s="268"/>
      <c r="K116" s="806"/>
    </row>
    <row r="117" spans="1:11" s="96" customFormat="1" ht="14.25">
      <c r="A117" s="634"/>
      <c r="B117" s="634"/>
      <c r="C117" s="635"/>
      <c r="D117" s="635"/>
      <c r="E117" s="635"/>
      <c r="F117" s="635"/>
      <c r="G117" s="647"/>
      <c r="H117" s="647"/>
      <c r="I117" s="647"/>
      <c r="J117" s="268"/>
      <c r="K117" s="806"/>
    </row>
    <row r="118" spans="1:11" s="96" customFormat="1" ht="14.25">
      <c r="A118" s="634"/>
      <c r="B118" s="634"/>
      <c r="C118" s="635"/>
      <c r="D118" s="635"/>
      <c r="E118" s="635"/>
      <c r="F118" s="635"/>
      <c r="G118" s="647"/>
      <c r="H118" s="647"/>
      <c r="I118" s="647"/>
      <c r="J118" s="268"/>
      <c r="K118" s="806"/>
    </row>
    <row r="119" spans="1:11" s="96" customFormat="1" ht="14.25">
      <c r="A119" s="634"/>
      <c r="B119" s="634"/>
      <c r="C119" s="635"/>
      <c r="D119" s="635"/>
      <c r="E119" s="635"/>
      <c r="F119" s="635"/>
      <c r="G119" s="647"/>
      <c r="H119" s="647"/>
      <c r="I119" s="647"/>
      <c r="J119" s="268"/>
      <c r="K119" s="806"/>
    </row>
    <row r="120" spans="1:11" s="96" customFormat="1" ht="14.25">
      <c r="A120" s="634"/>
      <c r="B120" s="634"/>
      <c r="C120" s="635"/>
      <c r="D120" s="635"/>
      <c r="E120" s="635"/>
      <c r="F120" s="635"/>
      <c r="G120" s="647"/>
      <c r="H120" s="647"/>
      <c r="I120" s="647"/>
      <c r="J120" s="268"/>
      <c r="K120" s="806"/>
    </row>
    <row r="121" spans="1:11" s="96" customFormat="1" ht="14.25">
      <c r="A121" s="634"/>
      <c r="B121" s="634"/>
      <c r="C121" s="635"/>
      <c r="D121" s="635"/>
      <c r="E121" s="635"/>
      <c r="F121" s="635"/>
      <c r="G121" s="647"/>
      <c r="H121" s="647"/>
      <c r="I121" s="647"/>
      <c r="J121" s="268"/>
      <c r="K121" s="806"/>
    </row>
    <row r="122" spans="1:11" s="96" customFormat="1" ht="14.25">
      <c r="A122" s="634"/>
      <c r="B122" s="634"/>
      <c r="C122" s="635"/>
      <c r="D122" s="635"/>
      <c r="E122" s="635"/>
      <c r="F122" s="635"/>
      <c r="G122" s="647"/>
      <c r="H122" s="647"/>
      <c r="I122" s="647"/>
      <c r="J122" s="268"/>
      <c r="K122" s="806"/>
    </row>
    <row r="123" spans="1:11" s="96" customFormat="1" ht="14.25">
      <c r="A123" s="634"/>
      <c r="B123" s="634"/>
      <c r="C123" s="635"/>
      <c r="D123" s="635"/>
      <c r="E123" s="635"/>
      <c r="F123" s="635"/>
      <c r="G123" s="647"/>
      <c r="H123" s="647"/>
      <c r="I123" s="647"/>
      <c r="J123" s="268"/>
      <c r="K123" s="806"/>
    </row>
    <row r="124" spans="1:11" s="96" customFormat="1" ht="14.25">
      <c r="A124" s="634"/>
      <c r="B124" s="634"/>
      <c r="C124" s="635"/>
      <c r="D124" s="635"/>
      <c r="E124" s="635"/>
      <c r="F124" s="635"/>
      <c r="G124" s="647"/>
      <c r="H124" s="647"/>
      <c r="I124" s="647"/>
      <c r="J124" s="268"/>
      <c r="K124" s="806"/>
    </row>
    <row r="125" spans="1:11" s="96" customFormat="1" ht="14.25">
      <c r="A125" s="634"/>
      <c r="B125" s="634"/>
      <c r="C125" s="635"/>
      <c r="D125" s="635"/>
      <c r="E125" s="635"/>
      <c r="F125" s="635"/>
      <c r="G125" s="647"/>
      <c r="H125" s="647"/>
      <c r="I125" s="647"/>
      <c r="J125" s="268"/>
      <c r="K125" s="806"/>
    </row>
    <row r="126" spans="1:11" s="96" customFormat="1" ht="14.25">
      <c r="A126" s="634"/>
      <c r="B126" s="634"/>
      <c r="C126" s="635"/>
      <c r="D126" s="635"/>
      <c r="E126" s="635"/>
      <c r="F126" s="635"/>
      <c r="G126" s="647"/>
      <c r="H126" s="647"/>
      <c r="I126" s="647"/>
      <c r="J126" s="268"/>
      <c r="K126" s="806"/>
    </row>
    <row r="127" spans="1:11" s="96" customFormat="1" ht="14.25">
      <c r="A127" s="634"/>
      <c r="B127" s="634"/>
      <c r="C127" s="635"/>
      <c r="D127" s="635"/>
      <c r="E127" s="635"/>
      <c r="F127" s="635"/>
      <c r="G127" s="647"/>
      <c r="H127" s="647"/>
      <c r="I127" s="647"/>
      <c r="J127" s="268"/>
      <c r="K127" s="806"/>
    </row>
    <row r="128" spans="1:11" s="96" customFormat="1" ht="14.25">
      <c r="A128" s="634"/>
      <c r="B128" s="634"/>
      <c r="C128" s="635"/>
      <c r="D128" s="635"/>
      <c r="E128" s="635"/>
      <c r="F128" s="635"/>
      <c r="G128" s="647"/>
      <c r="H128" s="647"/>
      <c r="I128" s="647"/>
      <c r="J128" s="268"/>
      <c r="K128" s="806"/>
    </row>
    <row r="129" spans="1:11" s="96" customFormat="1" ht="14.25">
      <c r="A129" s="634"/>
      <c r="B129" s="634"/>
      <c r="C129" s="635"/>
      <c r="D129" s="635"/>
      <c r="E129" s="635"/>
      <c r="F129" s="635"/>
      <c r="G129" s="647"/>
      <c r="H129" s="647"/>
      <c r="I129" s="647"/>
      <c r="J129" s="268"/>
      <c r="K129" s="806"/>
    </row>
    <row r="130" spans="1:11" s="96" customFormat="1" ht="14.25">
      <c r="A130" s="634"/>
      <c r="B130" s="634"/>
      <c r="C130" s="635"/>
      <c r="D130" s="635"/>
      <c r="E130" s="635"/>
      <c r="F130" s="635"/>
      <c r="G130" s="647"/>
      <c r="H130" s="647"/>
      <c r="I130" s="647"/>
      <c r="J130" s="268"/>
      <c r="K130" s="806"/>
    </row>
    <row r="131" spans="1:11" s="96" customFormat="1" ht="14.25">
      <c r="A131" s="634"/>
      <c r="B131" s="634"/>
      <c r="C131" s="635"/>
      <c r="D131" s="635"/>
      <c r="E131" s="635"/>
      <c r="F131" s="635"/>
      <c r="G131" s="647"/>
      <c r="H131" s="647"/>
      <c r="I131" s="647"/>
      <c r="J131" s="268"/>
      <c r="K131" s="806"/>
    </row>
    <row r="132" spans="1:11" s="96" customFormat="1" ht="14.25">
      <c r="A132" s="634"/>
      <c r="B132" s="634"/>
      <c r="C132" s="635"/>
      <c r="D132" s="635"/>
      <c r="E132" s="635"/>
      <c r="F132" s="635"/>
      <c r="G132" s="647"/>
      <c r="H132" s="647"/>
      <c r="I132" s="647"/>
      <c r="J132" s="268"/>
      <c r="K132" s="806"/>
    </row>
    <row r="133" spans="1:11" s="96" customFormat="1" ht="14.25">
      <c r="A133" s="634"/>
      <c r="B133" s="634"/>
      <c r="C133" s="635"/>
      <c r="D133" s="635"/>
      <c r="E133" s="635"/>
      <c r="F133" s="635"/>
      <c r="G133" s="647"/>
      <c r="H133" s="647"/>
      <c r="I133" s="647"/>
      <c r="J133" s="268"/>
      <c r="K133" s="806"/>
    </row>
    <row r="134" spans="1:11" s="96" customFormat="1" ht="14.25">
      <c r="A134" s="634"/>
      <c r="B134" s="634"/>
      <c r="C134" s="635"/>
      <c r="D134" s="635"/>
      <c r="E134" s="635"/>
      <c r="F134" s="635"/>
      <c r="G134" s="647"/>
      <c r="H134" s="647"/>
      <c r="I134" s="647"/>
      <c r="J134" s="268"/>
      <c r="K134" s="806"/>
    </row>
    <row r="135" spans="1:11" s="96" customFormat="1" ht="14.25">
      <c r="A135" s="634"/>
      <c r="B135" s="634"/>
      <c r="C135" s="635"/>
      <c r="D135" s="635"/>
      <c r="E135" s="635"/>
      <c r="F135" s="635"/>
      <c r="G135" s="647"/>
      <c r="H135" s="647"/>
      <c r="I135" s="647"/>
      <c r="J135" s="268"/>
      <c r="K135" s="806"/>
    </row>
    <row r="136" spans="1:11" s="96" customFormat="1" ht="14.25">
      <c r="A136" s="634"/>
      <c r="B136" s="634"/>
      <c r="C136" s="635"/>
      <c r="D136" s="635"/>
      <c r="E136" s="635"/>
      <c r="F136" s="635"/>
      <c r="G136" s="647"/>
      <c r="H136" s="647"/>
      <c r="I136" s="647"/>
      <c r="J136" s="268"/>
      <c r="K136" s="806"/>
    </row>
  </sheetData>
  <sheetProtection/>
  <mergeCells count="83">
    <mergeCell ref="B84:E84"/>
    <mergeCell ref="B87:E87"/>
    <mergeCell ref="B89:E89"/>
    <mergeCell ref="B90:E90"/>
    <mergeCell ref="B91:E91"/>
    <mergeCell ref="B88:E88"/>
    <mergeCell ref="B79:E79"/>
    <mergeCell ref="B80:E80"/>
    <mergeCell ref="B82:E82"/>
    <mergeCell ref="B83:E83"/>
    <mergeCell ref="B55:E55"/>
    <mergeCell ref="B73:E73"/>
    <mergeCell ref="B58:E58"/>
    <mergeCell ref="B63:E63"/>
    <mergeCell ref="B67:E67"/>
    <mergeCell ref="D64:E64"/>
    <mergeCell ref="B48:E48"/>
    <mergeCell ref="B76:E76"/>
    <mergeCell ref="B53:E53"/>
    <mergeCell ref="B68:E68"/>
    <mergeCell ref="B70:E70"/>
    <mergeCell ref="B71:E71"/>
    <mergeCell ref="B52:E52"/>
    <mergeCell ref="B54:E54"/>
    <mergeCell ref="B56:E56"/>
    <mergeCell ref="B61:E61"/>
    <mergeCell ref="D39:E39"/>
    <mergeCell ref="B44:E44"/>
    <mergeCell ref="B45:E45"/>
    <mergeCell ref="B46:E46"/>
    <mergeCell ref="B33:E33"/>
    <mergeCell ref="C39:C43"/>
    <mergeCell ref="D37:E37"/>
    <mergeCell ref="D38:E38"/>
    <mergeCell ref="B62:E62"/>
    <mergeCell ref="B60:E60"/>
    <mergeCell ref="A4:I4"/>
    <mergeCell ref="D19:E19"/>
    <mergeCell ref="B21:E21"/>
    <mergeCell ref="B22:E22"/>
    <mergeCell ref="D36:E36"/>
    <mergeCell ref="B51:E51"/>
    <mergeCell ref="C9:E9"/>
    <mergeCell ref="C10:E10"/>
    <mergeCell ref="C11:E11"/>
    <mergeCell ref="C12:E12"/>
    <mergeCell ref="B7:E7"/>
    <mergeCell ref="B26:E26"/>
    <mergeCell ref="C27:E27"/>
    <mergeCell ref="C30:E30"/>
    <mergeCell ref="B20:E20"/>
    <mergeCell ref="C13:E13"/>
    <mergeCell ref="C14:E14"/>
    <mergeCell ref="A3:I3"/>
    <mergeCell ref="B6:E6"/>
    <mergeCell ref="B8:E8"/>
    <mergeCell ref="B15:E15"/>
    <mergeCell ref="B16:E16"/>
    <mergeCell ref="D34:E34"/>
    <mergeCell ref="D17:E17"/>
    <mergeCell ref="D18:E18"/>
    <mergeCell ref="B17:B19"/>
    <mergeCell ref="B34:B43"/>
    <mergeCell ref="A39:A43"/>
    <mergeCell ref="C85:E85"/>
    <mergeCell ref="C86:E86"/>
    <mergeCell ref="B69:E69"/>
    <mergeCell ref="B50:E50"/>
    <mergeCell ref="B64:B66"/>
    <mergeCell ref="B74:B75"/>
    <mergeCell ref="B57:E57"/>
    <mergeCell ref="B72:E72"/>
    <mergeCell ref="B59:E59"/>
    <mergeCell ref="A63:A66"/>
    <mergeCell ref="B92:E92"/>
    <mergeCell ref="C23:E23"/>
    <mergeCell ref="C24:E24"/>
    <mergeCell ref="C25:E25"/>
    <mergeCell ref="C29:E29"/>
    <mergeCell ref="B49:E49"/>
    <mergeCell ref="A84:A86"/>
    <mergeCell ref="B30:B32"/>
    <mergeCell ref="B81:E81"/>
  </mergeCells>
  <printOptions horizontalCentered="1" verticalCentered="1"/>
  <pageMargins left="0.63" right="0.51" top="0.46" bottom="0.48" header="0.29" footer="0.3"/>
  <pageSetup fitToHeight="1" fitToWidth="1" horizontalDpi="600" verticalDpi="600" orientation="portrait" paperSize="9" scale="50" r:id="rId1"/>
  <headerFooter alignWithMargins="0">
    <oddFooter>&amp;L&amp;F&amp;C&amp;D, 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O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4" sqref="A4:Q4"/>
      <selection pane="topRight" activeCell="A4" sqref="A4:Q4"/>
      <selection pane="bottomLeft" activeCell="A4" sqref="A4:Q4"/>
      <selection pane="bottomRight" activeCell="Q1" sqref="Q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3" width="13.875" style="96" customWidth="1"/>
    <col min="4" max="4" width="14.50390625" style="96" customWidth="1"/>
    <col min="5" max="5" width="14.00390625" style="96" customWidth="1"/>
    <col min="6" max="6" width="13.125" style="96" customWidth="1"/>
    <col min="7" max="7" width="12.875" style="96" customWidth="1"/>
    <col min="8" max="9" width="13.625" style="96" customWidth="1"/>
    <col min="10" max="10" width="14.00390625" style="96" customWidth="1"/>
    <col min="11" max="11" width="13.125" style="96" customWidth="1"/>
    <col min="12" max="12" width="14.625" style="96" customWidth="1"/>
    <col min="13" max="13" width="14.50390625" style="96" customWidth="1"/>
    <col min="14" max="14" width="14.375" style="96" customWidth="1"/>
    <col min="15" max="15" width="14.625" style="268" customWidth="1"/>
    <col min="16" max="16" width="14.50390625" style="268" customWidth="1"/>
    <col min="17" max="17" width="14.375" style="268" customWidth="1"/>
  </cols>
  <sheetData>
    <row r="1" spans="1:17" ht="10.5" customHeight="1">
      <c r="A1" s="346"/>
      <c r="B1" s="347"/>
      <c r="C1" s="347"/>
      <c r="D1" s="433"/>
      <c r="E1" s="433"/>
      <c r="F1" s="433"/>
      <c r="G1" s="433"/>
      <c r="H1" s="433"/>
      <c r="I1" s="433"/>
      <c r="J1" s="433"/>
      <c r="K1" s="433"/>
      <c r="L1" s="433"/>
      <c r="M1" s="433"/>
      <c r="O1" s="447"/>
      <c r="P1" s="447"/>
      <c r="Q1" s="940" t="s">
        <v>871</v>
      </c>
    </row>
    <row r="2" spans="1:17" ht="13.5" customHeight="1">
      <c r="A2" s="346"/>
      <c r="B2" s="347"/>
      <c r="C2" s="347"/>
      <c r="D2" s="433"/>
      <c r="E2" s="433"/>
      <c r="F2" s="433"/>
      <c r="G2" s="433"/>
      <c r="H2" s="433"/>
      <c r="I2" s="433"/>
      <c r="J2" s="433"/>
      <c r="K2" s="433"/>
      <c r="L2" s="433"/>
      <c r="M2" s="433"/>
      <c r="O2" s="447"/>
      <c r="P2" s="447"/>
      <c r="Q2" s="940" t="s">
        <v>102</v>
      </c>
    </row>
    <row r="3" spans="1:17" ht="15">
      <c r="A3" s="346"/>
      <c r="B3" s="347"/>
      <c r="C3" s="347"/>
      <c r="D3" s="433"/>
      <c r="E3" s="433"/>
      <c r="F3" s="433"/>
      <c r="G3" s="433"/>
      <c r="H3" s="433"/>
      <c r="I3" s="433"/>
      <c r="J3" s="433"/>
      <c r="K3" s="433"/>
      <c r="L3" s="433"/>
      <c r="M3" s="433"/>
      <c r="O3" s="447"/>
      <c r="P3" s="447"/>
      <c r="Q3" s="940" t="s">
        <v>155</v>
      </c>
    </row>
    <row r="4" spans="1:17" s="15" customFormat="1" ht="20.25">
      <c r="A4" s="1844" t="s">
        <v>103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</row>
    <row r="5" spans="1:17" s="15" customFormat="1" ht="18">
      <c r="A5" s="1845" t="s">
        <v>572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5"/>
      <c r="L5" s="1845"/>
      <c r="M5" s="1845"/>
      <c r="N5" s="1845"/>
      <c r="O5" s="1845"/>
      <c r="P5" s="1845"/>
      <c r="Q5" s="1845"/>
    </row>
    <row r="6" spans="1:17" ht="45" customHeight="1" thickBot="1">
      <c r="A6" s="346"/>
      <c r="B6" s="347"/>
      <c r="C6" s="979"/>
      <c r="D6" s="979"/>
      <c r="E6" s="979"/>
      <c r="F6" s="433"/>
      <c r="G6" s="433"/>
      <c r="H6" s="433"/>
      <c r="I6" s="433"/>
      <c r="J6" s="433"/>
      <c r="K6" s="433"/>
      <c r="L6" s="433"/>
      <c r="M6" s="433"/>
      <c r="N6" s="944"/>
      <c r="O6" s="447"/>
      <c r="P6" s="447"/>
      <c r="Q6" s="134" t="s">
        <v>145</v>
      </c>
    </row>
    <row r="7" spans="1:17" s="133" customFormat="1" ht="32.25" customHeight="1">
      <c r="A7" s="131" t="s">
        <v>135</v>
      </c>
      <c r="B7" s="132" t="s">
        <v>136</v>
      </c>
      <c r="C7" s="1833" t="s">
        <v>553</v>
      </c>
      <c r="D7" s="1854"/>
      <c r="E7" s="1853"/>
      <c r="F7" s="1833" t="s">
        <v>667</v>
      </c>
      <c r="G7" s="1854"/>
      <c r="H7" s="1853"/>
      <c r="I7" s="1833" t="s">
        <v>668</v>
      </c>
      <c r="J7" s="1854"/>
      <c r="K7" s="1853"/>
      <c r="L7" s="1855" t="s">
        <v>780</v>
      </c>
      <c r="M7" s="1856"/>
      <c r="N7" s="1857"/>
      <c r="O7" s="1855"/>
      <c r="P7" s="1856"/>
      <c r="Q7" s="1857"/>
    </row>
    <row r="8" spans="1:17" ht="24.75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24" t="s">
        <v>463</v>
      </c>
      <c r="P8" s="23" t="s">
        <v>139</v>
      </c>
      <c r="Q8" s="11" t="s">
        <v>665</v>
      </c>
    </row>
    <row r="9" spans="1:17" s="32" customFormat="1" ht="13.5" thickBot="1">
      <c r="A9" s="467">
        <v>1</v>
      </c>
      <c r="B9" s="467">
        <v>2</v>
      </c>
      <c r="C9" s="468">
        <v>3</v>
      </c>
      <c r="D9" s="469">
        <v>4</v>
      </c>
      <c r="E9" s="471">
        <v>5</v>
      </c>
      <c r="F9" s="469">
        <v>6</v>
      </c>
      <c r="G9" s="469">
        <v>7</v>
      </c>
      <c r="H9" s="469">
        <v>8</v>
      </c>
      <c r="I9" s="468">
        <v>9</v>
      </c>
      <c r="J9" s="469">
        <v>10</v>
      </c>
      <c r="K9" s="471">
        <v>11</v>
      </c>
      <c r="L9" s="469">
        <v>12</v>
      </c>
      <c r="M9" s="469">
        <v>13</v>
      </c>
      <c r="N9" s="471">
        <v>14</v>
      </c>
      <c r="O9" s="469">
        <v>15</v>
      </c>
      <c r="P9" s="469">
        <v>16</v>
      </c>
      <c r="Q9" s="471">
        <v>17</v>
      </c>
    </row>
    <row r="10" spans="1:17" s="32" customFormat="1" ht="16.5" thickBot="1">
      <c r="A10" s="427"/>
      <c r="B10" s="391" t="s">
        <v>140</v>
      </c>
      <c r="C10" s="428"/>
      <c r="D10" s="429"/>
      <c r="E10" s="430"/>
      <c r="F10" s="431"/>
      <c r="G10" s="432"/>
      <c r="H10" s="430"/>
      <c r="I10" s="431"/>
      <c r="J10" s="432"/>
      <c r="K10" s="430"/>
      <c r="L10" s="431"/>
      <c r="M10" s="432"/>
      <c r="N10" s="430"/>
      <c r="O10" s="431"/>
      <c r="P10" s="432"/>
      <c r="Q10" s="430"/>
    </row>
    <row r="11" spans="1:17" ht="16.5" thickBot="1">
      <c r="A11" s="357">
        <v>1</v>
      </c>
      <c r="B11" s="348" t="s">
        <v>123</v>
      </c>
      <c r="C11" s="358">
        <v>100</v>
      </c>
      <c r="D11" s="358">
        <v>2524</v>
      </c>
      <c r="E11" s="403">
        <f>SUM(C11:D11)</f>
        <v>2624</v>
      </c>
      <c r="F11" s="358"/>
      <c r="G11" s="358"/>
      <c r="H11" s="403">
        <f>SUM(F11:G11)</f>
        <v>0</v>
      </c>
      <c r="I11" s="358"/>
      <c r="J11" s="358"/>
      <c r="K11" s="403">
        <f aca="true" t="shared" si="0" ref="K11:K16">SUM(I11:J11)</f>
        <v>0</v>
      </c>
      <c r="L11" s="358"/>
      <c r="M11" s="358"/>
      <c r="N11" s="403">
        <f aca="true" t="shared" si="1" ref="N11:N16">SUM(L11:M11)</f>
        <v>0</v>
      </c>
      <c r="O11" s="434"/>
      <c r="P11" s="434"/>
      <c r="Q11" s="435">
        <f aca="true" t="shared" si="2" ref="Q11:Q16">SUM(O11:P11)</f>
        <v>0</v>
      </c>
    </row>
    <row r="12" spans="1:17" s="28" customFormat="1" ht="16.5" thickBot="1">
      <c r="A12" s="361">
        <v>2</v>
      </c>
      <c r="B12" s="980" t="s">
        <v>213</v>
      </c>
      <c r="C12" s="360">
        <v>18</v>
      </c>
      <c r="D12" s="358">
        <v>609</v>
      </c>
      <c r="E12" s="403">
        <f>SUM(C12:D12)</f>
        <v>627</v>
      </c>
      <c r="F12" s="360"/>
      <c r="G12" s="358"/>
      <c r="H12" s="403">
        <f>SUM(F12:G12)</f>
        <v>0</v>
      </c>
      <c r="I12" s="360"/>
      <c r="J12" s="358"/>
      <c r="K12" s="403">
        <f t="shared" si="0"/>
        <v>0</v>
      </c>
      <c r="L12" s="360"/>
      <c r="M12" s="358"/>
      <c r="N12" s="403">
        <f t="shared" si="1"/>
        <v>0</v>
      </c>
      <c r="O12" s="434"/>
      <c r="P12" s="434"/>
      <c r="Q12" s="435">
        <f t="shared" si="2"/>
        <v>0</v>
      </c>
    </row>
    <row r="13" spans="1:17" s="15" customFormat="1" ht="16.5" thickBot="1">
      <c r="A13" s="361">
        <v>3</v>
      </c>
      <c r="B13" s="348" t="s">
        <v>126</v>
      </c>
      <c r="C13" s="360">
        <v>19081</v>
      </c>
      <c r="D13" s="358">
        <v>49794</v>
      </c>
      <c r="E13" s="403">
        <f>SUM(C13:D13)</f>
        <v>68875</v>
      </c>
      <c r="F13" s="358"/>
      <c r="G13" s="358">
        <v>221</v>
      </c>
      <c r="H13" s="403">
        <f>SUM(F13:G13)</f>
        <v>221</v>
      </c>
      <c r="I13" s="358"/>
      <c r="J13" s="358"/>
      <c r="K13" s="403">
        <f t="shared" si="0"/>
        <v>0</v>
      </c>
      <c r="L13" s="358">
        <v>1498</v>
      </c>
      <c r="M13" s="358">
        <v>8154</v>
      </c>
      <c r="N13" s="403">
        <f t="shared" si="1"/>
        <v>9652</v>
      </c>
      <c r="O13" s="434"/>
      <c r="P13" s="434"/>
      <c r="Q13" s="435">
        <f t="shared" si="2"/>
        <v>0</v>
      </c>
    </row>
    <row r="14" spans="1:17" s="15" customFormat="1" ht="16.5" thickBot="1">
      <c r="A14" s="361">
        <v>4</v>
      </c>
      <c r="B14" s="348" t="s">
        <v>180</v>
      </c>
      <c r="C14" s="360"/>
      <c r="D14" s="360"/>
      <c r="E14" s="364">
        <f>SUM(C14:D14)</f>
        <v>0</v>
      </c>
      <c r="F14" s="360"/>
      <c r="G14" s="360"/>
      <c r="H14" s="364">
        <f>SUM(F14:G14)</f>
        <v>0</v>
      </c>
      <c r="I14" s="360"/>
      <c r="J14" s="360"/>
      <c r="K14" s="364">
        <f t="shared" si="0"/>
        <v>0</v>
      </c>
      <c r="L14" s="360"/>
      <c r="M14" s="360"/>
      <c r="N14" s="364">
        <f t="shared" si="1"/>
        <v>0</v>
      </c>
      <c r="O14" s="363"/>
      <c r="P14" s="360"/>
      <c r="Q14" s="364">
        <f t="shared" si="2"/>
        <v>0</v>
      </c>
    </row>
    <row r="15" spans="1:17" ht="15">
      <c r="A15" s="171" t="s">
        <v>108</v>
      </c>
      <c r="B15" s="160" t="s">
        <v>405</v>
      </c>
      <c r="C15" s="256"/>
      <c r="D15" s="256"/>
      <c r="E15" s="436">
        <f>C15+D15</f>
        <v>0</v>
      </c>
      <c r="F15" s="256"/>
      <c r="G15" s="256"/>
      <c r="H15" s="436">
        <f>F15+G15</f>
        <v>0</v>
      </c>
      <c r="I15" s="256"/>
      <c r="J15" s="256"/>
      <c r="K15" s="436">
        <f t="shared" si="0"/>
        <v>0</v>
      </c>
      <c r="L15" s="256"/>
      <c r="M15" s="256"/>
      <c r="N15" s="436">
        <f t="shared" si="1"/>
        <v>0</v>
      </c>
      <c r="O15" s="437"/>
      <c r="P15" s="437"/>
      <c r="Q15" s="438">
        <f t="shared" si="2"/>
        <v>0</v>
      </c>
    </row>
    <row r="16" spans="1:17" ht="15">
      <c r="A16" s="168" t="s">
        <v>109</v>
      </c>
      <c r="B16" s="164" t="s">
        <v>406</v>
      </c>
      <c r="C16" s="154"/>
      <c r="D16" s="154"/>
      <c r="E16" s="436">
        <f>C16+D16</f>
        <v>0</v>
      </c>
      <c r="F16" s="154"/>
      <c r="G16" s="154"/>
      <c r="H16" s="436">
        <f>F16+G16</f>
        <v>0</v>
      </c>
      <c r="I16" s="154"/>
      <c r="J16" s="154"/>
      <c r="K16" s="436">
        <f t="shared" si="0"/>
        <v>0</v>
      </c>
      <c r="L16" s="154"/>
      <c r="M16" s="154"/>
      <c r="N16" s="436">
        <f t="shared" si="1"/>
        <v>0</v>
      </c>
      <c r="O16" s="439"/>
      <c r="P16" s="439"/>
      <c r="Q16" s="438">
        <f t="shared" si="2"/>
        <v>0</v>
      </c>
    </row>
    <row r="17" spans="1:17" ht="15">
      <c r="A17" s="168" t="s">
        <v>110</v>
      </c>
      <c r="B17" s="164" t="s">
        <v>407</v>
      </c>
      <c r="C17" s="154"/>
      <c r="D17" s="154"/>
      <c r="E17" s="436">
        <f aca="true" t="shared" si="3" ref="E17:E22">C17+D17</f>
        <v>0</v>
      </c>
      <c r="F17" s="154"/>
      <c r="G17" s="154"/>
      <c r="H17" s="436">
        <f aca="true" t="shared" si="4" ref="H17:H22">F17+G17</f>
        <v>0</v>
      </c>
      <c r="I17" s="154"/>
      <c r="J17" s="154"/>
      <c r="K17" s="436">
        <f aca="true" t="shared" si="5" ref="K17:K22">SUM(I17:J17)</f>
        <v>0</v>
      </c>
      <c r="L17" s="154"/>
      <c r="M17" s="154"/>
      <c r="N17" s="436">
        <f aca="true" t="shared" si="6" ref="N17:N22">SUM(L17:M17)</f>
        <v>0</v>
      </c>
      <c r="O17" s="439"/>
      <c r="P17" s="439"/>
      <c r="Q17" s="438">
        <f aca="true" t="shared" si="7" ref="Q17:Q22">SUM(O17:P17)</f>
        <v>0</v>
      </c>
    </row>
    <row r="18" spans="1:17" ht="15">
      <c r="A18" s="168" t="s">
        <v>111</v>
      </c>
      <c r="B18" s="164" t="s">
        <v>408</v>
      </c>
      <c r="C18" s="158">
        <v>1972</v>
      </c>
      <c r="D18" s="154"/>
      <c r="E18" s="436">
        <f t="shared" si="3"/>
        <v>1972</v>
      </c>
      <c r="F18" s="154"/>
      <c r="G18" s="154"/>
      <c r="H18" s="436">
        <f t="shared" si="4"/>
        <v>0</v>
      </c>
      <c r="I18" s="154"/>
      <c r="J18" s="154"/>
      <c r="K18" s="436">
        <f t="shared" si="5"/>
        <v>0</v>
      </c>
      <c r="L18" s="154"/>
      <c r="M18" s="154"/>
      <c r="N18" s="436">
        <f t="shared" si="6"/>
        <v>0</v>
      </c>
      <c r="O18" s="439"/>
      <c r="P18" s="439"/>
      <c r="Q18" s="438">
        <f t="shared" si="7"/>
        <v>0</v>
      </c>
    </row>
    <row r="19" spans="1:17" ht="15">
      <c r="A19" s="163" t="s">
        <v>202</v>
      </c>
      <c r="B19" s="164" t="s">
        <v>409</v>
      </c>
      <c r="C19" s="158"/>
      <c r="D19" s="154"/>
      <c r="E19" s="436">
        <f>C19+D19</f>
        <v>0</v>
      </c>
      <c r="F19" s="154"/>
      <c r="G19" s="154"/>
      <c r="H19" s="436">
        <f>F19+G19</f>
        <v>0</v>
      </c>
      <c r="I19" s="154"/>
      <c r="J19" s="154"/>
      <c r="K19" s="436">
        <f>SUM(I19:J19)</f>
        <v>0</v>
      </c>
      <c r="L19" s="154"/>
      <c r="M19" s="154"/>
      <c r="N19" s="436">
        <f>SUM(L19:M19)</f>
        <v>0</v>
      </c>
      <c r="O19" s="439"/>
      <c r="P19" s="439"/>
      <c r="Q19" s="438">
        <f>SUM(O19:P19)</f>
        <v>0</v>
      </c>
    </row>
    <row r="20" spans="1:17" ht="15">
      <c r="A20" s="163" t="s">
        <v>359</v>
      </c>
      <c r="B20" s="164" t="s">
        <v>410</v>
      </c>
      <c r="C20" s="158"/>
      <c r="D20" s="154"/>
      <c r="E20" s="436">
        <f t="shared" si="3"/>
        <v>0</v>
      </c>
      <c r="F20" s="154"/>
      <c r="G20" s="154"/>
      <c r="H20" s="436">
        <f t="shared" si="4"/>
        <v>0</v>
      </c>
      <c r="I20" s="154"/>
      <c r="J20" s="154"/>
      <c r="K20" s="436">
        <f t="shared" si="5"/>
        <v>0</v>
      </c>
      <c r="L20" s="154"/>
      <c r="M20" s="154"/>
      <c r="N20" s="436">
        <f t="shared" si="6"/>
        <v>0</v>
      </c>
      <c r="O20" s="439"/>
      <c r="P20" s="439"/>
      <c r="Q20" s="438">
        <f t="shared" si="7"/>
        <v>0</v>
      </c>
    </row>
    <row r="21" spans="1:17" ht="15">
      <c r="A21" s="163" t="s">
        <v>361</v>
      </c>
      <c r="B21" s="164" t="s">
        <v>411</v>
      </c>
      <c r="C21" s="273"/>
      <c r="D21" s="256"/>
      <c r="E21" s="436">
        <f>C21+D21</f>
        <v>0</v>
      </c>
      <c r="F21" s="349"/>
      <c r="G21" s="154"/>
      <c r="H21" s="258">
        <f t="shared" si="4"/>
        <v>0</v>
      </c>
      <c r="I21" s="256"/>
      <c r="J21" s="256">
        <v>1132</v>
      </c>
      <c r="K21" s="436">
        <f t="shared" si="5"/>
        <v>1132</v>
      </c>
      <c r="L21" s="349"/>
      <c r="M21" s="154"/>
      <c r="N21" s="258">
        <f t="shared" si="6"/>
        <v>0</v>
      </c>
      <c r="O21" s="437"/>
      <c r="P21" s="437"/>
      <c r="Q21" s="438">
        <f t="shared" si="7"/>
        <v>0</v>
      </c>
    </row>
    <row r="22" spans="1:17" ht="15" customHeight="1" thickBot="1">
      <c r="A22" s="16" t="s">
        <v>74</v>
      </c>
      <c r="B22" s="378" t="s">
        <v>412</v>
      </c>
      <c r="C22" s="165"/>
      <c r="D22" s="166"/>
      <c r="E22" s="436">
        <f t="shared" si="3"/>
        <v>0</v>
      </c>
      <c r="F22" s="351"/>
      <c r="G22" s="166"/>
      <c r="H22" s="258">
        <f t="shared" si="4"/>
        <v>0</v>
      </c>
      <c r="I22" s="351"/>
      <c r="J22" s="166"/>
      <c r="K22" s="258">
        <f t="shared" si="5"/>
        <v>0</v>
      </c>
      <c r="L22" s="351"/>
      <c r="M22" s="166"/>
      <c r="N22" s="258">
        <f t="shared" si="6"/>
        <v>0</v>
      </c>
      <c r="O22" s="1250"/>
      <c r="P22" s="440"/>
      <c r="Q22" s="1221">
        <f t="shared" si="7"/>
        <v>0</v>
      </c>
    </row>
    <row r="23" spans="1:17" s="15" customFormat="1" ht="16.5" thickBot="1">
      <c r="A23" s="361">
        <v>5</v>
      </c>
      <c r="B23" s="348" t="s">
        <v>179</v>
      </c>
      <c r="C23" s="363">
        <f aca="true" t="shared" si="8" ref="C23:Q23">SUM(C15:C22)</f>
        <v>1972</v>
      </c>
      <c r="D23" s="360">
        <f t="shared" si="8"/>
        <v>0</v>
      </c>
      <c r="E23" s="364">
        <f t="shared" si="8"/>
        <v>1972</v>
      </c>
      <c r="F23" s="374">
        <f t="shared" si="8"/>
        <v>0</v>
      </c>
      <c r="G23" s="358">
        <f t="shared" si="8"/>
        <v>0</v>
      </c>
      <c r="H23" s="374">
        <f t="shared" si="8"/>
        <v>0</v>
      </c>
      <c r="I23" s="392">
        <f t="shared" si="8"/>
        <v>0</v>
      </c>
      <c r="J23" s="358">
        <f t="shared" si="8"/>
        <v>1132</v>
      </c>
      <c r="K23" s="364">
        <f t="shared" si="8"/>
        <v>1132</v>
      </c>
      <c r="L23" s="392">
        <f t="shared" si="8"/>
        <v>0</v>
      </c>
      <c r="M23" s="358">
        <f t="shared" si="8"/>
        <v>0</v>
      </c>
      <c r="N23" s="364">
        <f t="shared" si="8"/>
        <v>0</v>
      </c>
      <c r="O23" s="392">
        <f t="shared" si="8"/>
        <v>0</v>
      </c>
      <c r="P23" s="358">
        <f t="shared" si="8"/>
        <v>0</v>
      </c>
      <c r="Q23" s="364">
        <f t="shared" si="8"/>
        <v>0</v>
      </c>
    </row>
    <row r="24" spans="1:17" ht="16.5" thickBot="1">
      <c r="A24" s="357">
        <v>6</v>
      </c>
      <c r="B24" s="348" t="s">
        <v>182</v>
      </c>
      <c r="C24" s="358">
        <v>12</v>
      </c>
      <c r="D24" s="358"/>
      <c r="E24" s="403">
        <f aca="true" t="shared" si="9" ref="E24:E30">SUM(C24:D24)</f>
        <v>12</v>
      </c>
      <c r="F24" s="362">
        <v>174988</v>
      </c>
      <c r="G24" s="358">
        <v>199779</v>
      </c>
      <c r="H24" s="364">
        <f aca="true" t="shared" si="10" ref="H24:H30">SUM(F24:G24)</f>
        <v>374767</v>
      </c>
      <c r="I24" s="362">
        <v>105178</v>
      </c>
      <c r="J24" s="358">
        <v>84817</v>
      </c>
      <c r="K24" s="364">
        <f aca="true" t="shared" si="11" ref="K24:K30">SUM(I24:J24)</f>
        <v>189995</v>
      </c>
      <c r="L24" s="362">
        <v>75342</v>
      </c>
      <c r="M24" s="358">
        <v>43006</v>
      </c>
      <c r="N24" s="374">
        <f aca="true" t="shared" si="12" ref="N24:N30">SUM(L24:M24)</f>
        <v>118348</v>
      </c>
      <c r="O24" s="1234"/>
      <c r="P24" s="434"/>
      <c r="Q24" s="1222">
        <f aca="true" t="shared" si="13" ref="Q24:Q30">SUM(O24:P24)</f>
        <v>0</v>
      </c>
    </row>
    <row r="25" spans="1:17" s="15" customFormat="1" ht="16.5" thickBot="1">
      <c r="A25" s="357">
        <v>7</v>
      </c>
      <c r="B25" s="348" t="s">
        <v>464</v>
      </c>
      <c r="C25" s="358"/>
      <c r="D25" s="358"/>
      <c r="E25" s="403">
        <f t="shared" si="9"/>
        <v>0</v>
      </c>
      <c r="F25" s="362"/>
      <c r="G25" s="358"/>
      <c r="H25" s="374">
        <f t="shared" si="10"/>
        <v>0</v>
      </c>
      <c r="I25" s="392"/>
      <c r="J25" s="358"/>
      <c r="K25" s="364">
        <f t="shared" si="11"/>
        <v>0</v>
      </c>
      <c r="L25" s="374"/>
      <c r="M25" s="358"/>
      <c r="N25" s="374">
        <f t="shared" si="12"/>
        <v>0</v>
      </c>
      <c r="O25" s="1234"/>
      <c r="P25" s="434"/>
      <c r="Q25" s="1222">
        <f t="shared" si="13"/>
        <v>0</v>
      </c>
    </row>
    <row r="26" spans="1:17" ht="15">
      <c r="A26" s="171" t="s">
        <v>108</v>
      </c>
      <c r="B26" s="164" t="s">
        <v>413</v>
      </c>
      <c r="C26" s="256"/>
      <c r="D26" s="256"/>
      <c r="E26" s="436">
        <f t="shared" si="9"/>
        <v>0</v>
      </c>
      <c r="F26" s="349"/>
      <c r="G26" s="256"/>
      <c r="H26" s="258">
        <f t="shared" si="10"/>
        <v>0</v>
      </c>
      <c r="I26" s="349"/>
      <c r="J26" s="256"/>
      <c r="K26" s="258">
        <f t="shared" si="11"/>
        <v>0</v>
      </c>
      <c r="L26" s="349"/>
      <c r="M26" s="256"/>
      <c r="N26" s="934">
        <f t="shared" si="12"/>
        <v>0</v>
      </c>
      <c r="O26" s="1232"/>
      <c r="P26" s="437"/>
      <c r="Q26" s="1221">
        <f t="shared" si="13"/>
        <v>0</v>
      </c>
    </row>
    <row r="27" spans="1:17" ht="15">
      <c r="A27" s="171" t="s">
        <v>109</v>
      </c>
      <c r="B27" s="164" t="s">
        <v>414</v>
      </c>
      <c r="C27" s="349"/>
      <c r="D27" s="154"/>
      <c r="E27" s="258">
        <f t="shared" si="9"/>
        <v>0</v>
      </c>
      <c r="F27" s="349"/>
      <c r="G27" s="256"/>
      <c r="H27" s="258">
        <f t="shared" si="10"/>
        <v>0</v>
      </c>
      <c r="I27" s="349"/>
      <c r="J27" s="256"/>
      <c r="K27" s="258">
        <f t="shared" si="11"/>
        <v>0</v>
      </c>
      <c r="L27" s="349"/>
      <c r="M27" s="256"/>
      <c r="N27" s="934">
        <f t="shared" si="12"/>
        <v>0</v>
      </c>
      <c r="O27" s="1232"/>
      <c r="P27" s="437"/>
      <c r="Q27" s="1221">
        <f t="shared" si="13"/>
        <v>0</v>
      </c>
    </row>
    <row r="28" spans="1:17" ht="15">
      <c r="A28" s="171" t="s">
        <v>110</v>
      </c>
      <c r="B28" s="164" t="s">
        <v>415</v>
      </c>
      <c r="C28" s="349"/>
      <c r="D28" s="256"/>
      <c r="E28" s="258">
        <f t="shared" si="9"/>
        <v>0</v>
      </c>
      <c r="F28" s="349"/>
      <c r="G28" s="256"/>
      <c r="H28" s="258">
        <f t="shared" si="10"/>
        <v>0</v>
      </c>
      <c r="I28" s="349"/>
      <c r="J28" s="256"/>
      <c r="K28" s="258">
        <f t="shared" si="11"/>
        <v>0</v>
      </c>
      <c r="L28" s="349"/>
      <c r="M28" s="256"/>
      <c r="N28" s="934">
        <f t="shared" si="12"/>
        <v>0</v>
      </c>
      <c r="O28" s="1232"/>
      <c r="P28" s="437"/>
      <c r="Q28" s="1221">
        <f t="shared" si="13"/>
        <v>0</v>
      </c>
    </row>
    <row r="29" spans="1:17" ht="15">
      <c r="A29" s="171" t="s">
        <v>111</v>
      </c>
      <c r="B29" s="164" t="s">
        <v>416</v>
      </c>
      <c r="C29" s="349"/>
      <c r="D29" s="256"/>
      <c r="E29" s="258">
        <f t="shared" si="9"/>
        <v>0</v>
      </c>
      <c r="F29" s="349"/>
      <c r="G29" s="256"/>
      <c r="H29" s="258">
        <f t="shared" si="10"/>
        <v>0</v>
      </c>
      <c r="I29" s="349"/>
      <c r="J29" s="256"/>
      <c r="K29" s="258">
        <f t="shared" si="11"/>
        <v>0</v>
      </c>
      <c r="L29" s="349"/>
      <c r="M29" s="256"/>
      <c r="N29" s="934">
        <f t="shared" si="12"/>
        <v>0</v>
      </c>
      <c r="O29" s="1232"/>
      <c r="P29" s="437"/>
      <c r="Q29" s="1221">
        <f t="shared" si="13"/>
        <v>0</v>
      </c>
    </row>
    <row r="30" spans="1:17" ht="15.75" thickBot="1">
      <c r="A30" s="379" t="s">
        <v>202</v>
      </c>
      <c r="B30" s="164" t="s">
        <v>417</v>
      </c>
      <c r="C30" s="373"/>
      <c r="D30" s="365"/>
      <c r="E30" s="368">
        <f t="shared" si="9"/>
        <v>0</v>
      </c>
      <c r="F30" s="373"/>
      <c r="G30" s="365"/>
      <c r="H30" s="368">
        <f t="shared" si="10"/>
        <v>0</v>
      </c>
      <c r="I30" s="373"/>
      <c r="J30" s="365"/>
      <c r="K30" s="368">
        <f t="shared" si="11"/>
        <v>0</v>
      </c>
      <c r="L30" s="373"/>
      <c r="M30" s="365"/>
      <c r="N30" s="172">
        <f t="shared" si="12"/>
        <v>0</v>
      </c>
      <c r="O30" s="1235"/>
      <c r="P30" s="443"/>
      <c r="Q30" s="1223">
        <f t="shared" si="13"/>
        <v>0</v>
      </c>
    </row>
    <row r="31" spans="1:17" s="15" customFormat="1" ht="16.5" thickBot="1">
      <c r="A31" s="357">
        <v>8</v>
      </c>
      <c r="B31" s="348" t="s">
        <v>181</v>
      </c>
      <c r="C31" s="392">
        <f aca="true" t="shared" si="14" ref="C31:Q31">SUM(C26:C30)</f>
        <v>0</v>
      </c>
      <c r="D31" s="358">
        <f t="shared" si="14"/>
        <v>0</v>
      </c>
      <c r="E31" s="364">
        <f t="shared" si="14"/>
        <v>0</v>
      </c>
      <c r="F31" s="374">
        <f t="shared" si="14"/>
        <v>0</v>
      </c>
      <c r="G31" s="358">
        <f t="shared" si="14"/>
        <v>0</v>
      </c>
      <c r="H31" s="374">
        <f t="shared" si="14"/>
        <v>0</v>
      </c>
      <c r="I31" s="392">
        <f t="shared" si="14"/>
        <v>0</v>
      </c>
      <c r="J31" s="358">
        <f t="shared" si="14"/>
        <v>0</v>
      </c>
      <c r="K31" s="364">
        <f t="shared" si="14"/>
        <v>0</v>
      </c>
      <c r="L31" s="392">
        <f t="shared" si="14"/>
        <v>0</v>
      </c>
      <c r="M31" s="358">
        <f t="shared" si="14"/>
        <v>0</v>
      </c>
      <c r="N31" s="374">
        <f t="shared" si="14"/>
        <v>0</v>
      </c>
      <c r="O31" s="392">
        <f t="shared" si="14"/>
        <v>0</v>
      </c>
      <c r="P31" s="358">
        <f t="shared" si="14"/>
        <v>0</v>
      </c>
      <c r="Q31" s="364">
        <f t="shared" si="14"/>
        <v>0</v>
      </c>
    </row>
    <row r="32" spans="1:17" ht="16.5" thickBot="1">
      <c r="A32" s="357">
        <v>9</v>
      </c>
      <c r="B32" s="348" t="s">
        <v>187</v>
      </c>
      <c r="C32" s="362"/>
      <c r="D32" s="358"/>
      <c r="E32" s="364">
        <f>SUM(C32:D32)</f>
        <v>0</v>
      </c>
      <c r="F32" s="362"/>
      <c r="G32" s="358"/>
      <c r="H32" s="364">
        <f>SUM(F32:G32)</f>
        <v>0</v>
      </c>
      <c r="I32" s="362"/>
      <c r="J32" s="358"/>
      <c r="K32" s="364">
        <f>SUM(I32:J32)</f>
        <v>0</v>
      </c>
      <c r="L32" s="362"/>
      <c r="M32" s="358"/>
      <c r="N32" s="374">
        <f>SUM(L32:M32)</f>
        <v>0</v>
      </c>
      <c r="O32" s="1234"/>
      <c r="P32" s="434"/>
      <c r="Q32" s="1222">
        <f>SUM(O32:P32)</f>
        <v>0</v>
      </c>
    </row>
    <row r="33" spans="1:21" s="37" customFormat="1" ht="16.5" thickBot="1">
      <c r="A33" s="412">
        <v>10</v>
      </c>
      <c r="B33" s="981"/>
      <c r="C33" s="173"/>
      <c r="D33" s="414"/>
      <c r="E33" s="1212">
        <f>SUM(C33:D33)</f>
        <v>0</v>
      </c>
      <c r="F33" s="173"/>
      <c r="G33" s="414"/>
      <c r="H33" s="1212">
        <f>SUM(F33:G33)</f>
        <v>0</v>
      </c>
      <c r="I33" s="173"/>
      <c r="J33" s="414"/>
      <c r="K33" s="1212">
        <f>SUM(I33:J33)</f>
        <v>0</v>
      </c>
      <c r="L33" s="173"/>
      <c r="M33" s="414"/>
      <c r="N33" s="336">
        <f>SUM(L33:M33)</f>
        <v>0</v>
      </c>
      <c r="O33" s="173"/>
      <c r="P33" s="414"/>
      <c r="Q33" s="1212">
        <f>SUM(O33:P33)</f>
        <v>0</v>
      </c>
      <c r="R33" s="35"/>
      <c r="S33" s="35"/>
      <c r="T33" s="35"/>
      <c r="U33" s="35"/>
    </row>
    <row r="34" spans="1:93" s="38" customFormat="1" ht="17.25" thickBot="1" thickTop="1">
      <c r="A34" s="387" t="s">
        <v>118</v>
      </c>
      <c r="B34" s="411" t="s">
        <v>188</v>
      </c>
      <c r="C34" s="410">
        <f aca="true" t="shared" si="15" ref="C34:Q34">C11+C12+C13+C23+C14+C31+C25+C24+C32+C33</f>
        <v>21183</v>
      </c>
      <c r="D34" s="388">
        <f t="shared" si="15"/>
        <v>52927</v>
      </c>
      <c r="E34" s="824">
        <f t="shared" si="15"/>
        <v>74110</v>
      </c>
      <c r="F34" s="410">
        <f t="shared" si="15"/>
        <v>174988</v>
      </c>
      <c r="G34" s="388">
        <f t="shared" si="15"/>
        <v>200000</v>
      </c>
      <c r="H34" s="824">
        <f t="shared" si="15"/>
        <v>374988</v>
      </c>
      <c r="I34" s="410">
        <f t="shared" si="15"/>
        <v>105178</v>
      </c>
      <c r="J34" s="388">
        <f t="shared" si="15"/>
        <v>85949</v>
      </c>
      <c r="K34" s="824">
        <f t="shared" si="15"/>
        <v>191127</v>
      </c>
      <c r="L34" s="410">
        <f t="shared" si="15"/>
        <v>76840</v>
      </c>
      <c r="M34" s="388">
        <f t="shared" si="15"/>
        <v>51160</v>
      </c>
      <c r="N34" s="824">
        <f t="shared" si="15"/>
        <v>128000</v>
      </c>
      <c r="O34" s="410">
        <f t="shared" si="15"/>
        <v>0</v>
      </c>
      <c r="P34" s="388">
        <f t="shared" si="15"/>
        <v>0</v>
      </c>
      <c r="Q34" s="421">
        <f t="shared" si="15"/>
        <v>0</v>
      </c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</row>
    <row r="35" spans="1:93" ht="17.25" thickBot="1" thickTop="1">
      <c r="A35" s="159"/>
      <c r="B35" s="391" t="s">
        <v>142</v>
      </c>
      <c r="C35" s="1182"/>
      <c r="D35" s="345"/>
      <c r="E35" s="1213"/>
      <c r="F35" s="935"/>
      <c r="G35" s="345"/>
      <c r="H35" s="1213"/>
      <c r="I35" s="983"/>
      <c r="J35" s="345"/>
      <c r="K35" s="1213"/>
      <c r="L35" s="983"/>
      <c r="M35" s="345"/>
      <c r="N35" s="935"/>
      <c r="O35" s="1182"/>
      <c r="P35" s="345"/>
      <c r="Q35" s="1213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</row>
    <row r="36" spans="1:17" s="808" customFormat="1" ht="15">
      <c r="A36" s="815" t="s">
        <v>108</v>
      </c>
      <c r="B36" s="816" t="s">
        <v>418</v>
      </c>
      <c r="C36" s="1190"/>
      <c r="D36" s="817"/>
      <c r="E36" s="822">
        <f>SUM(C36:D36)</f>
        <v>0</v>
      </c>
      <c r="F36" s="821"/>
      <c r="G36" s="817"/>
      <c r="H36" s="822">
        <f>SUM(F36:G36)</f>
        <v>0</v>
      </c>
      <c r="I36" s="1190"/>
      <c r="J36" s="817"/>
      <c r="K36" s="822">
        <f>SUM(I36:J36)</f>
        <v>0</v>
      </c>
      <c r="L36" s="1190"/>
      <c r="M36" s="817"/>
      <c r="N36" s="821">
        <f>SUM(L36:M36)</f>
        <v>0</v>
      </c>
      <c r="O36" s="1236"/>
      <c r="P36" s="820"/>
      <c r="Q36" s="1224">
        <f>SUM(O36:P36)</f>
        <v>0</v>
      </c>
    </row>
    <row r="37" spans="1:17" s="808" customFormat="1" ht="15">
      <c r="A37" s="168" t="s">
        <v>109</v>
      </c>
      <c r="B37" s="164" t="s">
        <v>259</v>
      </c>
      <c r="C37" s="954"/>
      <c r="D37" s="154"/>
      <c r="E37" s="177">
        <f>SUM(C37:D37)</f>
        <v>0</v>
      </c>
      <c r="F37" s="932"/>
      <c r="G37" s="154"/>
      <c r="H37" s="177">
        <f>SUM(F37:G37)</f>
        <v>0</v>
      </c>
      <c r="I37" s="954"/>
      <c r="J37" s="154"/>
      <c r="K37" s="177">
        <f>SUM(I37:J37)</f>
        <v>0</v>
      </c>
      <c r="L37" s="954"/>
      <c r="M37" s="154"/>
      <c r="N37" s="932">
        <f>SUM(L37:M37)</f>
        <v>0</v>
      </c>
      <c r="O37" s="1231"/>
      <c r="P37" s="439"/>
      <c r="Q37" s="1225">
        <f>SUM(O37:P37)</f>
        <v>0</v>
      </c>
    </row>
    <row r="38" spans="1:17" s="808" customFormat="1" ht="15">
      <c r="A38" s="379" t="s">
        <v>110</v>
      </c>
      <c r="B38" s="157" t="s">
        <v>419</v>
      </c>
      <c r="C38" s="1181"/>
      <c r="D38" s="365"/>
      <c r="E38" s="368">
        <f>SUM(C38:D38)</f>
        <v>0</v>
      </c>
      <c r="F38" s="172"/>
      <c r="G38" s="365"/>
      <c r="H38" s="368">
        <f>SUM(F38:G38)</f>
        <v>0</v>
      </c>
      <c r="I38" s="1181"/>
      <c r="J38" s="365"/>
      <c r="K38" s="368">
        <f>SUM(I38:J38)</f>
        <v>0</v>
      </c>
      <c r="L38" s="1181"/>
      <c r="M38" s="365"/>
      <c r="N38" s="172">
        <f>SUM(L38:M38)</f>
        <v>0</v>
      </c>
      <c r="O38" s="1235"/>
      <c r="P38" s="443"/>
      <c r="Q38" s="1223">
        <f>SUM(O38:P38)</f>
        <v>0</v>
      </c>
    </row>
    <row r="39" spans="1:17" s="808" customFormat="1" ht="15.75" thickBot="1">
      <c r="A39" s="169" t="s">
        <v>111</v>
      </c>
      <c r="B39" s="170" t="s">
        <v>423</v>
      </c>
      <c r="C39" s="955"/>
      <c r="D39" s="166">
        <v>46304</v>
      </c>
      <c r="E39" s="272">
        <f>SUM(C39:D39)</f>
        <v>46304</v>
      </c>
      <c r="F39" s="933"/>
      <c r="G39" s="166"/>
      <c r="H39" s="272">
        <f>SUM(F39:G39)</f>
        <v>0</v>
      </c>
      <c r="I39" s="955"/>
      <c r="J39" s="166"/>
      <c r="K39" s="272">
        <f>SUM(I39:J39)</f>
        <v>0</v>
      </c>
      <c r="L39" s="955"/>
      <c r="M39" s="166"/>
      <c r="N39" s="933">
        <f>SUM(L39:M39)</f>
        <v>0</v>
      </c>
      <c r="O39" s="1233"/>
      <c r="P39" s="440"/>
      <c r="Q39" s="1226">
        <f>SUM(O39:P39)</f>
        <v>0</v>
      </c>
    </row>
    <row r="40" spans="1:17" s="15" customFormat="1" ht="16.5" thickBot="1">
      <c r="A40" s="357">
        <v>1</v>
      </c>
      <c r="B40" s="348" t="s">
        <v>185</v>
      </c>
      <c r="C40" s="392">
        <f aca="true" t="shared" si="16" ref="C40:Q40">SUM(C36:C39)</f>
        <v>0</v>
      </c>
      <c r="D40" s="358">
        <f t="shared" si="16"/>
        <v>46304</v>
      </c>
      <c r="E40" s="364">
        <f t="shared" si="16"/>
        <v>46304</v>
      </c>
      <c r="F40" s="392">
        <f t="shared" si="16"/>
        <v>0</v>
      </c>
      <c r="G40" s="358">
        <f t="shared" si="16"/>
        <v>0</v>
      </c>
      <c r="H40" s="364">
        <f t="shared" si="16"/>
        <v>0</v>
      </c>
      <c r="I40" s="392">
        <f t="shared" si="16"/>
        <v>0</v>
      </c>
      <c r="J40" s="358">
        <f t="shared" si="16"/>
        <v>0</v>
      </c>
      <c r="K40" s="364">
        <f t="shared" si="16"/>
        <v>0</v>
      </c>
      <c r="L40" s="392">
        <f t="shared" si="16"/>
        <v>0</v>
      </c>
      <c r="M40" s="358">
        <f t="shared" si="16"/>
        <v>0</v>
      </c>
      <c r="N40" s="364">
        <f t="shared" si="16"/>
        <v>0</v>
      </c>
      <c r="O40" s="392">
        <f t="shared" si="16"/>
        <v>0</v>
      </c>
      <c r="P40" s="358">
        <f t="shared" si="16"/>
        <v>0</v>
      </c>
      <c r="Q40" s="364">
        <f t="shared" si="16"/>
        <v>0</v>
      </c>
    </row>
    <row r="41" spans="1:17" ht="15">
      <c r="A41" s="171" t="s">
        <v>108</v>
      </c>
      <c r="B41" s="160" t="s">
        <v>445</v>
      </c>
      <c r="C41" s="1180"/>
      <c r="D41" s="256"/>
      <c r="E41" s="258">
        <f>SUM(C41:D41)</f>
        <v>0</v>
      </c>
      <c r="F41" s="934"/>
      <c r="G41" s="256"/>
      <c r="H41" s="258">
        <f>SUM(F41:G41)</f>
        <v>0</v>
      </c>
      <c r="I41" s="1180"/>
      <c r="J41" s="256"/>
      <c r="K41" s="258">
        <f>SUM(I41:J41)</f>
        <v>0</v>
      </c>
      <c r="L41" s="1180"/>
      <c r="M41" s="256"/>
      <c r="N41" s="934">
        <f>SUM(L41:M41)</f>
        <v>0</v>
      </c>
      <c r="O41" s="1232"/>
      <c r="P41" s="437"/>
      <c r="Q41" s="1221">
        <f>SUM(O41:P41)</f>
        <v>0</v>
      </c>
    </row>
    <row r="42" spans="1:17" ht="15">
      <c r="A42" s="168" t="s">
        <v>109</v>
      </c>
      <c r="B42" s="164" t="s">
        <v>420</v>
      </c>
      <c r="C42" s="954"/>
      <c r="D42" s="154"/>
      <c r="E42" s="177">
        <f>SUM(C42:D42)</f>
        <v>0</v>
      </c>
      <c r="F42" s="932"/>
      <c r="G42" s="154"/>
      <c r="H42" s="177">
        <f>SUM(F42:G42)</f>
        <v>0</v>
      </c>
      <c r="I42" s="954"/>
      <c r="J42" s="154"/>
      <c r="K42" s="177">
        <f>SUM(I42:J42)</f>
        <v>0</v>
      </c>
      <c r="L42" s="954"/>
      <c r="M42" s="154"/>
      <c r="N42" s="932">
        <f>SUM(L42:M42)</f>
        <v>0</v>
      </c>
      <c r="O42" s="1231"/>
      <c r="P42" s="439"/>
      <c r="Q42" s="1225">
        <f>SUM(O42:P42)</f>
        <v>0</v>
      </c>
    </row>
    <row r="43" spans="1:17" ht="15">
      <c r="A43" s="168" t="s">
        <v>110</v>
      </c>
      <c r="B43" s="164" t="s">
        <v>421</v>
      </c>
      <c r="C43" s="954"/>
      <c r="D43" s="154"/>
      <c r="E43" s="177">
        <f>SUM(C43:D43)</f>
        <v>0</v>
      </c>
      <c r="F43" s="932"/>
      <c r="G43" s="154"/>
      <c r="H43" s="177">
        <f>SUM(F43:G43)</f>
        <v>0</v>
      </c>
      <c r="I43" s="954"/>
      <c r="J43" s="154"/>
      <c r="K43" s="177">
        <f>SUM(I43:J43)</f>
        <v>0</v>
      </c>
      <c r="L43" s="954"/>
      <c r="M43" s="154"/>
      <c r="N43" s="932">
        <f>SUM(L43:M43)</f>
        <v>0</v>
      </c>
      <c r="O43" s="1231"/>
      <c r="P43" s="439"/>
      <c r="Q43" s="1225">
        <f>SUM(O43:P43)</f>
        <v>0</v>
      </c>
    </row>
    <row r="44" spans="1:17" ht="15.75" thickBot="1">
      <c r="A44" s="169" t="s">
        <v>111</v>
      </c>
      <c r="B44" s="170" t="s">
        <v>183</v>
      </c>
      <c r="C44" s="955"/>
      <c r="D44" s="166"/>
      <c r="E44" s="272">
        <f>SUM(C44:D44)</f>
        <v>0</v>
      </c>
      <c r="F44" s="933"/>
      <c r="G44" s="166"/>
      <c r="H44" s="272">
        <f>SUM(F44:G44)</f>
        <v>0</v>
      </c>
      <c r="I44" s="955"/>
      <c r="J44" s="166"/>
      <c r="K44" s="272">
        <f>SUM(I44:J44)</f>
        <v>0</v>
      </c>
      <c r="L44" s="955"/>
      <c r="M44" s="166"/>
      <c r="N44" s="933">
        <f>SUM(L44:M44)</f>
        <v>0</v>
      </c>
      <c r="O44" s="1233"/>
      <c r="P44" s="440"/>
      <c r="Q44" s="1226">
        <f>SUM(O44:P44)</f>
        <v>0</v>
      </c>
    </row>
    <row r="45" spans="1:17" s="15" customFormat="1" ht="16.5" thickBot="1">
      <c r="A45" s="357">
        <v>2</v>
      </c>
      <c r="B45" s="348" t="s">
        <v>184</v>
      </c>
      <c r="C45" s="392">
        <f>SUM(C41:C44)</f>
        <v>0</v>
      </c>
      <c r="D45" s="358">
        <f aca="true" t="shared" si="17" ref="D45:Q45">SUM(D41:D44)</f>
        <v>0</v>
      </c>
      <c r="E45" s="360">
        <f t="shared" si="17"/>
        <v>0</v>
      </c>
      <c r="F45" s="392">
        <f t="shared" si="17"/>
        <v>0</v>
      </c>
      <c r="G45" s="358">
        <f t="shared" si="17"/>
        <v>0</v>
      </c>
      <c r="H45" s="360">
        <f t="shared" si="17"/>
        <v>0</v>
      </c>
      <c r="I45" s="392">
        <f t="shared" si="17"/>
        <v>0</v>
      </c>
      <c r="J45" s="358">
        <f t="shared" si="17"/>
        <v>0</v>
      </c>
      <c r="K45" s="360">
        <f t="shared" si="17"/>
        <v>0</v>
      </c>
      <c r="L45" s="392">
        <f t="shared" si="17"/>
        <v>0</v>
      </c>
      <c r="M45" s="358">
        <f t="shared" si="17"/>
        <v>0</v>
      </c>
      <c r="N45" s="374">
        <f t="shared" si="17"/>
        <v>0</v>
      </c>
      <c r="O45" s="392">
        <f t="shared" si="17"/>
        <v>0</v>
      </c>
      <c r="P45" s="358">
        <f t="shared" si="17"/>
        <v>0</v>
      </c>
      <c r="Q45" s="364">
        <f t="shared" si="17"/>
        <v>0</v>
      </c>
    </row>
    <row r="46" spans="1:17" s="15" customFormat="1" ht="16.5" thickBot="1">
      <c r="A46" s="357">
        <v>3</v>
      </c>
      <c r="B46" s="348" t="s">
        <v>278</v>
      </c>
      <c r="C46" s="392"/>
      <c r="D46" s="358"/>
      <c r="E46" s="360">
        <f>SUM(C46:D46)</f>
        <v>0</v>
      </c>
      <c r="F46" s="392"/>
      <c r="G46" s="358"/>
      <c r="H46" s="360">
        <f>SUM(F46:G46)</f>
        <v>0</v>
      </c>
      <c r="I46" s="392"/>
      <c r="J46" s="358"/>
      <c r="K46" s="360">
        <f>SUM(I46:J46)</f>
        <v>0</v>
      </c>
      <c r="L46" s="392"/>
      <c r="M46" s="358"/>
      <c r="N46" s="374">
        <f>SUM(L46:M46)</f>
        <v>0</v>
      </c>
      <c r="O46" s="392"/>
      <c r="P46" s="358"/>
      <c r="Q46" s="364">
        <f>SUM(O46:P46)</f>
        <v>0</v>
      </c>
    </row>
    <row r="47" spans="1:17" ht="16.5" thickBot="1">
      <c r="A47" s="357">
        <v>4</v>
      </c>
      <c r="B47" s="348" t="s">
        <v>299</v>
      </c>
      <c r="C47" s="392"/>
      <c r="D47" s="358"/>
      <c r="E47" s="360">
        <f>SUM(C47:D47)</f>
        <v>0</v>
      </c>
      <c r="F47" s="392"/>
      <c r="G47" s="358"/>
      <c r="H47" s="360">
        <f>SUM(F47:G47)</f>
        <v>0</v>
      </c>
      <c r="I47" s="392"/>
      <c r="J47" s="358"/>
      <c r="K47" s="360">
        <f>SUM(I47:J47)</f>
        <v>0</v>
      </c>
      <c r="L47" s="392"/>
      <c r="M47" s="358"/>
      <c r="N47" s="374">
        <f>SUM(L47:M47)</f>
        <v>0</v>
      </c>
      <c r="O47" s="392"/>
      <c r="P47" s="358"/>
      <c r="Q47" s="364">
        <f>SUM(O47:P47)</f>
        <v>0</v>
      </c>
    </row>
    <row r="48" spans="1:17" s="808" customFormat="1" ht="15">
      <c r="A48" s="171" t="s">
        <v>108</v>
      </c>
      <c r="B48" s="157" t="s">
        <v>305</v>
      </c>
      <c r="C48" s="1180"/>
      <c r="D48" s="256"/>
      <c r="E48" s="258">
        <f>SUM(C48:D48)</f>
        <v>0</v>
      </c>
      <c r="F48" s="934"/>
      <c r="G48" s="256"/>
      <c r="H48" s="258">
        <f>SUM(F48:G48)</f>
        <v>0</v>
      </c>
      <c r="I48" s="1180"/>
      <c r="J48" s="256"/>
      <c r="K48" s="258">
        <f>SUM(I48:J48)</f>
        <v>0</v>
      </c>
      <c r="L48" s="1180"/>
      <c r="M48" s="256"/>
      <c r="N48" s="934">
        <f>SUM(L48:M48)</f>
        <v>0</v>
      </c>
      <c r="O48" s="1232"/>
      <c r="P48" s="437"/>
      <c r="Q48" s="1221">
        <f>SUM(O48:P48)</f>
        <v>0</v>
      </c>
    </row>
    <row r="49" spans="1:17" ht="15">
      <c r="A49" s="169" t="s">
        <v>109</v>
      </c>
      <c r="B49" s="378" t="s">
        <v>422</v>
      </c>
      <c r="C49" s="954"/>
      <c r="D49" s="154"/>
      <c r="E49" s="177">
        <f>SUM(C49:D49)</f>
        <v>0</v>
      </c>
      <c r="F49" s="932"/>
      <c r="G49" s="154"/>
      <c r="H49" s="177">
        <f>SUM(F49:G49)</f>
        <v>0</v>
      </c>
      <c r="I49" s="954"/>
      <c r="J49" s="154"/>
      <c r="K49" s="177">
        <f>SUM(I49:J49)</f>
        <v>0</v>
      </c>
      <c r="L49" s="954"/>
      <c r="M49" s="154"/>
      <c r="N49" s="932">
        <f>SUM(L49:M49)</f>
        <v>0</v>
      </c>
      <c r="O49" s="1231"/>
      <c r="P49" s="439"/>
      <c r="Q49" s="1225">
        <f>SUM(O49:P49)</f>
        <v>0</v>
      </c>
    </row>
    <row r="50" spans="1:17" ht="15.75" thickBot="1">
      <c r="A50" s="169" t="s">
        <v>110</v>
      </c>
      <c r="B50" s="378" t="s">
        <v>455</v>
      </c>
      <c r="C50" s="954"/>
      <c r="D50" s="154"/>
      <c r="E50" s="177">
        <f>SUM(C50:D50)</f>
        <v>0</v>
      </c>
      <c r="F50" s="932"/>
      <c r="G50" s="154">
        <v>200000</v>
      </c>
      <c r="H50" s="177">
        <f>SUM(F50:G50)</f>
        <v>200000</v>
      </c>
      <c r="I50" s="954"/>
      <c r="J50" s="154">
        <v>60000</v>
      </c>
      <c r="K50" s="177">
        <f>SUM(I50:J50)</f>
        <v>60000</v>
      </c>
      <c r="L50" s="954"/>
      <c r="M50" s="154"/>
      <c r="N50" s="932">
        <f>SUM(L50:M50)</f>
        <v>0</v>
      </c>
      <c r="O50" s="1231"/>
      <c r="P50" s="439"/>
      <c r="Q50" s="1225">
        <f>SUM(O50:P50)</f>
        <v>0</v>
      </c>
    </row>
    <row r="51" spans="1:17" s="15" customFormat="1" ht="16.5" thickBot="1">
      <c r="A51" s="357">
        <v>5</v>
      </c>
      <c r="B51" s="348" t="s">
        <v>186</v>
      </c>
      <c r="C51" s="392">
        <f>SUM(C48:C50)</f>
        <v>0</v>
      </c>
      <c r="D51" s="358">
        <f>SUM(D48:D50)</f>
        <v>0</v>
      </c>
      <c r="E51" s="360">
        <f aca="true" t="shared" si="18" ref="E51:Q51">SUM(E48:E50)</f>
        <v>0</v>
      </c>
      <c r="F51" s="392">
        <f t="shared" si="18"/>
        <v>0</v>
      </c>
      <c r="G51" s="358">
        <f t="shared" si="18"/>
        <v>200000</v>
      </c>
      <c r="H51" s="360">
        <f t="shared" si="18"/>
        <v>200000</v>
      </c>
      <c r="I51" s="392">
        <f t="shared" si="18"/>
        <v>0</v>
      </c>
      <c r="J51" s="358">
        <f t="shared" si="18"/>
        <v>60000</v>
      </c>
      <c r="K51" s="360">
        <f t="shared" si="18"/>
        <v>60000</v>
      </c>
      <c r="L51" s="392">
        <f t="shared" si="18"/>
        <v>0</v>
      </c>
      <c r="M51" s="358">
        <f t="shared" si="18"/>
        <v>0</v>
      </c>
      <c r="N51" s="360">
        <f t="shared" si="18"/>
        <v>0</v>
      </c>
      <c r="O51" s="392">
        <f t="shared" si="18"/>
        <v>0</v>
      </c>
      <c r="P51" s="358">
        <f t="shared" si="18"/>
        <v>0</v>
      </c>
      <c r="Q51" s="364">
        <f t="shared" si="18"/>
        <v>0</v>
      </c>
    </row>
    <row r="52" spans="1:17" s="15" customFormat="1" ht="16.5" thickBot="1">
      <c r="A52" s="811">
        <v>6</v>
      </c>
      <c r="B52" s="812" t="s">
        <v>309</v>
      </c>
      <c r="C52" s="1183"/>
      <c r="D52" s="383"/>
      <c r="E52" s="376">
        <f>SUM(C52:D52)</f>
        <v>0</v>
      </c>
      <c r="F52" s="377"/>
      <c r="G52" s="383"/>
      <c r="H52" s="376">
        <f>SUM(F52:G52)</f>
        <v>0</v>
      </c>
      <c r="I52" s="1189"/>
      <c r="J52" s="383"/>
      <c r="K52" s="376">
        <f>SUM(I52:J52)</f>
        <v>0</v>
      </c>
      <c r="L52" s="1189"/>
      <c r="M52" s="383"/>
      <c r="N52" s="377">
        <f>SUM(L52:M52)</f>
        <v>0</v>
      </c>
      <c r="O52" s="1237"/>
      <c r="P52" s="805"/>
      <c r="Q52" s="1227">
        <f>SUM(O52:P52)</f>
        <v>0</v>
      </c>
    </row>
    <row r="53" spans="1:17" ht="15">
      <c r="A53" s="152" t="s">
        <v>108</v>
      </c>
      <c r="B53" s="153" t="s">
        <v>424</v>
      </c>
      <c r="C53" s="1184"/>
      <c r="D53" s="155"/>
      <c r="E53" s="215">
        <f>SUM(C53:D53)</f>
        <v>0</v>
      </c>
      <c r="F53" s="936"/>
      <c r="G53" s="155"/>
      <c r="H53" s="215">
        <f>SUM(F53:G53)</f>
        <v>0</v>
      </c>
      <c r="I53" s="1184"/>
      <c r="J53" s="155"/>
      <c r="K53" s="215">
        <f>SUM(I53:J53)</f>
        <v>0</v>
      </c>
      <c r="L53" s="1184"/>
      <c r="M53" s="155"/>
      <c r="N53" s="936">
        <f>SUM(L53:M53)</f>
        <v>0</v>
      </c>
      <c r="O53" s="1238"/>
      <c r="P53" s="448"/>
      <c r="Q53" s="1228">
        <f>SUM(O53:P53)</f>
        <v>0</v>
      </c>
    </row>
    <row r="54" spans="1:17" ht="15.75" thickBot="1">
      <c r="A54" s="379" t="s">
        <v>109</v>
      </c>
      <c r="B54" s="157" t="s">
        <v>425</v>
      </c>
      <c r="C54" s="1181"/>
      <c r="D54" s="365"/>
      <c r="E54" s="368">
        <f>SUM(C54:D54)</f>
        <v>0</v>
      </c>
      <c r="F54" s="172"/>
      <c r="G54" s="365"/>
      <c r="H54" s="368">
        <f>SUM(F54:G54)</f>
        <v>0</v>
      </c>
      <c r="I54" s="1181"/>
      <c r="J54" s="365"/>
      <c r="K54" s="368">
        <f>SUM(I54:J54)</f>
        <v>0</v>
      </c>
      <c r="L54" s="1181"/>
      <c r="M54" s="365">
        <v>128000</v>
      </c>
      <c r="N54" s="172">
        <f>SUM(L54:M54)</f>
        <v>128000</v>
      </c>
      <c r="O54" s="1235"/>
      <c r="P54" s="443"/>
      <c r="Q54" s="1223">
        <f>SUM(O54:P54)</f>
        <v>0</v>
      </c>
    </row>
    <row r="55" spans="1:17" s="15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>
        <f aca="true" t="shared" si="19" ref="D55:Q55">SUM(D53:D54)</f>
        <v>0</v>
      </c>
      <c r="E55" s="360">
        <f t="shared" si="19"/>
        <v>0</v>
      </c>
      <c r="F55" s="392">
        <f t="shared" si="19"/>
        <v>0</v>
      </c>
      <c r="G55" s="358">
        <f t="shared" si="19"/>
        <v>0</v>
      </c>
      <c r="H55" s="360">
        <f t="shared" si="19"/>
        <v>0</v>
      </c>
      <c r="I55" s="392">
        <f t="shared" si="19"/>
        <v>0</v>
      </c>
      <c r="J55" s="358">
        <f t="shared" si="19"/>
        <v>0</v>
      </c>
      <c r="K55" s="360">
        <f t="shared" si="19"/>
        <v>0</v>
      </c>
      <c r="L55" s="392">
        <f t="shared" si="19"/>
        <v>0</v>
      </c>
      <c r="M55" s="358">
        <f t="shared" si="19"/>
        <v>128000</v>
      </c>
      <c r="N55" s="360">
        <f t="shared" si="19"/>
        <v>128000</v>
      </c>
      <c r="O55" s="1191">
        <f t="shared" si="19"/>
        <v>0</v>
      </c>
      <c r="P55" s="1193">
        <f t="shared" si="19"/>
        <v>0</v>
      </c>
      <c r="Q55" s="1195">
        <f t="shared" si="19"/>
        <v>0</v>
      </c>
    </row>
    <row r="56" spans="1:17" s="28" customFormat="1" ht="19.5" customHeight="1" thickBot="1">
      <c r="A56" s="762">
        <v>8</v>
      </c>
      <c r="B56" s="763" t="s">
        <v>46</v>
      </c>
      <c r="C56" s="1216">
        <f>C34-C40-C45-C46-C47-C51-C52-C55-C57-C58-C59</f>
        <v>21183</v>
      </c>
      <c r="D56" s="1217">
        <f>D34-D40-D45-D46-D47-D51-D52-D55-D57-D58-D59</f>
        <v>6623</v>
      </c>
      <c r="E56" s="1214">
        <f aca="true" t="shared" si="20" ref="E56:Q56">E34-E40-E45-E46-E47-E51-E52-E55-E57-E58-E59</f>
        <v>27806</v>
      </c>
      <c r="F56" s="1216">
        <f t="shared" si="20"/>
        <v>174988</v>
      </c>
      <c r="G56" s="1217">
        <f t="shared" si="20"/>
        <v>0</v>
      </c>
      <c r="H56" s="1214">
        <f t="shared" si="20"/>
        <v>174988</v>
      </c>
      <c r="I56" s="1216">
        <f t="shared" si="20"/>
        <v>105178</v>
      </c>
      <c r="J56" s="1217">
        <f t="shared" si="20"/>
        <v>25949</v>
      </c>
      <c r="K56" s="1214">
        <f t="shared" si="20"/>
        <v>131127</v>
      </c>
      <c r="L56" s="1216">
        <f t="shared" si="20"/>
        <v>76840</v>
      </c>
      <c r="M56" s="1217">
        <f t="shared" si="20"/>
        <v>-76840</v>
      </c>
      <c r="N56" s="1214">
        <f t="shared" si="20"/>
        <v>0</v>
      </c>
      <c r="O56" s="1239">
        <f t="shared" si="20"/>
        <v>0</v>
      </c>
      <c r="P56" s="1241">
        <f t="shared" si="20"/>
        <v>0</v>
      </c>
      <c r="Q56" s="1229">
        <f t="shared" si="20"/>
        <v>0</v>
      </c>
    </row>
    <row r="57" spans="1:17" s="15" customFormat="1" ht="15.75">
      <c r="A57" s="380" t="s">
        <v>427</v>
      </c>
      <c r="B57" s="381" t="s">
        <v>192</v>
      </c>
      <c r="C57" s="1186"/>
      <c r="D57" s="371"/>
      <c r="E57" s="1215">
        <f>SUM(C57:D57)</f>
        <v>0</v>
      </c>
      <c r="F57" s="937"/>
      <c r="G57" s="371"/>
      <c r="H57" s="1215">
        <f>SUM(F57:G57)</f>
        <v>0</v>
      </c>
      <c r="I57" s="1186"/>
      <c r="J57" s="371"/>
      <c r="K57" s="1215">
        <f>SUM(I57:J57)</f>
        <v>0</v>
      </c>
      <c r="L57" s="1186"/>
      <c r="M57" s="371"/>
      <c r="N57" s="1215">
        <f>SUM(L57:M57)</f>
        <v>0</v>
      </c>
      <c r="O57" s="1240"/>
      <c r="P57" s="451"/>
      <c r="Q57" s="1230">
        <f>SUM(O57:P57)</f>
        <v>0</v>
      </c>
    </row>
    <row r="58" spans="1:17" s="15" customFormat="1" ht="15.75">
      <c r="A58" s="380" t="s">
        <v>191</v>
      </c>
      <c r="B58" s="381" t="s">
        <v>426</v>
      </c>
      <c r="C58" s="1186"/>
      <c r="D58" s="371"/>
      <c r="E58" s="1215">
        <f>SUM(C58:D58)</f>
        <v>0</v>
      </c>
      <c r="F58" s="937"/>
      <c r="G58" s="371"/>
      <c r="H58" s="1215">
        <f>SUM(F58:G58)</f>
        <v>0</v>
      </c>
      <c r="I58" s="370"/>
      <c r="J58" s="371"/>
      <c r="K58" s="449">
        <f>SUM(I58:J58)</f>
        <v>0</v>
      </c>
      <c r="L58" s="370"/>
      <c r="M58" s="371"/>
      <c r="N58" s="449">
        <f>SUM(L58:M58)</f>
        <v>0</v>
      </c>
      <c r="O58" s="1240"/>
      <c r="P58" s="451"/>
      <c r="Q58" s="1230">
        <f>SUM(O58:P58)</f>
        <v>0</v>
      </c>
    </row>
    <row r="59" spans="1:17" s="15" customFormat="1" ht="16.5" thickBot="1">
      <c r="A59" s="396">
        <v>10</v>
      </c>
      <c r="B59" s="397"/>
      <c r="C59" s="398"/>
      <c r="D59" s="399"/>
      <c r="E59" s="453">
        <f>SUM(C59:D59)</f>
        <v>0</v>
      </c>
      <c r="F59" s="401"/>
      <c r="G59" s="399"/>
      <c r="H59" s="454">
        <f>SUM(F59:G59)</f>
        <v>0</v>
      </c>
      <c r="I59" s="398"/>
      <c r="J59" s="399"/>
      <c r="K59" s="454">
        <f>SUM(I59:J59)</f>
        <v>0</v>
      </c>
      <c r="L59" s="398"/>
      <c r="M59" s="399"/>
      <c r="N59" s="454">
        <f>SUM(L59:M59)</f>
        <v>0</v>
      </c>
      <c r="O59" s="455"/>
      <c r="P59" s="456"/>
      <c r="Q59" s="457">
        <f>SUM(O59:P59)</f>
        <v>0</v>
      </c>
    </row>
    <row r="60" spans="1:17" s="35" customFormat="1" ht="17.25" thickBot="1" thickTop="1">
      <c r="A60" s="387" t="s">
        <v>119</v>
      </c>
      <c r="B60" s="390" t="s">
        <v>190</v>
      </c>
      <c r="C60" s="825">
        <f>C40+C45+C46+C47+C51+C52+C55+C56+C57+C58+C59</f>
        <v>21183</v>
      </c>
      <c r="D60" s="826">
        <f aca="true" t="shared" si="21" ref="D60:Q60">D40+D45+D46+D47+D51+D52+D55+D56+D57+D58+D59</f>
        <v>52927</v>
      </c>
      <c r="E60" s="824">
        <f t="shared" si="21"/>
        <v>74110</v>
      </c>
      <c r="F60" s="409">
        <f t="shared" si="21"/>
        <v>174988</v>
      </c>
      <c r="G60" s="388">
        <f t="shared" si="21"/>
        <v>200000</v>
      </c>
      <c r="H60" s="824">
        <f t="shared" si="21"/>
        <v>374988</v>
      </c>
      <c r="I60" s="825">
        <f t="shared" si="21"/>
        <v>105178</v>
      </c>
      <c r="J60" s="826">
        <f t="shared" si="21"/>
        <v>85949</v>
      </c>
      <c r="K60" s="824">
        <f t="shared" si="21"/>
        <v>191127</v>
      </c>
      <c r="L60" s="409">
        <f t="shared" si="21"/>
        <v>76840</v>
      </c>
      <c r="M60" s="388">
        <f t="shared" si="21"/>
        <v>51160</v>
      </c>
      <c r="N60" s="824">
        <f t="shared" si="21"/>
        <v>128000</v>
      </c>
      <c r="O60" s="409">
        <f t="shared" si="21"/>
        <v>0</v>
      </c>
      <c r="P60" s="388">
        <f t="shared" si="21"/>
        <v>0</v>
      </c>
      <c r="Q60" s="421">
        <f t="shared" si="21"/>
        <v>0</v>
      </c>
    </row>
    <row r="61" spans="1:17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458"/>
      <c r="P61" s="458"/>
      <c r="Q61" s="458"/>
    </row>
    <row r="62" spans="1:17" ht="16.5" thickBot="1" thickTop="1">
      <c r="A62" s="182"/>
      <c r="B62" s="183" t="s">
        <v>580</v>
      </c>
      <c r="C62" s="216">
        <v>0</v>
      </c>
      <c r="D62" s="459"/>
      <c r="E62" s="460">
        <f>SUM(C62:D62)</f>
        <v>0</v>
      </c>
      <c r="F62" s="216"/>
      <c r="G62" s="461"/>
      <c r="H62" s="460">
        <f>SUM(F62:G62)</f>
        <v>0</v>
      </c>
      <c r="I62" s="216">
        <v>0</v>
      </c>
      <c r="J62" s="461"/>
      <c r="K62" s="460">
        <f>SUM(I62:J62)</f>
        <v>0</v>
      </c>
      <c r="L62" s="216">
        <v>0</v>
      </c>
      <c r="M62" s="461"/>
      <c r="N62" s="460">
        <f>SUM(L62:M62)</f>
        <v>0</v>
      </c>
      <c r="O62" s="462">
        <v>0</v>
      </c>
      <c r="P62" s="463"/>
      <c r="Q62" s="464">
        <f>SUM(O62:P62)</f>
        <v>0</v>
      </c>
    </row>
    <row r="63" spans="1:17" ht="16.5" thickBot="1" thickTop="1">
      <c r="A63" s="182"/>
      <c r="B63" s="183" t="s">
        <v>581</v>
      </c>
      <c r="C63" s="216"/>
      <c r="D63" s="459"/>
      <c r="E63" s="460">
        <f>SUM(C63:D63)</f>
        <v>0</v>
      </c>
      <c r="F63" s="216">
        <v>0</v>
      </c>
      <c r="G63" s="461"/>
      <c r="H63" s="460">
        <f>SUM(F63:G63)</f>
        <v>0</v>
      </c>
      <c r="I63" s="216">
        <v>0</v>
      </c>
      <c r="J63" s="461"/>
      <c r="K63" s="460">
        <f>SUM(I63:J63)</f>
        <v>0</v>
      </c>
      <c r="L63" s="216">
        <v>0</v>
      </c>
      <c r="M63" s="461"/>
      <c r="N63" s="460">
        <f>SUM(L63:M63)</f>
        <v>0</v>
      </c>
      <c r="O63" s="462">
        <v>0</v>
      </c>
      <c r="P63" s="463"/>
      <c r="Q63" s="464">
        <f>SUM(O63:P63)</f>
        <v>0</v>
      </c>
    </row>
    <row r="64" ht="16.5" thickTop="1">
      <c r="A64" s="465"/>
    </row>
    <row r="65" ht="15.75">
      <c r="A65" s="465"/>
    </row>
  </sheetData>
  <sheetProtection/>
  <mergeCells count="7">
    <mergeCell ref="A4:Q4"/>
    <mergeCell ref="A5:Q5"/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4" sqref="A4:Q4"/>
      <selection pane="topRight" activeCell="A4" sqref="A4:Q4"/>
      <selection pane="bottomLeft" activeCell="A4" sqref="A4:Q4"/>
      <selection pane="bottomRight" activeCell="N1" sqref="N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14" width="16.625" style="96" customWidth="1"/>
    <col min="15" max="15" width="14.125" style="176" customWidth="1"/>
    <col min="16" max="17" width="9.375" style="176" customWidth="1"/>
  </cols>
  <sheetData>
    <row r="1" spans="1:14" ht="10.5" customHeight="1">
      <c r="A1" s="346"/>
      <c r="B1" s="347"/>
      <c r="C1" s="347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940" t="s">
        <v>871</v>
      </c>
    </row>
    <row r="2" spans="1:14" ht="12.75" customHeight="1">
      <c r="A2" s="346"/>
      <c r="B2" s="347"/>
      <c r="C2" s="347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940" t="s">
        <v>102</v>
      </c>
    </row>
    <row r="3" spans="1:14" ht="15">
      <c r="A3" s="346"/>
      <c r="B3" s="347"/>
      <c r="C3" s="347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941" t="s">
        <v>156</v>
      </c>
    </row>
    <row r="4" spans="1:17" s="15" customFormat="1" ht="20.25">
      <c r="A4" s="1844" t="s">
        <v>103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950"/>
      <c r="P4" s="950"/>
      <c r="Q4" s="950"/>
    </row>
    <row r="5" spans="1:17" s="15" customFormat="1" ht="18">
      <c r="A5" s="1845" t="s">
        <v>572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5"/>
      <c r="L5" s="1845"/>
      <c r="M5" s="1845"/>
      <c r="N5" s="1845"/>
      <c r="O5" s="952"/>
      <c r="P5" s="952"/>
      <c r="Q5" s="952"/>
    </row>
    <row r="6" spans="1:14" ht="29.25" customHeight="1" thickBot="1">
      <c r="A6" s="346"/>
      <c r="B6" s="347"/>
      <c r="C6" s="347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953" t="s">
        <v>145</v>
      </c>
    </row>
    <row r="7" spans="1:17" s="96" customFormat="1" ht="30" customHeight="1" thickBot="1">
      <c r="A7" s="260" t="s">
        <v>135</v>
      </c>
      <c r="B7" s="95" t="s">
        <v>136</v>
      </c>
      <c r="C7" s="101" t="s">
        <v>157</v>
      </c>
      <c r="D7" s="261"/>
      <c r="E7" s="262"/>
      <c r="F7" s="263" t="s">
        <v>374</v>
      </c>
      <c r="G7" s="264"/>
      <c r="H7" s="265"/>
      <c r="I7" s="1858" t="s">
        <v>73</v>
      </c>
      <c r="J7" s="1859"/>
      <c r="K7" s="1860"/>
      <c r="L7" s="55" t="s">
        <v>158</v>
      </c>
      <c r="M7" s="14"/>
      <c r="N7" s="54"/>
      <c r="O7" s="176"/>
      <c r="P7" s="176"/>
      <c r="Q7" s="176"/>
    </row>
    <row r="8" spans="1:26" s="25" customFormat="1" ht="24.75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960"/>
      <c r="P8" s="960"/>
      <c r="Q8" s="960"/>
      <c r="R8" s="66"/>
      <c r="S8" s="66"/>
      <c r="T8" s="66"/>
      <c r="U8" s="66"/>
      <c r="V8" s="66"/>
      <c r="W8" s="66"/>
      <c r="X8" s="66"/>
      <c r="Y8" s="66"/>
      <c r="Z8" s="66"/>
    </row>
    <row r="9" spans="1:26" s="36" customFormat="1" ht="13.5" thickBot="1">
      <c r="A9" s="467">
        <v>1</v>
      </c>
      <c r="B9" s="467">
        <v>2</v>
      </c>
      <c r="C9" s="468">
        <v>3</v>
      </c>
      <c r="D9" s="469">
        <v>4</v>
      </c>
      <c r="E9" s="471"/>
      <c r="F9" s="468">
        <v>6</v>
      </c>
      <c r="G9" s="469">
        <v>7</v>
      </c>
      <c r="H9" s="961">
        <v>8</v>
      </c>
      <c r="I9" s="962">
        <v>9</v>
      </c>
      <c r="J9" s="469">
        <v>10</v>
      </c>
      <c r="K9" s="471">
        <v>11</v>
      </c>
      <c r="L9" s="468">
        <v>12</v>
      </c>
      <c r="M9" s="469">
        <v>13</v>
      </c>
      <c r="N9" s="471">
        <v>14</v>
      </c>
      <c r="O9" s="402"/>
      <c r="P9" s="402"/>
      <c r="Q9" s="402"/>
      <c r="R9" s="32"/>
      <c r="S9" s="32"/>
      <c r="T9" s="32"/>
      <c r="U9" s="32"/>
      <c r="V9" s="32"/>
      <c r="W9" s="32"/>
      <c r="X9" s="32"/>
      <c r="Y9" s="32"/>
      <c r="Z9" s="32"/>
    </row>
    <row r="10" spans="1:14" ht="18.75" thickBot="1">
      <c r="A10" s="427"/>
      <c r="B10" s="472" t="s">
        <v>140</v>
      </c>
      <c r="C10" s="428"/>
      <c r="D10" s="429"/>
      <c r="E10" s="474"/>
      <c r="F10" s="431"/>
      <c r="G10" s="432"/>
      <c r="H10" s="963"/>
      <c r="I10" s="964"/>
      <c r="J10" s="432"/>
      <c r="K10" s="430"/>
      <c r="L10" s="431"/>
      <c r="M10" s="432"/>
      <c r="N10" s="430"/>
    </row>
    <row r="11" spans="1:17" ht="16.5" thickBot="1">
      <c r="A11" s="357">
        <v>1</v>
      </c>
      <c r="B11" s="348" t="s">
        <v>123</v>
      </c>
      <c r="C11" s="358"/>
      <c r="D11" s="358"/>
      <c r="E11" s="403">
        <f>SUM(C11:D11)</f>
        <v>0</v>
      </c>
      <c r="F11" s="363">
        <f>hivatal1!C11+hivatal1!F11+hivatal1!I11+hivatal1!L11+hivatal1!O11+hivatal2!C11+hivatal2!F11+hivatal2!I11+hivatal2!L11+hivatal2!O11+hivatal3!C11+hivatal3!F11+hivatal3!I11+hivatal3!L11+hivatal3!O11+hivatal4!C11+hivatal4!F11+hivatal4!I11+hivatal4!L11+hivatal4!O11+'hivatal5 '!C11+'hivatal5 '!F11+'hivatal5 '!I11+'hivatal5 '!L11+'hivatal5 '!O11+hivatal6!C11+hivatal6!F11+hivatal6!I11+hivatal6!L11+hivatal6!O11+hivatal7!C11</f>
        <v>238786</v>
      </c>
      <c r="G11" s="358">
        <f>hivatal1!D11+hivatal1!G11+hivatal1!J11+hivatal1!M11+hivatal1!P11+hivatal2!D11+hivatal2!G11+hivatal2!J11+hivatal2!M11+hivatal2!P11+hivatal3!D11+hivatal3!G11+hivatal3!J11+hivatal3!M11+hivatal3!P11+hivatal4!D11+hivatal4!G11+hivatal4!J11+hivatal4!M11+hivatal4!P11+'hivatal5 '!D11+'hivatal5 '!G11+'hivatal5 '!J11+'hivatal5 '!M11+'hivatal5 '!P11+hivatal6!D11+hivatal6!G11+hivatal6!J11+hivatal6!M11+hivatal6!P11+hivatal7!D11</f>
        <v>21144</v>
      </c>
      <c r="H11" s="364">
        <f>hivatal1!E11+hivatal1!H11+hivatal1!K11+hivatal1!N11+hivatal1!Q11+hivatal2!E11+hivatal2!H11+hivatal2!K11+hivatal2!N11+hivatal2!Q11+hivatal3!E11+hivatal3!H11+hivatal3!K11+hivatal3!N11+hivatal3!Q11+hivatal4!E11+hivatal4!H11+hivatal4!K11+hivatal4!N11+hivatal4!Q11+'hivatal5 '!E11+'hivatal5 '!H11+'hivatal5 '!K11+'hivatal5 '!N11+'hivatal5 '!Q11+hivatal6!E11+hivatal6!H11+hivatal6!K11+hivatal6!N11+hivatal6!Q11+hivatal7!E11</f>
        <v>259930</v>
      </c>
      <c r="I11" s="360"/>
      <c r="J11" s="358"/>
      <c r="K11" s="403">
        <f aca="true" t="shared" si="0" ref="K11:K16">SUM(I11:J11)</f>
        <v>0</v>
      </c>
      <c r="L11" s="363"/>
      <c r="M11" s="358"/>
      <c r="N11" s="403"/>
      <c r="O11" s="965">
        <f>SUM(L11:M11)</f>
        <v>0</v>
      </c>
      <c r="P11" s="385"/>
      <c r="Q11" s="385"/>
    </row>
    <row r="12" spans="1:17" s="28" customFormat="1" ht="16.5" thickBot="1">
      <c r="A12" s="361">
        <v>2</v>
      </c>
      <c r="B12" s="348" t="s">
        <v>213</v>
      </c>
      <c r="C12" s="360"/>
      <c r="D12" s="358"/>
      <c r="E12" s="403">
        <f>SUM(C12:D12)</f>
        <v>0</v>
      </c>
      <c r="F12" s="363">
        <f>hivatal1!C12+hivatal1!F12+hivatal1!I12+hivatal1!L12+hivatal1!O12+hivatal2!C12+hivatal2!F12+hivatal2!I12+hivatal2!L12+hivatal2!O12+hivatal3!C12+hivatal3!F12+hivatal3!I12+hivatal3!L12+hivatal3!O12+hivatal4!C12+hivatal4!F12+hivatal4!I12+hivatal4!L12+hivatal4!O12+'hivatal5 '!C12+'hivatal5 '!F12+'hivatal5 '!I12+'hivatal5 '!L12+'hivatal5 '!O12+hivatal6!C12+hivatal6!F12+hivatal6!I12+hivatal6!L12+hivatal6!O12+hivatal7!C12</f>
        <v>63332</v>
      </c>
      <c r="G12" s="358">
        <f>hivatal1!D12+hivatal1!G12+hivatal1!J12+hivatal1!M12+hivatal1!P12+hivatal2!D12+hivatal2!G12+hivatal2!J12+hivatal2!M12+hivatal2!P12+hivatal3!D12+hivatal3!G12+hivatal3!J12+hivatal3!M12+hivatal3!P12+hivatal4!D12+hivatal4!G12+hivatal4!J12+hivatal4!M12+hivatal4!P12+'hivatal5 '!D12+'hivatal5 '!G12+'hivatal5 '!J12+'hivatal5 '!M12+'hivatal5 '!P12+hivatal6!D12+hivatal6!G12+hivatal6!J12+hivatal6!M12+hivatal6!P12+hivatal7!D12</f>
        <v>3791</v>
      </c>
      <c r="H12" s="364">
        <f>hivatal1!E12+hivatal1!H12+hivatal1!K12+hivatal1!N12+hivatal1!Q12+hivatal2!E12+hivatal2!H12+hivatal2!K12+hivatal2!N12+hivatal2!Q12+hivatal3!E12+hivatal3!H12+hivatal3!K12+hivatal3!N12+hivatal3!Q12+hivatal4!E12+hivatal4!H12+hivatal4!K12+hivatal4!N12+hivatal4!Q12+'hivatal5 '!E12+'hivatal5 '!H12+'hivatal5 '!K12+'hivatal5 '!N12+'hivatal5 '!Q12+hivatal6!E12+hivatal6!H12+hivatal6!K12+hivatal6!N12+hivatal6!Q12+hivatal7!E12</f>
        <v>67123</v>
      </c>
      <c r="I12" s="360"/>
      <c r="J12" s="358"/>
      <c r="K12" s="403">
        <f t="shared" si="0"/>
        <v>0</v>
      </c>
      <c r="L12" s="360"/>
      <c r="M12" s="358"/>
      <c r="N12" s="403"/>
      <c r="O12" s="965"/>
      <c r="P12" s="385"/>
      <c r="Q12" s="966">
        <f>SUM(O12:P12)</f>
        <v>0</v>
      </c>
    </row>
    <row r="13" spans="1:17" s="15" customFormat="1" ht="16.5" thickBot="1">
      <c r="A13" s="361">
        <v>3</v>
      </c>
      <c r="B13" s="348" t="s">
        <v>126</v>
      </c>
      <c r="C13" s="360"/>
      <c r="D13" s="358"/>
      <c r="E13" s="403">
        <f>SUM(C13:D13)</f>
        <v>0</v>
      </c>
      <c r="F13" s="363">
        <f>hivatal1!C13+hivatal1!F13+hivatal1!I13+hivatal1!L13+hivatal1!O13+hivatal2!C13+hivatal2!F13+hivatal2!I13+hivatal2!L13+hivatal2!O13+hivatal3!C13+hivatal3!F13+hivatal3!I13+hivatal3!L13+hivatal3!O13+hivatal4!C13+hivatal4!F13+hivatal4!I13+hivatal4!L13+hivatal4!O13+'hivatal5 '!C13+'hivatal5 '!F13+'hivatal5 '!I13+'hivatal5 '!L13+'hivatal5 '!O13+hivatal6!C13+hivatal6!F13+hivatal6!I13+hivatal6!L13+hivatal6!O13+hivatal7!C13</f>
        <v>2183630</v>
      </c>
      <c r="G13" s="358">
        <f>hivatal1!D13+hivatal1!G13+hivatal1!J13+hivatal1!M13+hivatal1!P13+hivatal2!D13+hivatal2!G13+hivatal2!J13+hivatal2!M13+hivatal2!P13+hivatal3!D13+hivatal3!G13+hivatal3!J13+hivatal3!M13+hivatal3!P13+hivatal4!D13+hivatal4!G13+hivatal4!J13+hivatal4!M13+hivatal4!P13+'hivatal5 '!D13+'hivatal5 '!G13+'hivatal5 '!J13+'hivatal5 '!M13+'hivatal5 '!P13+hivatal6!D13+hivatal6!G13+hivatal6!J13+hivatal6!M13+hivatal6!P13+hivatal7!D13</f>
        <v>249065</v>
      </c>
      <c r="H13" s="364">
        <f>hivatal1!E13+hivatal1!H13+hivatal1!K13+hivatal1!N13+hivatal1!Q13+hivatal2!E13+hivatal2!H13+hivatal2!K13+hivatal2!N13+hivatal2!Q13+hivatal3!E13+hivatal3!H13+hivatal3!K13+hivatal3!N13+hivatal3!Q13+hivatal4!E13+hivatal4!H13+hivatal4!K13+hivatal4!N13+hivatal4!Q13+'hivatal5 '!E13+'hivatal5 '!H13+'hivatal5 '!K13+'hivatal5 '!N13+'hivatal5 '!Q13+hivatal6!E13+hivatal6!H13+hivatal6!K13+hivatal6!N13+hivatal6!Q13+hivatal7!E13</f>
        <v>2432695</v>
      </c>
      <c r="I13" s="360"/>
      <c r="J13" s="358"/>
      <c r="K13" s="403">
        <f t="shared" si="0"/>
        <v>0</v>
      </c>
      <c r="L13" s="363"/>
      <c r="M13" s="358"/>
      <c r="N13" s="403"/>
      <c r="O13" s="965">
        <f aca="true" t="shared" si="1" ref="O13:O21">SUM(L13:M13)</f>
        <v>0</v>
      </c>
      <c r="P13" s="385"/>
      <c r="Q13" s="385"/>
    </row>
    <row r="14" spans="1:17" s="15" customFormat="1" ht="16.5" thickBot="1">
      <c r="A14" s="361">
        <v>4</v>
      </c>
      <c r="B14" s="348" t="s">
        <v>180</v>
      </c>
      <c r="C14" s="360"/>
      <c r="D14" s="360"/>
      <c r="E14" s="364">
        <f>SUM(C14:D14)</f>
        <v>0</v>
      </c>
      <c r="F14" s="330">
        <f>hivatal1!C14+hivatal1!F14+hivatal1!I14+hivatal1!L14+hivatal1!O14+hivatal2!C14+hivatal2!F14+hivatal2!I14+hivatal2!L14+hivatal2!O14+hivatal3!C14+hivatal3!F14+hivatal3!I14+hivatal3!L14+hivatal3!O14+hivatal4!C14+hivatal4!F14+hivatal4!I14+hivatal4!L14+hivatal4!O14+'hivatal5 '!C14+'hivatal5 '!F14+'hivatal5 '!I14+'hivatal5 '!L14+'hivatal5 '!O14+hivatal6!C14+hivatal6!F14+hivatal6!I14+hivatal6!L14+hivatal6!O14+hivatal7!C14</f>
        <v>113502</v>
      </c>
      <c r="G14" s="333">
        <f>hivatal1!D14+hivatal1!G14+hivatal1!J14+hivatal1!M14+hivatal1!P14+hivatal2!D14+hivatal2!G14+hivatal2!J14+hivatal2!M14+hivatal2!P14+hivatal3!D14+hivatal3!G14+hivatal3!J14+hivatal3!M14+hivatal3!P14+hivatal4!D14+hivatal4!G14+hivatal4!J14+hivatal4!M14+hivatal4!P14+'hivatal5 '!D14+'hivatal5 '!G14+'hivatal5 '!J14+'hivatal5 '!M14+'hivatal5 '!P14+hivatal6!D14+hivatal6!G14+hivatal6!J14+hivatal6!M14+hivatal6!P14+hivatal7!D14</f>
        <v>0</v>
      </c>
      <c r="H14" s="331">
        <f>F14+G14</f>
        <v>113502</v>
      </c>
      <c r="I14" s="360"/>
      <c r="J14" s="360"/>
      <c r="K14" s="364">
        <f t="shared" si="0"/>
        <v>0</v>
      </c>
      <c r="L14" s="363"/>
      <c r="M14" s="360"/>
      <c r="N14" s="364"/>
      <c r="O14" s="377"/>
      <c r="P14" s="377"/>
      <c r="Q14" s="377"/>
    </row>
    <row r="15" spans="1:15" ht="15">
      <c r="A15" s="171" t="s">
        <v>108</v>
      </c>
      <c r="B15" s="160" t="s">
        <v>405</v>
      </c>
      <c r="C15" s="256"/>
      <c r="D15" s="256"/>
      <c r="E15" s="436">
        <f aca="true" t="shared" si="2" ref="E15:E22">C15+D15</f>
        <v>0</v>
      </c>
      <c r="F15" s="257">
        <f>hivatal1!C15+hivatal1!F15+hivatal1!I15+hivatal1!L15+hivatal1!O15+hivatal2!C15+hivatal2!F15+hivatal2!I15+hivatal2!L15+hivatal2!O15+hivatal3!C15+hivatal3!F15+hivatal3!I15+hivatal3!L15+hivatal3!O15+hivatal4!C15+hivatal4!F15+hivatal4!I15+hivatal4!L15+hivatal4!O15+'hivatal5 '!C15+'hivatal5 '!F15+'hivatal5 '!I15+'hivatal5 '!L15+'hivatal5 '!O15+hivatal6!C15+hivatal6!F15+hivatal6!I15+hivatal6!L15+hivatal6!O15+hivatal7!C15</f>
        <v>129520</v>
      </c>
      <c r="G15" s="256">
        <f>hivatal1!D15+hivatal1!G15+hivatal1!J15+hivatal1!M15+hivatal1!P15+hivatal2!D15+hivatal2!G15+hivatal2!J15+hivatal2!M15+hivatal2!P15+hivatal3!D15+hivatal3!G15+hivatal3!J15+hivatal3!M15+hivatal3!P15+hivatal4!D15+hivatal4!G15+hivatal4!J15+hivatal4!M15+hivatal4!P15+'hivatal5 '!D15+'hivatal5 '!G15+'hivatal5 '!J15+'hivatal5 '!M15+'hivatal5 '!P15+hivatal6!D15+hivatal6!G15+hivatal6!J15+hivatal6!M15+hivatal6!P15+hivatal7!D15</f>
        <v>2290</v>
      </c>
      <c r="H15" s="258">
        <f>F15+G15</f>
        <v>131810</v>
      </c>
      <c r="I15" s="273"/>
      <c r="J15" s="256"/>
      <c r="K15" s="436">
        <f t="shared" si="0"/>
        <v>0</v>
      </c>
      <c r="L15" s="257"/>
      <c r="M15" s="256"/>
      <c r="N15" s="436"/>
      <c r="O15" s="965">
        <f t="shared" si="1"/>
        <v>0</v>
      </c>
    </row>
    <row r="16" spans="1:15" ht="15">
      <c r="A16" s="168" t="s">
        <v>109</v>
      </c>
      <c r="B16" s="164" t="s">
        <v>406</v>
      </c>
      <c r="C16" s="154"/>
      <c r="D16" s="154"/>
      <c r="E16" s="436">
        <f t="shared" si="2"/>
        <v>0</v>
      </c>
      <c r="F16" s="257">
        <f>hivatal1!C16+hivatal1!F16+hivatal1!I16+hivatal1!L16+hivatal1!O16+hivatal2!C16+hivatal2!F16+hivatal2!I16+hivatal2!L16+hivatal2!O16+hivatal3!C16+hivatal3!F16+hivatal3!I16+hivatal3!L16+hivatal3!O16+hivatal4!C16+hivatal4!F16+hivatal4!I16+hivatal4!L16+hivatal4!O16+'hivatal5 '!C16+'hivatal5 '!F16+'hivatal5 '!I16+'hivatal5 '!L16+'hivatal5 '!O16+hivatal6!C16+hivatal6!F16+hivatal6!I16+hivatal6!L16+hivatal6!O16+hivatal7!C16</f>
        <v>0</v>
      </c>
      <c r="G16" s="256">
        <f>hivatal1!D16+hivatal1!G16+hivatal1!J16+hivatal1!M16+hivatal1!P16+hivatal2!D16+hivatal2!G16+hivatal2!J16+hivatal2!M16+hivatal2!P16+hivatal3!D16+hivatal3!G16+hivatal3!J16+hivatal3!M16+hivatal3!P16+hivatal4!D16+hivatal4!G16+hivatal4!J16+hivatal4!M16+hivatal4!P16+'hivatal5 '!D16+'hivatal5 '!G16+'hivatal5 '!J16+'hivatal5 '!M16+'hivatal5 '!P16+hivatal6!D16+hivatal6!G16+hivatal6!J16+hivatal6!M16+hivatal6!P16+hivatal7!D16</f>
        <v>0</v>
      </c>
      <c r="H16" s="258">
        <f>F16+G16</f>
        <v>0</v>
      </c>
      <c r="I16" s="156"/>
      <c r="J16" s="154"/>
      <c r="K16" s="436">
        <f t="shared" si="0"/>
        <v>0</v>
      </c>
      <c r="L16" s="158"/>
      <c r="M16" s="154"/>
      <c r="N16" s="436"/>
      <c r="O16" s="965">
        <f>SUM(L16:M16)</f>
        <v>0</v>
      </c>
    </row>
    <row r="17" spans="1:15" ht="15">
      <c r="A17" s="168" t="s">
        <v>110</v>
      </c>
      <c r="B17" s="164" t="s">
        <v>407</v>
      </c>
      <c r="C17" s="154"/>
      <c r="D17" s="154"/>
      <c r="E17" s="436">
        <f t="shared" si="2"/>
        <v>0</v>
      </c>
      <c r="F17" s="257">
        <f>hivatal1!C17+hivatal1!F17+hivatal1!I17+hivatal1!L17+hivatal1!O17+hivatal2!C17+hivatal2!F17+hivatal2!I17+hivatal2!L17+hivatal2!O17+hivatal3!C17+hivatal3!F17+hivatal3!I17+hivatal3!L17+hivatal3!O17+hivatal4!C17+hivatal4!F17+hivatal4!I17+hivatal4!L17+hivatal4!O17+'hivatal5 '!C17+'hivatal5 '!F17+'hivatal5 '!I17+'hivatal5 '!L17+'hivatal5 '!O17+hivatal6!C17+hivatal6!F17+hivatal6!I17+hivatal6!L17+hivatal6!O17+hivatal7!C17</f>
        <v>0</v>
      </c>
      <c r="G17" s="256">
        <f>hivatal1!D17+hivatal1!G17+hivatal1!J17+hivatal1!M17+hivatal1!P17+hivatal2!D17+hivatal2!G17+hivatal2!J17+hivatal2!M17+hivatal2!P17+hivatal3!D17+hivatal3!G17+hivatal3!J17+hivatal3!M17+hivatal3!P17+hivatal4!D17+hivatal4!G17+hivatal4!J17+hivatal4!M17+hivatal4!P17+'hivatal5 '!D17+'hivatal5 '!G17+'hivatal5 '!J17+'hivatal5 '!M17+'hivatal5 '!P17+hivatal6!D17+hivatal6!G17+hivatal6!J17+hivatal6!M17+hivatal6!P17+hivatal7!D17</f>
        <v>0</v>
      </c>
      <c r="H17" s="258">
        <f aca="true" t="shared" si="3" ref="H17:H22">F17+G17</f>
        <v>0</v>
      </c>
      <c r="I17" s="156"/>
      <c r="J17" s="154"/>
      <c r="K17" s="436">
        <f aca="true" t="shared" si="4" ref="K17:K22">SUM(I17:J17)</f>
        <v>0</v>
      </c>
      <c r="L17" s="158"/>
      <c r="M17" s="154"/>
      <c r="N17" s="436"/>
      <c r="O17" s="965">
        <f t="shared" si="1"/>
        <v>0</v>
      </c>
    </row>
    <row r="18" spans="1:15" ht="15">
      <c r="A18" s="168" t="s">
        <v>111</v>
      </c>
      <c r="B18" s="164" t="s">
        <v>408</v>
      </c>
      <c r="C18" s="154"/>
      <c r="D18" s="154"/>
      <c r="E18" s="436">
        <f t="shared" si="2"/>
        <v>0</v>
      </c>
      <c r="F18" s="257">
        <f>hivatal1!C18+hivatal1!F18+hivatal1!I18+hivatal1!L18+hivatal1!O18+hivatal2!C18+hivatal2!F18+hivatal2!I18+hivatal2!L18+hivatal2!O18+hivatal3!C18+hivatal3!F18+hivatal3!I18+hivatal3!L18+hivatal3!O18+hivatal4!C18+hivatal4!F18+hivatal4!I18+hivatal4!L18+hivatal4!O18+'hivatal5 '!C18+'hivatal5 '!F18+'hivatal5 '!I18+'hivatal5 '!L18+'hivatal5 '!O18+hivatal6!C18+hivatal6!F18+hivatal6!I18+hivatal6!L18+hivatal6!O18+hivatal7!C18</f>
        <v>30399</v>
      </c>
      <c r="G18" s="256">
        <f>hivatal1!D18+hivatal1!G18+hivatal1!J18+hivatal1!M18+hivatal1!P18+hivatal2!D18+hivatal2!G18+hivatal2!J18+hivatal2!M18+hivatal2!P18+hivatal3!D18+hivatal3!G18+hivatal3!J18+hivatal3!M18+hivatal3!P18+hivatal4!D18+hivatal4!G18+hivatal4!J18+hivatal4!M18+hivatal4!P18+'hivatal5 '!D18+'hivatal5 '!G18+'hivatal5 '!J18+'hivatal5 '!M18+'hivatal5 '!P18+hivatal6!D18+hivatal6!G18+hivatal6!J18+hivatal6!M18+hivatal6!P18+hivatal7!D18</f>
        <v>7810</v>
      </c>
      <c r="H18" s="258">
        <f t="shared" si="3"/>
        <v>38209</v>
      </c>
      <c r="I18" s="156"/>
      <c r="J18" s="154"/>
      <c r="K18" s="436">
        <f t="shared" si="4"/>
        <v>0</v>
      </c>
      <c r="L18" s="271"/>
      <c r="M18" s="166"/>
      <c r="N18" s="436"/>
      <c r="O18" s="965">
        <f t="shared" si="1"/>
        <v>0</v>
      </c>
    </row>
    <row r="19" spans="1:15" ht="15">
      <c r="A19" s="163" t="s">
        <v>202</v>
      </c>
      <c r="B19" s="164" t="s">
        <v>409</v>
      </c>
      <c r="C19" s="156"/>
      <c r="D19" s="154"/>
      <c r="E19" s="436">
        <f t="shared" si="2"/>
        <v>0</v>
      </c>
      <c r="F19" s="257">
        <f>hivatal1!C19+hivatal1!F19+hivatal1!I19+hivatal1!L19+hivatal1!O19+hivatal2!C19+hivatal2!F19+hivatal2!I19+hivatal2!L19+hivatal2!O19+hivatal3!C19+hivatal3!F19+hivatal3!I19+hivatal3!L19+hivatal3!O19+hivatal4!C19+hivatal4!F19+hivatal4!I19+hivatal4!L19+hivatal4!O19+'hivatal5 '!C19+'hivatal5 '!F19+'hivatal5 '!I19+'hivatal5 '!L19+'hivatal5 '!O19+hivatal6!C19+hivatal6!F19+hivatal6!I19+hivatal6!L19+hivatal6!O19+hivatal7!C19</f>
        <v>0</v>
      </c>
      <c r="G19" s="256">
        <f>hivatal1!D19+hivatal1!G19+hivatal1!J19+hivatal1!M19+hivatal1!P19+hivatal2!D19+hivatal2!G19+hivatal2!J19+hivatal2!M19+hivatal2!P19+hivatal3!D19+hivatal3!G19+hivatal3!J19+hivatal3!M19+hivatal3!P19+hivatal4!D19+hivatal4!G19+hivatal4!J19+hivatal4!M19+hivatal4!P19+'hivatal5 '!D19+'hivatal5 '!G19+'hivatal5 '!J19+'hivatal5 '!M19+'hivatal5 '!P19+hivatal6!D19+hivatal6!G19+hivatal6!J19+hivatal6!M19+hivatal6!P19+hivatal7!D19</f>
        <v>0</v>
      </c>
      <c r="H19" s="258">
        <f t="shared" si="3"/>
        <v>0</v>
      </c>
      <c r="I19" s="156"/>
      <c r="J19" s="154"/>
      <c r="K19" s="436">
        <f>SUM(I19:J19)</f>
        <v>0</v>
      </c>
      <c r="L19" s="158"/>
      <c r="M19" s="154"/>
      <c r="N19" s="436"/>
      <c r="O19" s="965">
        <f>SUM(L19:M19)</f>
        <v>0</v>
      </c>
    </row>
    <row r="20" spans="1:15" ht="15">
      <c r="A20" s="163" t="s">
        <v>359</v>
      </c>
      <c r="B20" s="164" t="s">
        <v>410</v>
      </c>
      <c r="C20" s="156"/>
      <c r="D20" s="154"/>
      <c r="E20" s="436">
        <f t="shared" si="2"/>
        <v>0</v>
      </c>
      <c r="F20" s="257">
        <f>hivatal1!C20+hivatal1!F20+hivatal1!I20+hivatal1!L20+hivatal1!O20+hivatal2!C20+hivatal2!F20+hivatal2!I20+hivatal2!L20+hivatal2!O20+hivatal3!C20+hivatal3!F20+hivatal3!I20+hivatal3!L20+hivatal3!O20+hivatal4!C20+hivatal4!F20+hivatal4!I20+hivatal4!L20+hivatal4!O20+'hivatal5 '!C20+'hivatal5 '!F20+'hivatal5 '!I20+'hivatal5 '!L20+'hivatal5 '!O20+hivatal6!C20+hivatal6!F20+hivatal6!I20+hivatal6!L20+hivatal6!O20+hivatal7!C20</f>
        <v>0</v>
      </c>
      <c r="G20" s="256">
        <f>hivatal1!D20+hivatal1!G20+hivatal1!J20+hivatal1!M20+hivatal1!P20+hivatal2!D20+hivatal2!G20+hivatal2!J20+hivatal2!M20+hivatal2!P20+hivatal3!D20+hivatal3!G20+hivatal3!J20+hivatal3!M20+hivatal3!P20+hivatal4!D20+hivatal4!G20+hivatal4!J20+hivatal4!M20+hivatal4!P20+'hivatal5 '!D20+'hivatal5 '!G20+'hivatal5 '!J20+'hivatal5 '!M20+'hivatal5 '!P20+hivatal6!D20+hivatal6!G20+hivatal6!J20+hivatal6!M20+hivatal6!P20+hivatal7!D20</f>
        <v>0</v>
      </c>
      <c r="H20" s="258">
        <f t="shared" si="3"/>
        <v>0</v>
      </c>
      <c r="I20" s="156"/>
      <c r="J20" s="154"/>
      <c r="K20" s="436">
        <f t="shared" si="4"/>
        <v>0</v>
      </c>
      <c r="L20" s="158"/>
      <c r="M20" s="154"/>
      <c r="N20" s="436"/>
      <c r="O20" s="965">
        <f t="shared" si="1"/>
        <v>0</v>
      </c>
    </row>
    <row r="21" spans="1:15" ht="15">
      <c r="A21" s="163" t="s">
        <v>361</v>
      </c>
      <c r="B21" s="164" t="s">
        <v>411</v>
      </c>
      <c r="C21" s="273"/>
      <c r="D21" s="256"/>
      <c r="E21" s="436">
        <f t="shared" si="2"/>
        <v>0</v>
      </c>
      <c r="F21" s="257">
        <f>hivatal1!C21+hivatal1!F21+hivatal1!I21+hivatal1!L21+hivatal1!O21+hivatal2!C21+hivatal2!F21+hivatal2!I21+hivatal2!L21+hivatal2!O21+hivatal3!C21+hivatal3!F21+hivatal3!I21+hivatal3!L21+hivatal3!O21+hivatal4!C21+hivatal4!F21+hivatal4!I21+hivatal4!L21+hivatal4!O21+'hivatal5 '!C21+'hivatal5 '!F21+'hivatal5 '!I21+'hivatal5 '!L21+'hivatal5 '!O21+hivatal6!C21+hivatal6!F21+hivatal6!I21+hivatal6!L21+hivatal6!O21+hivatal7!C21</f>
        <v>175384</v>
      </c>
      <c r="G21" s="256">
        <f>hivatal1!D21+hivatal1!G21+hivatal1!J21+hivatal1!M21+hivatal1!P21+hivatal2!D21+hivatal2!G21+hivatal2!J21+hivatal2!M21+hivatal2!P21+hivatal3!D21+hivatal3!G21+hivatal3!J21+hivatal3!M21+hivatal3!P21+hivatal4!D21+hivatal4!G21+hivatal4!J21+hivatal4!M21+hivatal4!P21+'hivatal5 '!D21+'hivatal5 '!G21+'hivatal5 '!J21+'hivatal5 '!M21+'hivatal5 '!P21+hivatal6!D21+hivatal6!G21+hivatal6!J21+hivatal6!M21+hivatal6!P21+hivatal7!D21</f>
        <v>-3586</v>
      </c>
      <c r="H21" s="258">
        <f t="shared" si="3"/>
        <v>171798</v>
      </c>
      <c r="I21" s="273"/>
      <c r="J21" s="256"/>
      <c r="K21" s="436">
        <f t="shared" si="4"/>
        <v>0</v>
      </c>
      <c r="L21" s="257"/>
      <c r="M21" s="256"/>
      <c r="N21" s="436"/>
      <c r="O21" s="965">
        <f t="shared" si="1"/>
        <v>0</v>
      </c>
    </row>
    <row r="22" spans="1:15" ht="15" customHeight="1" thickBot="1">
      <c r="A22" s="16" t="s">
        <v>74</v>
      </c>
      <c r="B22" s="967" t="s">
        <v>412</v>
      </c>
      <c r="C22" s="165">
        <f>tartalék!D54</f>
        <v>3830639</v>
      </c>
      <c r="D22" s="165">
        <f>tartalék!E54</f>
        <v>-1037</v>
      </c>
      <c r="E22" s="436">
        <f t="shared" si="2"/>
        <v>3829602</v>
      </c>
      <c r="F22" s="257">
        <f>hivatal1!C22+hivatal1!F22+hivatal1!I22+hivatal1!L22+hivatal1!O22+hivatal2!C22+hivatal2!F22+hivatal2!I22+hivatal2!L22+hivatal2!O22+hivatal3!C22+hivatal3!F22+hivatal3!I22+hivatal3!L22+hivatal3!O22+hivatal4!C22+hivatal4!F22+hivatal4!I22+hivatal4!L22+hivatal4!O22+'hivatal5 '!C22+'hivatal5 '!F22+'hivatal5 '!I22+'hivatal5 '!L22+'hivatal5 '!O22+hivatal6!C22+hivatal6!F22+hivatal6!I22+hivatal6!L22+hivatal6!O22+hivatal7!C22</f>
        <v>3830639</v>
      </c>
      <c r="G22" s="256">
        <f>hivatal1!D22+hivatal1!G22+hivatal1!J22+hivatal1!M22+hivatal1!P22+hivatal2!D22+hivatal2!G22+hivatal2!J22+hivatal2!M22+hivatal2!P22+hivatal3!D22+hivatal3!G22+hivatal3!J22+hivatal3!M22+hivatal3!P22+hivatal4!D22+hivatal4!G22+hivatal4!J22+hivatal4!M22+hivatal4!P22+'hivatal5 '!D22+'hivatal5 '!G22+'hivatal5 '!J22+'hivatal5 '!M22+'hivatal5 '!P22+hivatal6!D22+hivatal6!G22+hivatal6!J22+hivatal6!M22+hivatal6!P22+hivatal7!D22</f>
        <v>-1037</v>
      </c>
      <c r="H22" s="258">
        <f t="shared" si="3"/>
        <v>3829602</v>
      </c>
      <c r="I22" s="165"/>
      <c r="J22" s="166"/>
      <c r="K22" s="436">
        <f t="shared" si="4"/>
        <v>0</v>
      </c>
      <c r="L22" s="271"/>
      <c r="M22" s="166"/>
      <c r="N22" s="436"/>
      <c r="O22" s="965"/>
    </row>
    <row r="23" spans="1:17" s="15" customFormat="1" ht="16.5" thickBot="1">
      <c r="A23" s="361">
        <v>5</v>
      </c>
      <c r="B23" s="348" t="s">
        <v>179</v>
      </c>
      <c r="C23" s="363">
        <f aca="true" t="shared" si="5" ref="C23:P23">SUM(C15:C22)</f>
        <v>3830639</v>
      </c>
      <c r="D23" s="360">
        <f t="shared" si="5"/>
        <v>-1037</v>
      </c>
      <c r="E23" s="364">
        <f t="shared" si="5"/>
        <v>3829602</v>
      </c>
      <c r="F23" s="360">
        <f t="shared" si="5"/>
        <v>4165942</v>
      </c>
      <c r="G23" s="360">
        <f t="shared" si="5"/>
        <v>5477</v>
      </c>
      <c r="H23" s="374">
        <f t="shared" si="5"/>
        <v>4171419</v>
      </c>
      <c r="I23" s="363">
        <f t="shared" si="5"/>
        <v>0</v>
      </c>
      <c r="J23" s="360">
        <f t="shared" si="5"/>
        <v>0</v>
      </c>
      <c r="K23" s="364">
        <f t="shared" si="5"/>
        <v>0</v>
      </c>
      <c r="L23" s="363"/>
      <c r="M23" s="360"/>
      <c r="N23" s="364"/>
      <c r="O23" s="377">
        <f t="shared" si="5"/>
        <v>0</v>
      </c>
      <c r="P23" s="377">
        <f t="shared" si="5"/>
        <v>0</v>
      </c>
      <c r="Q23" s="377"/>
    </row>
    <row r="24" spans="1:17" ht="16.5" thickBot="1">
      <c r="A24" s="357">
        <v>6</v>
      </c>
      <c r="B24" s="348" t="s">
        <v>182</v>
      </c>
      <c r="C24" s="358"/>
      <c r="D24" s="358"/>
      <c r="E24" s="403">
        <f aca="true" t="shared" si="6" ref="E24:E30">SUM(C24:D24)</f>
        <v>0</v>
      </c>
      <c r="F24" s="330">
        <f>hivatal1!C24+hivatal1!F24+hivatal1!I24+hivatal1!L24+hivatal1!O24+hivatal2!C24+hivatal2!F24+hivatal2!I24+hivatal2!L24+hivatal2!O24+hivatal3!C24+hivatal3!F24+hivatal3!I24+hivatal3!L24+hivatal3!O24+hivatal4!C24+hivatal4!F24+hivatal4!I24+hivatal4!L24+hivatal4!O24+'hivatal5 '!C24+'hivatal5 '!F24+'hivatal5 '!I24+'hivatal5 '!L24+'hivatal5 '!O24+hivatal6!C24+hivatal6!F24+hivatal6!I24+hivatal6!L24+hivatal6!O24+hivatal7!C24</f>
        <v>1881977</v>
      </c>
      <c r="G24" s="333">
        <f>hivatal1!D24+hivatal1!G24+hivatal1!J24+hivatal1!M24+hivatal1!P24+hivatal2!D24+hivatal2!G24+hivatal2!J24+hivatal2!M24+hivatal2!P24+hivatal3!D24+hivatal3!G24+hivatal3!J24+hivatal3!M24+hivatal3!P24+hivatal4!D24+hivatal4!G24+hivatal4!J24+hivatal4!M24+hivatal4!P24+'hivatal5 '!D24+'hivatal5 '!G24+'hivatal5 '!J24+'hivatal5 '!M24+'hivatal5 '!P24+hivatal6!D24+hivatal6!G24+hivatal6!J24+hivatal6!M24+hivatal6!P24+hivatal7!D24</f>
        <v>419272</v>
      </c>
      <c r="H24" s="331">
        <f>F24+G24</f>
        <v>2301249</v>
      </c>
      <c r="I24" s="360"/>
      <c r="J24" s="358"/>
      <c r="K24" s="403">
        <f aca="true" t="shared" si="7" ref="K24:K33">SUM(I24:J24)</f>
        <v>0</v>
      </c>
      <c r="L24" s="363"/>
      <c r="M24" s="358"/>
      <c r="N24" s="403"/>
      <c r="O24" s="965">
        <f aca="true" t="shared" si="8" ref="O24:O34">SUM(L24:M24)</f>
        <v>0</v>
      </c>
      <c r="P24" s="385"/>
      <c r="Q24" s="385"/>
    </row>
    <row r="25" spans="1:17" s="15" customFormat="1" ht="16.5" thickBot="1">
      <c r="A25" s="357">
        <v>7</v>
      </c>
      <c r="B25" s="348" t="s">
        <v>464</v>
      </c>
      <c r="C25" s="358"/>
      <c r="D25" s="358"/>
      <c r="E25" s="403">
        <f t="shared" si="6"/>
        <v>0</v>
      </c>
      <c r="F25" s="330">
        <f>hivatal1!C25+hivatal1!F25+hivatal1!I25+hivatal1!L25+hivatal1!O25+hivatal2!C25+hivatal2!F25+hivatal2!I25+hivatal2!L25+hivatal2!O25+hivatal3!C25+hivatal3!F25+hivatal3!I25+hivatal3!L25+hivatal3!O25+hivatal4!C25+hivatal4!F25+hivatal4!I25+hivatal4!L25+hivatal4!O25+'hivatal5 '!C25+'hivatal5 '!F25+'hivatal5 '!I25+'hivatal5 '!L25+'hivatal5 '!O25+hivatal6!C25+hivatal6!F25+hivatal6!I25+hivatal6!L25+hivatal6!O25+hivatal7!C25</f>
        <v>2261369</v>
      </c>
      <c r="G25" s="333">
        <f>hivatal1!D25+hivatal1!G25+hivatal1!J25+hivatal1!M25+hivatal1!P25+hivatal2!D25+hivatal2!G25+hivatal2!J25+hivatal2!M25+hivatal2!P25+hivatal3!D25+hivatal3!G25+hivatal3!J25+hivatal3!M25+hivatal3!P25+hivatal4!D25+hivatal4!G25+hivatal4!J25+hivatal4!M25+hivatal4!P25+'hivatal5 '!D25+'hivatal5 '!G25+'hivatal5 '!J25+'hivatal5 '!M25+'hivatal5 '!P25+hivatal6!D25+hivatal6!G25+hivatal6!J25+hivatal6!M25+hivatal6!P25+hivatal7!D25</f>
        <v>-30347</v>
      </c>
      <c r="H25" s="331">
        <f>F25+G25</f>
        <v>2231022</v>
      </c>
      <c r="I25" s="360"/>
      <c r="J25" s="358"/>
      <c r="K25" s="403">
        <f t="shared" si="7"/>
        <v>0</v>
      </c>
      <c r="L25" s="363"/>
      <c r="M25" s="358"/>
      <c r="N25" s="403"/>
      <c r="O25" s="965">
        <f t="shared" si="8"/>
        <v>0</v>
      </c>
      <c r="P25" s="385"/>
      <c r="Q25" s="385"/>
    </row>
    <row r="26" spans="1:15" ht="15">
      <c r="A26" s="171" t="s">
        <v>108</v>
      </c>
      <c r="B26" s="164" t="s">
        <v>413</v>
      </c>
      <c r="C26" s="256"/>
      <c r="D26" s="256"/>
      <c r="E26" s="436">
        <f t="shared" si="6"/>
        <v>0</v>
      </c>
      <c r="F26" s="257">
        <f>hivatal1!C26+hivatal1!F26+hivatal1!I26+hivatal1!L26+hivatal1!O26+hivatal2!C26+hivatal2!F26+hivatal2!I26+hivatal2!L26+hivatal2!O26+hivatal3!C26+hivatal3!F26+hivatal3!I26+hivatal3!L26+hivatal3!O26+hivatal4!C26+hivatal4!F26+hivatal4!I26+hivatal4!L26+hivatal4!O26+'hivatal5 '!C26+'hivatal5 '!F26+'hivatal5 '!I26+'hivatal5 '!L26+'hivatal5 '!O26+hivatal6!C26+hivatal6!F26+hivatal6!I26+hivatal6!L26+hivatal6!O26+hivatal7!C26</f>
        <v>0</v>
      </c>
      <c r="G26" s="256">
        <f>hivatal1!D26+hivatal1!G26+hivatal1!J26+hivatal1!M26+hivatal1!P26+hivatal2!D26+hivatal2!G26+hivatal2!J26+hivatal2!M26+hivatal2!P26+hivatal3!D26+hivatal3!G26+hivatal3!J26+hivatal3!M26+hivatal3!P26+hivatal4!D26+hivatal4!G26+hivatal4!J26+hivatal4!M26+hivatal4!P26+'hivatal5 '!D26+'hivatal5 '!G26+'hivatal5 '!J26+'hivatal5 '!M26+'hivatal5 '!P26+hivatal6!D26+hivatal6!G26+hivatal6!J26+hivatal6!M26+hivatal6!P26+hivatal7!D26</f>
        <v>0</v>
      </c>
      <c r="H26" s="258">
        <f>F26+G26</f>
        <v>0</v>
      </c>
      <c r="I26" s="273"/>
      <c r="J26" s="256"/>
      <c r="K26" s="436">
        <f t="shared" si="7"/>
        <v>0</v>
      </c>
      <c r="L26" s="257"/>
      <c r="M26" s="256"/>
      <c r="N26" s="436"/>
      <c r="O26" s="965">
        <f t="shared" si="8"/>
        <v>0</v>
      </c>
    </row>
    <row r="27" spans="1:15" ht="15">
      <c r="A27" s="171" t="s">
        <v>109</v>
      </c>
      <c r="B27" s="164" t="s">
        <v>414</v>
      </c>
      <c r="C27" s="256"/>
      <c r="D27" s="256"/>
      <c r="E27" s="436">
        <f t="shared" si="6"/>
        <v>0</v>
      </c>
      <c r="F27" s="257">
        <f>hivatal1!C27+hivatal1!F27+hivatal1!I27+hivatal1!L27+hivatal1!O27+hivatal2!C27+hivatal2!F27+hivatal2!I27+hivatal2!L27+hivatal2!O27+hivatal3!C27+hivatal3!F27+hivatal3!I27+hivatal3!L27+hivatal3!O27+hivatal4!C27+hivatal4!F27+hivatal4!I27+hivatal4!L27+hivatal4!O27+'hivatal5 '!C27+'hivatal5 '!F27+'hivatal5 '!I27+'hivatal5 '!L27+'hivatal5 '!O27+hivatal6!C27+hivatal6!F27+hivatal6!I27+hivatal6!L27+hivatal6!O27+hivatal7!C27</f>
        <v>0</v>
      </c>
      <c r="G27" s="256">
        <f>hivatal1!D27+hivatal1!G27+hivatal1!J27+hivatal1!M27+hivatal1!P27+hivatal2!D27+hivatal2!G27+hivatal2!J27+hivatal2!M27+hivatal2!P27+hivatal3!D27+hivatal3!G27+hivatal3!J27+hivatal3!M27+hivatal3!P27+hivatal4!D27+hivatal4!G27+hivatal4!J27+hivatal4!M27+hivatal4!P27+'hivatal5 '!D27+'hivatal5 '!G27+'hivatal5 '!J27+'hivatal5 '!M27+'hivatal5 '!P27+hivatal6!D27+hivatal6!G27+hivatal6!J27+hivatal6!M27+hivatal6!P27+hivatal7!D27</f>
        <v>0</v>
      </c>
      <c r="H27" s="258">
        <f aca="true" t="shared" si="9" ref="H27:H33">F27+G27</f>
        <v>0</v>
      </c>
      <c r="I27" s="273"/>
      <c r="J27" s="256"/>
      <c r="K27" s="436">
        <f t="shared" si="7"/>
        <v>0</v>
      </c>
      <c r="L27" s="257"/>
      <c r="M27" s="256"/>
      <c r="N27" s="436"/>
      <c r="O27" s="965">
        <f t="shared" si="8"/>
        <v>0</v>
      </c>
    </row>
    <row r="28" spans="1:15" ht="15">
      <c r="A28" s="171" t="s">
        <v>110</v>
      </c>
      <c r="B28" s="164" t="s">
        <v>415</v>
      </c>
      <c r="C28" s="256"/>
      <c r="D28" s="256"/>
      <c r="E28" s="436">
        <f t="shared" si="6"/>
        <v>0</v>
      </c>
      <c r="F28" s="257">
        <f>hivatal1!C28+hivatal1!F28+hivatal1!I28+hivatal1!L28+hivatal1!O28+hivatal2!C28+hivatal2!F28+hivatal2!I28+hivatal2!L28+hivatal2!O28+hivatal3!C28+hivatal3!F28+hivatal3!I28+hivatal3!L28+hivatal3!O28+hivatal4!C28+hivatal4!F28+hivatal4!I28+hivatal4!L28+hivatal4!O28+'hivatal5 '!C28+'hivatal5 '!F28+'hivatal5 '!I28+'hivatal5 '!L28+'hivatal5 '!O28+hivatal6!C28+hivatal6!F28+hivatal6!I28+hivatal6!L28+hivatal6!O28+hivatal7!C28</f>
        <v>153125</v>
      </c>
      <c r="G28" s="256">
        <f>hivatal1!D28+hivatal1!G28+hivatal1!J28+hivatal1!M28+hivatal1!P28+hivatal2!D28+hivatal2!G28+hivatal2!J28+hivatal2!M28+hivatal2!P28+hivatal3!D28+hivatal3!G28+hivatal3!J28+hivatal3!M28+hivatal3!P28+hivatal4!D28+hivatal4!G28+hivatal4!J28+hivatal4!M28+hivatal4!P28+'hivatal5 '!D28+'hivatal5 '!G28+'hivatal5 '!J28+'hivatal5 '!M28+'hivatal5 '!P28+hivatal6!D28+hivatal6!G28+hivatal6!J28+hivatal6!M28+hivatal6!P28+hivatal7!D28</f>
        <v>0</v>
      </c>
      <c r="H28" s="258">
        <f t="shared" si="9"/>
        <v>153125</v>
      </c>
      <c r="I28" s="273"/>
      <c r="J28" s="256"/>
      <c r="K28" s="436">
        <f t="shared" si="7"/>
        <v>0</v>
      </c>
      <c r="L28" s="1180"/>
      <c r="M28" s="154"/>
      <c r="N28" s="258"/>
      <c r="O28" s="965">
        <f t="shared" si="8"/>
        <v>0</v>
      </c>
    </row>
    <row r="29" spans="1:15" ht="15">
      <c r="A29" s="171" t="s">
        <v>111</v>
      </c>
      <c r="B29" s="164" t="s">
        <v>416</v>
      </c>
      <c r="C29" s="349"/>
      <c r="D29" s="154"/>
      <c r="E29" s="258">
        <f t="shared" si="6"/>
        <v>0</v>
      </c>
      <c r="F29" s="1180">
        <f>hivatal1!C29+hivatal1!F29+hivatal1!I29+hivatal1!L29+hivatal1!O29+hivatal2!C29+hivatal2!F29+hivatal2!I29+hivatal2!L29+hivatal2!O29+hivatal3!C29+hivatal3!F29+hivatal3!I29+hivatal3!L29+hivatal3!O29+hivatal4!C29+hivatal4!F29+hivatal4!I29+hivatal4!L29+hivatal4!O29+'hivatal5 '!C29+'hivatal5 '!F29+'hivatal5 '!I29+'hivatal5 '!L29+'hivatal5 '!O29+hivatal6!C29+hivatal6!F29+hivatal6!I29+hivatal6!L29+hivatal6!O29+hivatal7!C29</f>
        <v>10000</v>
      </c>
      <c r="G29" s="154">
        <f>hivatal1!D29+hivatal1!G29+hivatal1!J29+hivatal1!M29+hivatal1!P29+hivatal2!D29+hivatal2!G29+hivatal2!J29+hivatal2!M29+hivatal2!P29+hivatal3!D29+hivatal3!G29+hivatal3!J29+hivatal3!M29+hivatal3!P29+hivatal4!D29+hivatal4!G29+hivatal4!J29+hivatal4!M29+hivatal4!P29+'hivatal5 '!D29+'hivatal5 '!G29+'hivatal5 '!J29+'hivatal5 '!M29+'hivatal5 '!P29+hivatal6!D29+hivatal6!G29+hivatal6!J29+hivatal6!M29+hivatal6!P29+hivatal7!D29</f>
        <v>700</v>
      </c>
      <c r="H29" s="258">
        <f t="shared" si="9"/>
        <v>10700</v>
      </c>
      <c r="I29" s="934"/>
      <c r="J29" s="154"/>
      <c r="K29" s="258">
        <f t="shared" si="7"/>
        <v>0</v>
      </c>
      <c r="L29" s="1180"/>
      <c r="M29" s="256"/>
      <c r="N29" s="258"/>
      <c r="O29" s="965">
        <f t="shared" si="8"/>
        <v>0</v>
      </c>
    </row>
    <row r="30" spans="1:15" ht="15.75" thickBot="1">
      <c r="A30" s="379" t="s">
        <v>202</v>
      </c>
      <c r="B30" s="164" t="s">
        <v>417</v>
      </c>
      <c r="C30" s="373"/>
      <c r="D30" s="365"/>
      <c r="E30" s="258">
        <f t="shared" si="6"/>
        <v>0</v>
      </c>
      <c r="F30" s="1181">
        <f>hivatal1!C30+hivatal1!F30+hivatal1!I30+hivatal1!L30+hivatal1!O30+hivatal2!C30+hivatal2!F30+hivatal2!I30+hivatal2!L30+hivatal2!O30+hivatal3!C30+hivatal3!F30+hivatal3!I30+hivatal3!L30+hivatal3!O30+hivatal4!C30+hivatal4!F30+hivatal4!I30+hivatal4!L30+hivatal4!O30+'hivatal5 '!C30+'hivatal5 '!F30+'hivatal5 '!I30+'hivatal5 '!L30+'hivatal5 '!O30+hivatal6!C30+hivatal6!F30+hivatal6!I30+hivatal6!L30+hivatal6!O30+hivatal7!C30</f>
        <v>57514</v>
      </c>
      <c r="G30" s="365">
        <f>hivatal1!D30+hivatal1!G30+hivatal1!J30+hivatal1!M30+hivatal1!P30+hivatal2!D30+hivatal2!G30+hivatal2!J30+hivatal2!M30+hivatal2!P30+hivatal3!D30+hivatal3!G30+hivatal3!J30+hivatal3!M30+hivatal3!P30+hivatal4!D30+hivatal4!G30+hivatal4!J30+hivatal4!M30+hivatal4!P30+'hivatal5 '!D30+'hivatal5 '!G30+'hivatal5 '!J30+'hivatal5 '!M30+'hivatal5 '!P30+hivatal6!D30+hivatal6!G30+hivatal6!J30+hivatal6!M30+hivatal6!P30+hivatal7!D30</f>
        <v>21742</v>
      </c>
      <c r="H30" s="368">
        <f t="shared" si="9"/>
        <v>79256</v>
      </c>
      <c r="I30" s="172"/>
      <c r="J30" s="365"/>
      <c r="K30" s="368">
        <f t="shared" si="7"/>
        <v>0</v>
      </c>
      <c r="L30" s="1181"/>
      <c r="M30" s="365"/>
      <c r="N30" s="368"/>
      <c r="O30" s="965">
        <f t="shared" si="8"/>
        <v>0</v>
      </c>
    </row>
    <row r="31" spans="1:17" s="15" customFormat="1" ht="16.5" thickBot="1">
      <c r="A31" s="357">
        <v>8</v>
      </c>
      <c r="B31" s="348" t="s">
        <v>181</v>
      </c>
      <c r="C31" s="362">
        <f>SUM(C26:C30)</f>
        <v>0</v>
      </c>
      <c r="D31" s="358">
        <f>SUM(D27:D30)</f>
        <v>0</v>
      </c>
      <c r="E31" s="360">
        <f>SUM(E27:E30)</f>
        <v>0</v>
      </c>
      <c r="F31" s="1200">
        <f>hivatal1!C31+hivatal1!F31+hivatal1!I31+hivatal1!L31+hivatal1!O31+hivatal2!C31+hivatal2!F31+hivatal2!I31+hivatal2!L31+hivatal2!O31+hivatal3!C31+hivatal3!F31+hivatal3!I31+hivatal3!L31+hivatal3!O31+hivatal4!C31+hivatal4!F31+hivatal4!I31+hivatal4!L31+hivatal4!O31+'hivatal5 '!C31+'hivatal5 '!F31+'hivatal5 '!I31+'hivatal5 '!L31+'hivatal5 '!O31+hivatal6!C31+hivatal6!F31+hivatal6!I31+hivatal6!L31+hivatal6!O31+hivatal7!C31</f>
        <v>220639</v>
      </c>
      <c r="G31" s="333">
        <f>hivatal1!D31+hivatal1!G31+hivatal1!J31+hivatal1!M31+hivatal1!P31+hivatal2!D31+hivatal2!G31+hivatal2!J31+hivatal2!M31+hivatal2!P31+hivatal3!D31+hivatal3!G31+hivatal3!J31+hivatal3!M31+hivatal3!P31+hivatal4!D31+hivatal4!G31+hivatal4!J31+hivatal4!M31+hivatal4!P31+'hivatal5 '!D31+'hivatal5 '!G31+'hivatal5 '!J31+'hivatal5 '!M31+'hivatal5 '!P31+hivatal6!D31+hivatal6!G31+hivatal6!J31+hivatal6!M31+hivatal6!P31+hivatal7!D31</f>
        <v>22442</v>
      </c>
      <c r="H31" s="331">
        <f t="shared" si="9"/>
        <v>243081</v>
      </c>
      <c r="I31" s="374"/>
      <c r="J31" s="358"/>
      <c r="K31" s="364">
        <f t="shared" si="7"/>
        <v>0</v>
      </c>
      <c r="L31" s="392"/>
      <c r="M31" s="358"/>
      <c r="N31" s="364"/>
      <c r="O31" s="965">
        <f t="shared" si="8"/>
        <v>0</v>
      </c>
      <c r="P31" s="385"/>
      <c r="Q31" s="385"/>
    </row>
    <row r="32" spans="1:17" ht="16.5" thickBot="1">
      <c r="A32" s="357">
        <v>9</v>
      </c>
      <c r="B32" s="348" t="s">
        <v>187</v>
      </c>
      <c r="C32" s="362"/>
      <c r="D32" s="358"/>
      <c r="E32" s="364">
        <f>SUM(C32:D32)</f>
        <v>0</v>
      </c>
      <c r="F32" s="1200">
        <f>hivatal1!C32+hivatal1!F32+hivatal1!I32+hivatal1!L32+hivatal1!O32+hivatal2!C32+hivatal2!F32+hivatal2!I32+hivatal2!L32+hivatal2!O32+hivatal3!C32+hivatal3!F32+hivatal3!I32+hivatal3!L32+hivatal3!O32+hivatal4!C32+hivatal4!F32+hivatal4!I32+hivatal4!L32+hivatal4!O32+'hivatal5 '!C32+'hivatal5 '!F32+'hivatal5 '!I32+'hivatal5 '!L32+'hivatal5 '!O32+hivatal6!C32+hivatal6!F32+hivatal6!I32+hivatal6!L32+hivatal6!O32+hivatal7!C32</f>
        <v>52621</v>
      </c>
      <c r="G32" s="333">
        <f>hivatal1!D32+hivatal1!G32+hivatal1!J32+hivatal1!M32+hivatal1!P32+hivatal2!D32+hivatal2!G32+hivatal2!J32+hivatal2!M32+hivatal2!P32+hivatal3!D32+hivatal3!G32+hivatal3!J32+hivatal3!M32+hivatal3!P32+hivatal4!D32+hivatal4!G32+hivatal4!J32+hivatal4!M32+hivatal4!P32+'hivatal5 '!D32+'hivatal5 '!G32+'hivatal5 '!J32+'hivatal5 '!M32+'hivatal5 '!P32+hivatal6!D32+hivatal6!G32+hivatal6!J32+hivatal6!M32+hivatal6!P32+hivatal7!D32</f>
        <v>0</v>
      </c>
      <c r="H32" s="331">
        <f t="shared" si="9"/>
        <v>52621</v>
      </c>
      <c r="I32" s="374"/>
      <c r="J32" s="358"/>
      <c r="K32" s="364">
        <f t="shared" si="7"/>
        <v>0</v>
      </c>
      <c r="L32" s="392"/>
      <c r="M32" s="358"/>
      <c r="N32" s="364"/>
      <c r="O32" s="965">
        <f t="shared" si="8"/>
        <v>0</v>
      </c>
      <c r="P32" s="385"/>
      <c r="Q32" s="385"/>
    </row>
    <row r="33" spans="1:17" s="35" customFormat="1" ht="16.5" thickBot="1">
      <c r="A33" s="412">
        <v>10</v>
      </c>
      <c r="B33" s="413"/>
      <c r="C33" s="982"/>
      <c r="D33" s="414"/>
      <c r="E33" s="1212">
        <f>SUM(C33:D33)</f>
        <v>0</v>
      </c>
      <c r="F33" s="1202">
        <f>hivatal1!C33+hivatal1!F33+hivatal1!I33+hivatal1!L33+hivatal1!O33+hivatal2!C33+hivatal2!F33+hivatal2!I33+hivatal2!L33+hivatal2!O33+hivatal3!C33+hivatal3!F33+hivatal3!I33+hivatal3!L33+hivatal3!O33+hivatal4!C33+hivatal4!F33+hivatal4!I33+hivatal4!L33+hivatal4!O33+'hivatal5 '!C33+'hivatal5 '!F33+'hivatal5 '!I33+'hivatal5 '!L33+'hivatal5 '!O33+hivatal6!C33+hivatal6!F33+hivatal6!I33+hivatal6!L33+hivatal6!O33+hivatal7!C33</f>
        <v>0</v>
      </c>
      <c r="G33" s="416">
        <f>hivatal1!D33+hivatal1!G33+hivatal1!J33+hivatal1!M33+hivatal1!P33+hivatal2!D33+hivatal2!G33+hivatal2!J33+hivatal2!M33+hivatal2!P33+hivatal3!D33+hivatal3!G33+hivatal3!J33+hivatal3!M33+hivatal3!P33+hivatal4!D33+hivatal4!G33+hivatal4!J33+hivatal4!M33+hivatal4!P33+'hivatal5 '!D33+'hivatal5 '!G33+'hivatal5 '!J33+'hivatal5 '!M33+'hivatal5 '!P33+hivatal6!D33+hivatal6!G33+hivatal6!J33+hivatal6!M33+hivatal6!P33+hivatal7!D33</f>
        <v>0</v>
      </c>
      <c r="H33" s="417">
        <f t="shared" si="9"/>
        <v>0</v>
      </c>
      <c r="I33" s="336"/>
      <c r="J33" s="414"/>
      <c r="K33" s="1212">
        <f t="shared" si="7"/>
        <v>0</v>
      </c>
      <c r="L33" s="1196"/>
      <c r="M33" s="422"/>
      <c r="N33" s="423"/>
      <c r="O33" s="965">
        <f t="shared" si="8"/>
        <v>0</v>
      </c>
      <c r="P33" s="475"/>
      <c r="Q33" s="475"/>
    </row>
    <row r="34" spans="1:17" s="38" customFormat="1" ht="17.25" thickBot="1" thickTop="1">
      <c r="A34" s="387" t="s">
        <v>118</v>
      </c>
      <c r="B34" s="411" t="s">
        <v>188</v>
      </c>
      <c r="C34" s="410">
        <f aca="true" t="shared" si="10" ref="C34:N34">C11+C12+C13+C23+C14+C31+C25+C24+C32+C33</f>
        <v>3830639</v>
      </c>
      <c r="D34" s="388">
        <f t="shared" si="10"/>
        <v>-1037</v>
      </c>
      <c r="E34" s="824">
        <f t="shared" si="10"/>
        <v>3829602</v>
      </c>
      <c r="F34" s="410">
        <f t="shared" si="10"/>
        <v>11181798</v>
      </c>
      <c r="G34" s="388">
        <f t="shared" si="10"/>
        <v>690844</v>
      </c>
      <c r="H34" s="824">
        <f t="shared" si="10"/>
        <v>11872642</v>
      </c>
      <c r="I34" s="410">
        <f t="shared" si="10"/>
        <v>0</v>
      </c>
      <c r="J34" s="388">
        <f t="shared" si="10"/>
        <v>0</v>
      </c>
      <c r="K34" s="824">
        <f t="shared" si="10"/>
        <v>0</v>
      </c>
      <c r="L34" s="410">
        <f t="shared" si="10"/>
        <v>0</v>
      </c>
      <c r="M34" s="388">
        <f t="shared" si="10"/>
        <v>0</v>
      </c>
      <c r="N34" s="421">
        <f t="shared" si="10"/>
        <v>0</v>
      </c>
      <c r="O34" s="965">
        <f t="shared" si="8"/>
        <v>0</v>
      </c>
      <c r="P34" s="479"/>
      <c r="Q34" s="479"/>
    </row>
    <row r="35" spans="1:14" ht="17.25" thickBot="1" thickTop="1">
      <c r="A35" s="159"/>
      <c r="B35" s="391" t="s">
        <v>142</v>
      </c>
      <c r="C35" s="1182"/>
      <c r="D35" s="345"/>
      <c r="E35" s="1213"/>
      <c r="F35" s="1197"/>
      <c r="G35" s="419"/>
      <c r="H35" s="968"/>
      <c r="I35" s="935"/>
      <c r="J35" s="345"/>
      <c r="K35" s="1213"/>
      <c r="L35" s="1197"/>
      <c r="M35" s="419"/>
      <c r="N35" s="968"/>
    </row>
    <row r="36" spans="1:17" s="808" customFormat="1" ht="15">
      <c r="A36" s="815" t="s">
        <v>108</v>
      </c>
      <c r="B36" s="816" t="s">
        <v>418</v>
      </c>
      <c r="C36" s="1190"/>
      <c r="D36" s="817"/>
      <c r="E36" s="822"/>
      <c r="F36" s="1190">
        <f>hivatal1!C36+hivatal1!F36+hivatal1!I36+hivatal1!L36+hivatal1!O36+hivatal2!C36+hivatal2!F36+hivatal2!I36+hivatal2!L36+hivatal2!O36+hivatal3!C36+hivatal3!F36+hivatal3!I36+hivatal3!L36+hivatal3!O36+hivatal4!C36+hivatal4!F36+hivatal4!I36+hivatal4!L36+hivatal4!O36+'hivatal5 '!C36+'hivatal5 '!F36+'hivatal5 '!I36+'hivatal5 '!L36+'hivatal5 '!O36+hivatal6!C36+hivatal6!F36+hivatal6!I36+hivatal6!L36+hivatal6!O36+hivatal7!C36</f>
        <v>0</v>
      </c>
      <c r="G36" s="817">
        <f>hivatal1!D36+hivatal1!G36+hivatal1!J36+hivatal1!M36+hivatal1!P36+hivatal2!D36+hivatal2!G36+hivatal2!J36+hivatal2!M36+hivatal2!P36+hivatal3!D36+hivatal3!G36+hivatal3!J36+hivatal3!M36+hivatal3!P36+hivatal4!D36+hivatal4!G36+hivatal4!J36+hivatal4!M36+hivatal4!P36+'hivatal5 '!D36+'hivatal5 '!G36+'hivatal5 '!J36+'hivatal5 '!M36+'hivatal5 '!P36+hivatal6!D36+hivatal6!G36+hivatal6!J36+hivatal6!M36+hivatal6!P36+hivatal7!D36</f>
        <v>0</v>
      </c>
      <c r="H36" s="822">
        <f>hivatal1!E36+hivatal1!H36+hivatal1!K36+hivatal1!N36+hivatal1!Q36+hivatal2!E36+hivatal2!H36+hivatal2!K36+hivatal2!N36+hivatal2!Q36+hivatal3!E36+hivatal3!H36+hivatal3!K36+hivatal3!N36+hivatal3!Q36+hivatal4!E36+hivatal4!H36+hivatal4!K36+hivatal4!N36+hivatal4!Q36+'hivatal5 '!E36+'hivatal5 '!H36+'hivatal5 '!K36+'hivatal5 '!N36+'hivatal5 '!Q36+hivatal6!E36+hivatal6!H36+hivatal6!K36+hivatal6!N36+hivatal6!Q36+hivatal7!E36</f>
        <v>0</v>
      </c>
      <c r="I36" s="821">
        <f>'bevétfő '!G8-hivatal8!F36</f>
        <v>1505780</v>
      </c>
      <c r="J36" s="817">
        <v>45635</v>
      </c>
      <c r="K36" s="822">
        <f>SUM(I36:J36)</f>
        <v>1551415</v>
      </c>
      <c r="L36" s="1190"/>
      <c r="M36" s="817"/>
      <c r="N36" s="822"/>
      <c r="O36" s="969">
        <f>SUM(L36:M36)</f>
        <v>0</v>
      </c>
      <c r="P36" s="809"/>
      <c r="Q36" s="809"/>
    </row>
    <row r="37" spans="1:17" s="808" customFormat="1" ht="15">
      <c r="A37" s="168" t="s">
        <v>109</v>
      </c>
      <c r="B37" s="164" t="s">
        <v>259</v>
      </c>
      <c r="C37" s="954"/>
      <c r="D37" s="154"/>
      <c r="E37" s="177"/>
      <c r="F37" s="954">
        <f>hivatal1!C37+hivatal1!F37+hivatal1!I37+hivatal1!L37+hivatal1!O37+hivatal2!C37+hivatal2!F37+hivatal2!I37+hivatal2!L37+hivatal2!O37+hivatal3!C37+hivatal3!F37+hivatal3!I37+hivatal3!L37+hivatal3!O37+hivatal4!C37+hivatal4!F37+hivatal4!I37+hivatal4!L37+hivatal4!O37+'hivatal5 '!C37+'hivatal5 '!F37+'hivatal5 '!I37+'hivatal5 '!L37+'hivatal5 '!O37+hivatal6!C37+hivatal6!F37+hivatal6!I37+hivatal6!L37+hivatal6!O37+hivatal7!C37</f>
        <v>0</v>
      </c>
      <c r="G37" s="154">
        <f>hivatal1!D37+hivatal1!G37+hivatal1!J37+hivatal1!M37+hivatal1!P37+hivatal2!D37+hivatal2!G37+hivatal2!J37+hivatal2!M37+hivatal2!P37+hivatal3!D37+hivatal3!G37+hivatal3!J37+hivatal3!M37+hivatal3!P37+hivatal4!D37+hivatal4!G37+hivatal4!J37+hivatal4!M37+hivatal4!P37+'hivatal5 '!D37+'hivatal5 '!G37+'hivatal5 '!J37+'hivatal5 '!M37+'hivatal5 '!P37+hivatal6!D37+hivatal6!G37+hivatal6!J37+hivatal6!M37+hivatal6!P37+hivatal7!D37</f>
        <v>0</v>
      </c>
      <c r="H37" s="177">
        <f>hivatal1!E37+hivatal1!H37+hivatal1!K37+hivatal1!N37+hivatal1!Q37+hivatal2!E37+hivatal2!H37+hivatal2!K37+hivatal2!N37+hivatal2!Q37+hivatal3!E37+hivatal3!H37+hivatal3!K37+hivatal3!N37+hivatal3!Q37+hivatal4!E37+hivatal4!H37+hivatal4!K37+hivatal4!N37+hivatal4!Q37+'hivatal5 '!E37+'hivatal5 '!H37+'hivatal5 '!K37+'hivatal5 '!N37+'hivatal5 '!Q37+hivatal6!E37+hivatal6!H37+hivatal6!K37+hivatal6!N37+hivatal6!Q37+hivatal7!E37</f>
        <v>0</v>
      </c>
      <c r="I37" s="932"/>
      <c r="J37" s="154"/>
      <c r="K37" s="177">
        <f>SUM(I37:J37)</f>
        <v>0</v>
      </c>
      <c r="L37" s="954"/>
      <c r="M37" s="154"/>
      <c r="N37" s="177"/>
      <c r="O37" s="970">
        <f>SUM(L37:M37)</f>
        <v>0</v>
      </c>
      <c r="P37" s="971"/>
      <c r="Q37" s="823"/>
    </row>
    <row r="38" spans="1:17" s="808" customFormat="1" ht="15">
      <c r="A38" s="379" t="s">
        <v>110</v>
      </c>
      <c r="B38" s="157" t="s">
        <v>419</v>
      </c>
      <c r="C38" s="1181"/>
      <c r="D38" s="365"/>
      <c r="E38" s="368"/>
      <c r="F38" s="1181">
        <f>hivatal1!C38+hivatal1!F38+hivatal1!I38+hivatal1!L38+hivatal1!O38+hivatal2!C38+hivatal2!F38+hivatal2!I38+hivatal2!L38+hivatal2!O38+hivatal3!C38+hivatal3!F38+hivatal3!I38+hivatal3!L38+hivatal3!O38+hivatal4!C38+hivatal4!F38+hivatal4!I38+hivatal4!L38+hivatal4!O38+'hivatal5 '!C38+'hivatal5 '!F38+'hivatal5 '!I38+'hivatal5 '!L38+'hivatal5 '!O38+hivatal6!C38+hivatal6!F38+hivatal6!I38+hivatal6!L38+hivatal6!O38+hivatal7!C38</f>
        <v>0</v>
      </c>
      <c r="G38" s="365">
        <f>hivatal1!D38+hivatal1!G38+hivatal1!J38+hivatal1!M38+hivatal1!P38+hivatal2!D38+hivatal2!G38+hivatal2!J38+hivatal2!M38+hivatal2!P38+hivatal3!D38+hivatal3!G38+hivatal3!J38+hivatal3!M38+hivatal3!P38+hivatal4!D38+hivatal4!G38+hivatal4!J38+hivatal4!M38+hivatal4!P38+'hivatal5 '!D38+'hivatal5 '!G38+'hivatal5 '!J38+'hivatal5 '!M38+'hivatal5 '!P38+hivatal6!D38+hivatal6!G38+hivatal6!J38+hivatal6!M38+hivatal6!P38+hivatal7!D38</f>
        <v>0</v>
      </c>
      <c r="H38" s="368">
        <f>hivatal1!E38+hivatal1!H38+hivatal1!K38+hivatal1!N38+hivatal1!Q38+hivatal2!E38+hivatal2!H38+hivatal2!K38+hivatal2!N38+hivatal2!Q38+hivatal3!E38+hivatal3!H38+hivatal3!K38+hivatal3!N38+hivatal3!Q38+hivatal4!E38+hivatal4!H38+hivatal4!K38+hivatal4!N38+hivatal4!Q38+'hivatal5 '!E38+'hivatal5 '!H38+'hivatal5 '!K38+'hivatal5 '!N38+'hivatal5 '!Q38+hivatal6!E38+hivatal6!H38+hivatal6!K38+hivatal6!N38+hivatal6!Q38+hivatal7!E38</f>
        <v>0</v>
      </c>
      <c r="I38" s="172"/>
      <c r="J38" s="365"/>
      <c r="K38" s="368">
        <f aca="true" t="shared" si="11" ref="K38:K44">SUM(I38:J38)</f>
        <v>0</v>
      </c>
      <c r="L38" s="1181"/>
      <c r="M38" s="365"/>
      <c r="N38" s="368"/>
      <c r="O38" s="806"/>
      <c r="P38" s="806"/>
      <c r="Q38" s="806"/>
    </row>
    <row r="39" spans="1:17" s="808" customFormat="1" ht="15.75" thickBot="1">
      <c r="A39" s="169" t="s">
        <v>111</v>
      </c>
      <c r="B39" s="170" t="s">
        <v>423</v>
      </c>
      <c r="C39" s="955"/>
      <c r="D39" s="166"/>
      <c r="E39" s="272"/>
      <c r="F39" s="955">
        <f>hivatal1!C39+hivatal1!F39+hivatal1!I39+hivatal1!L39+hivatal1!O39+hivatal2!C39+hivatal2!F39+hivatal2!I39+hivatal2!L39+hivatal2!O39+hivatal3!C39+hivatal3!F39+hivatal3!I39+hivatal3!L39+hivatal3!O39+hivatal4!C39+hivatal4!F39+hivatal4!I39+hivatal4!L39+hivatal4!O39+'hivatal5 '!C39+'hivatal5 '!F39+'hivatal5 '!I39+'hivatal5 '!L39+'hivatal5 '!O39+hivatal6!C39+hivatal6!F39+hivatal6!I39+hivatal6!L39+hivatal6!O39+hivatal7!C39</f>
        <v>20000</v>
      </c>
      <c r="G39" s="166">
        <f>hivatal1!D39+hivatal1!G39+hivatal1!J39+hivatal1!M39+hivatal1!P39+hivatal2!D39+hivatal2!G39+hivatal2!J39+hivatal2!M39+hivatal2!P39+hivatal3!D39+hivatal3!G39+hivatal3!J39+hivatal3!M39+hivatal3!P39+hivatal4!D39+hivatal4!G39+hivatal4!J39+hivatal4!M39+hivatal4!P39+'hivatal5 '!D39+'hivatal5 '!G39+'hivatal5 '!J39+'hivatal5 '!M39+'hivatal5 '!P39+hivatal6!D39+hivatal6!G39+hivatal6!J39+hivatal6!M39+hivatal6!P39+hivatal7!D39</f>
        <v>47126</v>
      </c>
      <c r="H39" s="272">
        <f>hivatal1!E39+hivatal1!H39+hivatal1!K39+hivatal1!N39+hivatal1!Q39+hivatal2!E39+hivatal2!H39+hivatal2!K39+hivatal2!N39+hivatal2!Q39+hivatal3!E39+hivatal3!H39+hivatal3!K39+hivatal3!N39+hivatal3!Q39+hivatal4!E39+hivatal4!H39+hivatal4!K39+hivatal4!N39+hivatal4!Q39+'hivatal5 '!E39+'hivatal5 '!H39+'hivatal5 '!K39+'hivatal5 '!N39+'hivatal5 '!Q39+hivatal6!E39+hivatal6!H39+hivatal6!K39+hivatal6!N39+hivatal6!Q39+hivatal7!E39</f>
        <v>67126</v>
      </c>
      <c r="I39" s="933">
        <f>'bevétfő '!G16-hivatal7!F39</f>
        <v>170322</v>
      </c>
      <c r="J39" s="166">
        <v>-34842</v>
      </c>
      <c r="K39" s="272">
        <f t="shared" si="11"/>
        <v>135480</v>
      </c>
      <c r="L39" s="955"/>
      <c r="M39" s="166"/>
      <c r="N39" s="272"/>
      <c r="O39" s="806"/>
      <c r="P39" s="806"/>
      <c r="Q39" s="806"/>
    </row>
    <row r="40" spans="1:17" s="15" customFormat="1" ht="16.5" thickBot="1">
      <c r="A40" s="357">
        <v>1</v>
      </c>
      <c r="B40" s="348" t="s">
        <v>185</v>
      </c>
      <c r="C40" s="392">
        <f aca="true" t="shared" si="12" ref="C40:K40">SUM(C36:C39)</f>
        <v>0</v>
      </c>
      <c r="D40" s="358">
        <f t="shared" si="12"/>
        <v>0</v>
      </c>
      <c r="E40" s="364">
        <f t="shared" si="12"/>
        <v>0</v>
      </c>
      <c r="F40" s="392">
        <f t="shared" si="12"/>
        <v>20000</v>
      </c>
      <c r="G40" s="358">
        <f t="shared" si="12"/>
        <v>47126</v>
      </c>
      <c r="H40" s="364">
        <f t="shared" si="12"/>
        <v>67126</v>
      </c>
      <c r="I40" s="392">
        <f t="shared" si="12"/>
        <v>1676102</v>
      </c>
      <c r="J40" s="358">
        <f t="shared" si="12"/>
        <v>10793</v>
      </c>
      <c r="K40" s="364">
        <f t="shared" si="12"/>
        <v>1686895</v>
      </c>
      <c r="L40" s="392"/>
      <c r="M40" s="358"/>
      <c r="N40" s="364"/>
      <c r="O40" s="220"/>
      <c r="P40" s="220"/>
      <c r="Q40" s="220"/>
    </row>
    <row r="41" spans="1:17" ht="15">
      <c r="A41" s="171" t="s">
        <v>108</v>
      </c>
      <c r="B41" s="160" t="s">
        <v>445</v>
      </c>
      <c r="C41" s="1180"/>
      <c r="D41" s="256"/>
      <c r="E41" s="258"/>
      <c r="F41" s="1180">
        <f>hivatal1!C41+hivatal1!F41+hivatal1!I41+hivatal1!L41+hivatal1!O41+hivatal2!C41+hivatal2!F41+hivatal2!I41+hivatal2!L41+hivatal2!O41+hivatal3!C41+hivatal3!F41+hivatal3!I41+hivatal3!L41+hivatal3!O41+hivatal4!C41+hivatal4!F41+hivatal4!I41+hivatal4!L41+hivatal4!O41+'hivatal5 '!C41+'hivatal5 '!F41+'hivatal5 '!I41+'hivatal5 '!L41+'hivatal5 '!O41+hivatal6!C41+hivatal6!F41+hivatal6!I41+hivatal6!L41+hivatal6!O41+hivatal7!C41</f>
        <v>0</v>
      </c>
      <c r="G41" s="256">
        <f>hivatal1!D41+hivatal1!G41+hivatal1!J41+hivatal1!M41+hivatal1!P41+hivatal2!D41+hivatal2!G41+hivatal2!J41+hivatal2!M41+hivatal2!P41+hivatal3!D41+hivatal3!G41+hivatal3!J41+hivatal3!M41+hivatal3!P41+hivatal4!D41+hivatal4!G41+hivatal4!J41+hivatal4!M41+hivatal4!P41+'hivatal5 '!D41+'hivatal5 '!G41+'hivatal5 '!J41+'hivatal5 '!M41+'hivatal5 '!P41+hivatal6!D41+hivatal6!G41+hivatal6!J41+hivatal6!M41+hivatal6!P41+hivatal7!D41</f>
        <v>0</v>
      </c>
      <c r="H41" s="258">
        <f>hivatal1!E41+hivatal1!H41+hivatal1!K41+hivatal1!N41+hivatal1!Q41+hivatal2!E41+hivatal2!H41+hivatal2!K41+hivatal2!N41+hivatal2!Q41+hivatal3!E41+hivatal3!H41+hivatal3!K41+hivatal3!N41+hivatal3!Q41+hivatal4!E41+hivatal4!H41+hivatal4!K41+hivatal4!N41+hivatal4!Q41+'hivatal5 '!E41+'hivatal5 '!H41+'hivatal5 '!K41+'hivatal5 '!N41+'hivatal5 '!Q41+hivatal6!E41+hivatal6!H41+hivatal6!K41+hivatal6!N41+hivatal6!Q41+hivatal7!E41</f>
        <v>0</v>
      </c>
      <c r="I41" s="934"/>
      <c r="J41" s="256"/>
      <c r="K41" s="258">
        <f t="shared" si="11"/>
        <v>0</v>
      </c>
      <c r="L41" s="1180"/>
      <c r="M41" s="256"/>
      <c r="N41" s="258"/>
      <c r="O41" s="96"/>
      <c r="P41" s="96"/>
      <c r="Q41" s="96"/>
    </row>
    <row r="42" spans="1:17" ht="15">
      <c r="A42" s="168" t="s">
        <v>109</v>
      </c>
      <c r="B42" s="164" t="s">
        <v>420</v>
      </c>
      <c r="C42" s="954"/>
      <c r="D42" s="154"/>
      <c r="E42" s="177"/>
      <c r="F42" s="1180">
        <f>hivatal1!C42+hivatal1!F42+hivatal1!I42+hivatal1!L42+hivatal1!O42+hivatal2!C42+hivatal2!F42+hivatal2!I42+hivatal2!L42+hivatal2!O42+hivatal3!C42+hivatal3!F42+hivatal3!I42+hivatal3!L42+hivatal3!O42+hivatal4!C42+hivatal4!F42+hivatal4!I42+hivatal4!L42+hivatal4!O42+'hivatal5 '!C42+'hivatal5 '!F42+'hivatal5 '!I42+'hivatal5 '!L42+'hivatal5 '!O42+hivatal6!C42+hivatal6!F42+hivatal6!I42+hivatal6!L42+hivatal6!O42+hivatal7!C42</f>
        <v>0</v>
      </c>
      <c r="G42" s="256">
        <f>hivatal1!D42+hivatal1!G42+hivatal1!J42+hivatal1!M42+hivatal1!P42+hivatal2!D42+hivatal2!G42+hivatal2!J42+hivatal2!M42+hivatal2!P42+hivatal3!D42+hivatal3!G42+hivatal3!J42+hivatal3!M42+hivatal3!P42+hivatal4!D42+hivatal4!G42+hivatal4!J42+hivatal4!M42+hivatal4!P42+'hivatal5 '!D42+'hivatal5 '!G42+'hivatal5 '!J42+'hivatal5 '!M42+'hivatal5 '!P42+hivatal6!D42+hivatal6!G42+hivatal6!J42+hivatal6!M42+hivatal6!P42+hivatal7!D42</f>
        <v>0</v>
      </c>
      <c r="H42" s="258">
        <f>hivatal1!E42+hivatal1!H42+hivatal1!K42+hivatal1!N42+hivatal1!Q42+hivatal2!E42+hivatal2!H42+hivatal2!K42+hivatal2!N42+hivatal2!Q42+hivatal3!E42+hivatal3!H42+hivatal3!K42+hivatal3!N42+hivatal3!Q42+hivatal4!E42+hivatal4!H42+hivatal4!K42+hivatal4!N42+hivatal4!Q42+'hivatal5 '!E42+'hivatal5 '!H42+'hivatal5 '!K42+'hivatal5 '!N42+'hivatal5 '!Q42+hivatal6!E42+hivatal6!H42+hivatal6!K42+hivatal6!N42+hivatal6!Q42+hivatal7!E42</f>
        <v>0</v>
      </c>
      <c r="I42" s="932">
        <f>'bevétfő '!I22</f>
        <v>1721000</v>
      </c>
      <c r="J42" s="154"/>
      <c r="K42" s="177">
        <f>SUM(I42:J42)</f>
        <v>1721000</v>
      </c>
      <c r="L42" s="954"/>
      <c r="M42" s="154"/>
      <c r="N42" s="177"/>
      <c r="O42" s="96"/>
      <c r="P42" s="96"/>
      <c r="Q42" s="96"/>
    </row>
    <row r="43" spans="1:17" ht="15">
      <c r="A43" s="168" t="s">
        <v>110</v>
      </c>
      <c r="B43" s="164" t="s">
        <v>421</v>
      </c>
      <c r="C43" s="954"/>
      <c r="D43" s="154"/>
      <c r="E43" s="177"/>
      <c r="F43" s="1180">
        <f>hivatal1!C43+hivatal1!F43+hivatal1!I43+hivatal1!L43+hivatal1!O43+hivatal2!C43+hivatal2!F43+hivatal2!I43+hivatal2!L43+hivatal2!O43+hivatal3!C43+hivatal3!F43+hivatal3!I43+hivatal3!L43+hivatal3!O43+hivatal4!C43+hivatal4!F43+hivatal4!I43+hivatal4!L43+hivatal4!O43+'hivatal5 '!C43+'hivatal5 '!F43+'hivatal5 '!I43+'hivatal5 '!L43+'hivatal5 '!O43+hivatal6!C43+hivatal6!F43+hivatal6!I43+hivatal6!L43+hivatal6!O43+hivatal7!C43</f>
        <v>0</v>
      </c>
      <c r="G43" s="256">
        <f>hivatal1!D43+hivatal1!G43+hivatal1!J43+hivatal1!M43+hivatal1!P43+hivatal2!D43+hivatal2!G43+hivatal2!J43+hivatal2!M43+hivatal2!P43+hivatal3!D43+hivatal3!G43+hivatal3!J43+hivatal3!M43+hivatal3!P43+hivatal4!D43+hivatal4!G43+hivatal4!J43+hivatal4!M43+hivatal4!P43+'hivatal5 '!D43+'hivatal5 '!G43+'hivatal5 '!J43+'hivatal5 '!M43+'hivatal5 '!P43+hivatal6!D43+hivatal6!G43+hivatal6!J43+hivatal6!M43+hivatal6!P43+hivatal7!D43</f>
        <v>0</v>
      </c>
      <c r="H43" s="258">
        <f>hivatal1!E43+hivatal1!H43+hivatal1!K43+hivatal1!N43+hivatal1!Q43+hivatal2!E43+hivatal2!H43+hivatal2!K43+hivatal2!N43+hivatal2!Q43+hivatal3!E43+hivatal3!H43+hivatal3!K43+hivatal3!N43+hivatal3!Q43+hivatal4!E43+hivatal4!H43+hivatal4!K43+hivatal4!N43+hivatal4!Q43+'hivatal5 '!E43+'hivatal5 '!H43+'hivatal5 '!K43+'hivatal5 '!N43+'hivatal5 '!Q43+hivatal6!E43+hivatal6!H43+hivatal6!K43+hivatal6!N43+hivatal6!Q43+hivatal7!E43</f>
        <v>0</v>
      </c>
      <c r="I43" s="932">
        <f>'bevétfő '!I26</f>
        <v>4062700</v>
      </c>
      <c r="J43" s="154"/>
      <c r="K43" s="177">
        <f>SUM(I43:J43)</f>
        <v>4062700</v>
      </c>
      <c r="L43" s="954"/>
      <c r="M43" s="154"/>
      <c r="N43" s="177"/>
      <c r="O43" s="96"/>
      <c r="P43" s="96"/>
      <c r="Q43" s="96"/>
    </row>
    <row r="44" spans="1:17" ht="15.75" thickBot="1">
      <c r="A44" s="169" t="s">
        <v>111</v>
      </c>
      <c r="B44" s="170" t="s">
        <v>183</v>
      </c>
      <c r="C44" s="955"/>
      <c r="D44" s="166"/>
      <c r="E44" s="272"/>
      <c r="F44" s="1181">
        <f>hivatal1!C44+hivatal1!F44+hivatal1!I44+hivatal1!L44+hivatal1!O44+hivatal2!C44+hivatal2!F44+hivatal2!I44+hivatal2!L44+hivatal2!O44+hivatal3!C44+hivatal3!F44+hivatal3!I44+hivatal3!L44+hivatal3!O44+hivatal4!C44+hivatal4!F44+hivatal4!I44+hivatal4!L44+hivatal4!O44+'hivatal5 '!C44+'hivatal5 '!F44+'hivatal5 '!I44+'hivatal5 '!L44+'hivatal5 '!O44+hivatal6!C44+hivatal6!F44+hivatal6!I44+hivatal6!L44+hivatal6!O44+hivatal7!C44</f>
        <v>0</v>
      </c>
      <c r="G44" s="365">
        <f>hivatal1!D44+hivatal1!G44+hivatal1!J44+hivatal1!M44+hivatal1!P44+hivatal2!D44+hivatal2!G44+hivatal2!J44+hivatal2!M44+hivatal2!P44+hivatal3!D44+hivatal3!G44+hivatal3!J44+hivatal3!M44+hivatal3!P44+hivatal4!D44+hivatal4!G44+hivatal4!J44+hivatal4!M44+hivatal4!P44+'hivatal5 '!D44+'hivatal5 '!G44+'hivatal5 '!J44+'hivatal5 '!M44+'hivatal5 '!P44+hivatal6!D44+hivatal6!G44+hivatal6!J44+hivatal6!M44+hivatal6!P44+hivatal7!D44</f>
        <v>3007</v>
      </c>
      <c r="H44" s="368">
        <f>hivatal1!E44+hivatal1!H44+hivatal1!K44+hivatal1!N44+hivatal1!Q44+hivatal2!E44+hivatal2!H44+hivatal2!K44+hivatal2!N44+hivatal2!Q44+hivatal3!E44+hivatal3!H44+hivatal3!K44+hivatal3!N44+hivatal3!Q44+hivatal4!E44+hivatal4!H44+hivatal4!K44+hivatal4!N44+hivatal4!Q44+'hivatal5 '!E44+'hivatal5 '!H44+'hivatal5 '!K44+'hivatal5 '!N44+'hivatal5 '!Q44+hivatal6!E44+hivatal6!H44+hivatal6!K44+hivatal6!N44+hivatal6!Q44+hivatal7!E44</f>
        <v>3007</v>
      </c>
      <c r="I44" s="933">
        <f>'bevétfő '!G33-'bevétfő '!G34</f>
        <v>20020</v>
      </c>
      <c r="J44" s="166">
        <v>802</v>
      </c>
      <c r="K44" s="272">
        <f t="shared" si="11"/>
        <v>20822</v>
      </c>
      <c r="L44" s="955"/>
      <c r="M44" s="166"/>
      <c r="N44" s="272"/>
      <c r="O44" s="96"/>
      <c r="P44" s="96"/>
      <c r="Q44" s="96"/>
    </row>
    <row r="45" spans="1:17" s="15" customFormat="1" ht="16.5" thickBot="1">
      <c r="A45" s="357">
        <v>2</v>
      </c>
      <c r="B45" s="348" t="s">
        <v>184</v>
      </c>
      <c r="C45" s="392">
        <f>SUM(C41:C44)</f>
        <v>0</v>
      </c>
      <c r="D45" s="358">
        <f aca="true" t="shared" si="13" ref="D45:K45">SUM(D41:D44)</f>
        <v>0</v>
      </c>
      <c r="E45" s="374">
        <f t="shared" si="13"/>
        <v>0</v>
      </c>
      <c r="F45" s="392">
        <f>SUM(F41:F44)</f>
        <v>0</v>
      </c>
      <c r="G45" s="358">
        <f t="shared" si="13"/>
        <v>3007</v>
      </c>
      <c r="H45" s="374">
        <f t="shared" si="13"/>
        <v>3007</v>
      </c>
      <c r="I45" s="392">
        <f t="shared" si="13"/>
        <v>5803720</v>
      </c>
      <c r="J45" s="358">
        <f t="shared" si="13"/>
        <v>802</v>
      </c>
      <c r="K45" s="374">
        <f t="shared" si="13"/>
        <v>5804522</v>
      </c>
      <c r="L45" s="392"/>
      <c r="M45" s="358"/>
      <c r="N45" s="364"/>
      <c r="O45" s="220"/>
      <c r="P45" s="220"/>
      <c r="Q45" s="220"/>
    </row>
    <row r="46" spans="1:17" s="15" customFormat="1" ht="16.5" thickBot="1">
      <c r="A46" s="357">
        <v>3</v>
      </c>
      <c r="B46" s="348" t="s">
        <v>278</v>
      </c>
      <c r="C46" s="392"/>
      <c r="D46" s="358"/>
      <c r="E46" s="364">
        <f>SUM(C46:D46)</f>
        <v>0</v>
      </c>
      <c r="F46" s="392">
        <f>hivatal1!C46+hivatal1!F46+hivatal1!I46+hivatal1!L46+hivatal1!O46+hivatal2!C46+hivatal2!F46+hivatal2!I46+hivatal2!L46+hivatal2!O46+hivatal3!C46+hivatal3!F46+hivatal3!I46+hivatal3!L46+hivatal3!O46+hivatal4!C46+hivatal4!F46+hivatal4!I46+hivatal4!L46+hivatal4!O46+'hivatal5 '!C46+'hivatal5 '!F46+'hivatal5 '!I46+'hivatal5 '!L46+'hivatal5 '!O46+hivatal6!C46+hivatal6!F46+hivatal6!I46+hivatal6!L46+hivatal6!O46+hivatal7!C46</f>
        <v>640673</v>
      </c>
      <c r="G46" s="358">
        <f>hivatal1!D46+hivatal1!G46+hivatal1!J46+hivatal1!M46+hivatal1!P46+hivatal2!D46+hivatal2!G46+hivatal2!J46+hivatal2!M46+hivatal2!P46+hivatal3!D46+hivatal3!G46+hivatal3!J46+hivatal3!M46+hivatal3!P46+hivatal4!D46+hivatal4!G46+hivatal4!J46+hivatal4!M46+hivatal4!P46+'hivatal5 '!D46+'hivatal5 '!G46+'hivatal5 '!J46+'hivatal5 '!M46+'hivatal5 '!P46+hivatal6!D46+hivatal6!G46+hivatal6!J46+hivatal6!M46+hivatal6!P46+hivatal7!D46</f>
        <v>33344</v>
      </c>
      <c r="H46" s="364">
        <f>hivatal1!E46+hivatal1!H46+hivatal1!K46+hivatal1!N46+hivatal1!Q46+hivatal2!E46+hivatal2!H46+hivatal2!K46+hivatal2!N46+hivatal2!Q46+hivatal3!E46+hivatal3!H46+hivatal3!K46+hivatal3!N46+hivatal3!Q46+hivatal4!E46+hivatal4!H46+hivatal4!K46+hivatal4!N46+hivatal4!Q46+'hivatal5 '!E46+'hivatal5 '!H46+'hivatal5 '!K46+'hivatal5 '!N46+'hivatal5 '!Q46+hivatal6!E46+hivatal6!H46+hivatal6!K46+hivatal6!N46+hivatal6!Q46+hivatal7!E46</f>
        <v>674017</v>
      </c>
      <c r="I46" s="392"/>
      <c r="J46" s="358"/>
      <c r="K46" s="364">
        <f>SUM(I46:J46)</f>
        <v>0</v>
      </c>
      <c r="L46" s="392"/>
      <c r="M46" s="358"/>
      <c r="N46" s="364"/>
      <c r="O46" s="220"/>
      <c r="P46" s="220"/>
      <c r="Q46" s="220"/>
    </row>
    <row r="47" spans="1:17" s="15" customFormat="1" ht="16.5" thickBot="1">
      <c r="A47" s="357">
        <v>4</v>
      </c>
      <c r="B47" s="348" t="s">
        <v>299</v>
      </c>
      <c r="C47" s="392"/>
      <c r="D47" s="358"/>
      <c r="E47" s="364">
        <f>SUM(C47:D47)</f>
        <v>0</v>
      </c>
      <c r="F47" s="1251">
        <f>hivatal1!C47+hivatal1!F47+hivatal1!I47+hivatal1!L47+hivatal1!O47+hivatal2!C47+hivatal2!F47+hivatal2!I47+hivatal2!L47+hivatal2!O47+hivatal3!C47+hivatal3!F47+hivatal3!I47+hivatal3!L47+hivatal3!O47+hivatal4!C47+hivatal4!F47+hivatal4!I47+hivatal4!L47+hivatal4!O47+'hivatal5 '!C47+'hivatal5 '!F47+'hivatal5 '!I47+'hivatal5 '!L47+'hivatal5 '!O47+hivatal6!C47+hivatal6!F47+hivatal6!I47+hivatal6!L47+hivatal6!O47+hivatal7!C47</f>
        <v>0</v>
      </c>
      <c r="G47" s="849">
        <f>hivatal1!D47+hivatal1!G47+hivatal1!J47+hivatal1!M47+hivatal1!P47+hivatal2!D47+hivatal2!G47+hivatal2!J47+hivatal2!M47+hivatal2!P47+hivatal3!D47+hivatal3!G47+hivatal3!J47+hivatal3!M47+hivatal3!P47+hivatal4!D47+hivatal4!G47+hivatal4!J47+hivatal4!M47+hivatal4!P47+'hivatal5 '!D47+'hivatal5 '!G47+'hivatal5 '!J47+'hivatal5 '!M47+'hivatal5 '!P47+hivatal6!D47+hivatal6!G47+hivatal6!J47+hivatal6!M47+hivatal6!P47+hivatal7!D47</f>
        <v>124</v>
      </c>
      <c r="H47" s="972">
        <f>hivatal1!E47+hivatal1!H47+hivatal1!K47+hivatal1!N47+hivatal1!Q47+hivatal2!E47+hivatal2!H47+hivatal2!K47+hivatal2!N47+hivatal2!Q47+hivatal3!E47+hivatal3!H47+hivatal3!K47+hivatal3!N47+hivatal3!Q47+hivatal4!E47+hivatal4!H47+hivatal4!K47+hivatal4!N47+hivatal4!Q47+'hivatal5 '!E47+'hivatal5 '!H47+'hivatal5 '!K47+'hivatal5 '!N47+'hivatal5 '!Q47+hivatal6!E47+hivatal6!H47+hivatal6!K47+hivatal6!N47+hivatal6!Q47+hivatal7!E47</f>
        <v>124</v>
      </c>
      <c r="I47" s="392"/>
      <c r="J47" s="358"/>
      <c r="K47" s="364">
        <f>SUM(I47:J47)</f>
        <v>0</v>
      </c>
      <c r="L47" s="392"/>
      <c r="M47" s="358"/>
      <c r="N47" s="364"/>
      <c r="O47" s="220"/>
      <c r="P47" s="220"/>
      <c r="Q47" s="220"/>
    </row>
    <row r="48" spans="1:17" s="808" customFormat="1" ht="15">
      <c r="A48" s="171" t="s">
        <v>108</v>
      </c>
      <c r="B48" s="157" t="s">
        <v>305</v>
      </c>
      <c r="C48" s="1180"/>
      <c r="D48" s="256"/>
      <c r="E48" s="258"/>
      <c r="F48" s="1180">
        <f>hivatal1!C48+hivatal1!F48+hivatal1!I48+hivatal1!L48+hivatal1!O48+hivatal2!C48+hivatal2!F48+hivatal2!I48+hivatal2!L48+hivatal2!O48+hivatal3!C48+hivatal3!F48+hivatal3!I48+hivatal3!L48+hivatal3!O48+hivatal4!C48+hivatal4!F48+hivatal4!I48+hivatal4!L48+hivatal4!O48+'hivatal5 '!C48+'hivatal5 '!F48+'hivatal5 '!I48+'hivatal5 '!L48+'hivatal5 '!O48+hivatal6!C48+hivatal6!F48+hivatal6!I48+hivatal6!L48+hivatal6!O48+hivatal7!C48</f>
        <v>0</v>
      </c>
      <c r="G48" s="256">
        <f>hivatal1!D48+hivatal1!G48+hivatal1!J48+hivatal1!M48+hivatal1!P48+hivatal2!D48+hivatal2!G48+hivatal2!J48+hivatal2!M48+hivatal2!P48+hivatal3!D48+hivatal3!G48+hivatal3!J48+hivatal3!M48+hivatal3!P48+hivatal4!D48+hivatal4!G48+hivatal4!J48+hivatal4!M48+hivatal4!P48+'hivatal5 '!D48+'hivatal5 '!G48+'hivatal5 '!J48+'hivatal5 '!M48+'hivatal5 '!P48+hivatal6!D48+hivatal6!G48+hivatal6!J48+hivatal6!M48+hivatal6!P48+hivatal7!D48</f>
        <v>0</v>
      </c>
      <c r="H48" s="258">
        <f>hivatal1!E48+hivatal1!H48+hivatal1!K48+hivatal1!N48+hivatal1!Q48+hivatal2!E48+hivatal2!H48+hivatal2!K48+hivatal2!N48+hivatal2!Q48+hivatal3!E48+hivatal3!H48+hivatal3!K48+hivatal3!N48+hivatal3!Q48+hivatal4!E48+hivatal4!H48+hivatal4!K48+hivatal4!N48+hivatal4!Q48+'hivatal5 '!E48+'hivatal5 '!H48+'hivatal5 '!K48+'hivatal5 '!N48+'hivatal5 '!Q48+hivatal6!E48+hivatal6!H48+hivatal6!K48+hivatal6!N48+hivatal6!Q48+hivatal7!E48</f>
        <v>0</v>
      </c>
      <c r="I48" s="934"/>
      <c r="J48" s="256">
        <v>131000</v>
      </c>
      <c r="K48" s="258">
        <f aca="true" t="shared" si="14" ref="K48:K55">SUM(I48:J48)</f>
        <v>131000</v>
      </c>
      <c r="L48" s="1180"/>
      <c r="M48" s="256"/>
      <c r="N48" s="258"/>
      <c r="O48" s="806"/>
      <c r="P48" s="806"/>
      <c r="Q48" s="806"/>
    </row>
    <row r="49" spans="1:17" ht="15">
      <c r="A49" s="169" t="s">
        <v>109</v>
      </c>
      <c r="B49" s="378" t="s">
        <v>422</v>
      </c>
      <c r="C49" s="954"/>
      <c r="D49" s="154"/>
      <c r="E49" s="177"/>
      <c r="F49" s="1180">
        <f>hivatal1!C49+hivatal1!F49+hivatal1!I49+hivatal1!L49+hivatal1!O49+hivatal2!C49+hivatal2!F49+hivatal2!I49+hivatal2!L49+hivatal2!O49+hivatal3!C49+hivatal3!F49+hivatal3!I49+hivatal3!L49+hivatal3!O49+hivatal4!C49+hivatal4!F49+hivatal4!I49+hivatal4!L49+hivatal4!O49+'hivatal5 '!C49+'hivatal5 '!F49+'hivatal5 '!I49+'hivatal5 '!L49+'hivatal5 '!O49+hivatal6!C49+hivatal6!F49+hivatal6!I49+hivatal6!L49+hivatal6!O49+hivatal7!C49</f>
        <v>0</v>
      </c>
      <c r="G49" s="256">
        <f>hivatal1!D49+hivatal1!G49+hivatal1!J49+hivatal1!M49+hivatal1!P49+hivatal2!D49+hivatal2!G49+hivatal2!J49+hivatal2!M49+hivatal2!P49+hivatal3!D49+hivatal3!G49+hivatal3!J49+hivatal3!M49+hivatal3!P49+hivatal4!D49+hivatal4!G49+hivatal4!J49+hivatal4!M49+hivatal4!P49+'hivatal5 '!D49+'hivatal5 '!G49+'hivatal5 '!J49+'hivatal5 '!M49+'hivatal5 '!P49+hivatal6!D49+hivatal6!G49+hivatal6!J49+hivatal6!M49+hivatal6!P49+hivatal7!D49</f>
        <v>0</v>
      </c>
      <c r="H49" s="258">
        <f>hivatal1!E49+hivatal1!H49+hivatal1!K49+hivatal1!N49+hivatal1!Q49+hivatal2!E49+hivatal2!H49+hivatal2!K49+hivatal2!N49+hivatal2!Q49+hivatal3!E49+hivatal3!H49+hivatal3!K49+hivatal3!N49+hivatal3!Q49+hivatal4!E49+hivatal4!H49+hivatal4!K49+hivatal4!N49+hivatal4!Q49+'hivatal5 '!E49+'hivatal5 '!H49+'hivatal5 '!K49+'hivatal5 '!N49+'hivatal5 '!Q49+hivatal6!E49+hivatal6!H49+hivatal6!K49+hivatal6!N49+hivatal6!Q49+hivatal7!E49</f>
        <v>0</v>
      </c>
      <c r="I49" s="932"/>
      <c r="J49" s="154"/>
      <c r="K49" s="177">
        <f t="shared" si="14"/>
        <v>0</v>
      </c>
      <c r="L49" s="954"/>
      <c r="M49" s="154"/>
      <c r="N49" s="177"/>
      <c r="O49" s="96"/>
      <c r="P49" s="96"/>
      <c r="Q49" s="96"/>
    </row>
    <row r="50" spans="1:17" ht="15.75" thickBot="1">
      <c r="A50" s="169" t="s">
        <v>110</v>
      </c>
      <c r="B50" s="378" t="s">
        <v>455</v>
      </c>
      <c r="C50" s="954"/>
      <c r="D50" s="154"/>
      <c r="E50" s="177"/>
      <c r="F50" s="1180">
        <f>hivatal1!C50+hivatal1!F50+hivatal1!I50+hivatal1!L50+hivatal1!O50+hivatal2!C50+hivatal2!F50+hivatal2!I50+hivatal2!L50+hivatal2!O50+hivatal3!C50+hivatal3!F50+hivatal3!I50+hivatal3!L50+hivatal3!O50+hivatal4!C50+hivatal4!F50+hivatal4!I50+hivatal4!L50+hivatal4!O50+'hivatal5 '!C50+'hivatal5 '!F50+'hivatal5 '!I50+'hivatal5 '!L50+'hivatal5 '!O50+hivatal6!C50+hivatal6!F50+hivatal6!I50+hivatal6!L50+hivatal6!O50+hivatal7!C50</f>
        <v>0</v>
      </c>
      <c r="G50" s="256">
        <f>hivatal1!D50+hivatal1!G50+hivatal1!J50+hivatal1!M50+hivatal1!P50+hivatal2!D50+hivatal2!G50+hivatal2!J50+hivatal2!M50+hivatal2!P50+hivatal3!D50+hivatal3!G50+hivatal3!J50+hivatal3!M50+hivatal3!P50+hivatal4!D50+hivatal4!G50+hivatal4!J50+hivatal4!M50+hivatal4!P50+'hivatal5 '!D50+'hivatal5 '!G50+'hivatal5 '!J50+'hivatal5 '!M50+'hivatal5 '!P50+hivatal6!D50+hivatal6!G50+hivatal6!J50+hivatal6!M50+hivatal6!P50+hivatal7!D50</f>
        <v>368383</v>
      </c>
      <c r="H50" s="258">
        <f>hivatal1!E50+hivatal1!H50+hivatal1!K50+hivatal1!N50+hivatal1!Q50+hivatal2!E50+hivatal2!H50+hivatal2!K50+hivatal2!N50+hivatal2!Q50+hivatal3!E50+hivatal3!H50+hivatal3!K50+hivatal3!N50+hivatal3!Q50+hivatal4!E50+hivatal4!H50+hivatal4!K50+hivatal4!N50+hivatal4!Q50+'hivatal5 '!E50+'hivatal5 '!H50+'hivatal5 '!K50+'hivatal5 '!N50+'hivatal5 '!Q50+hivatal6!E50+hivatal6!H50+hivatal6!K50+hivatal6!N50+hivatal6!Q50+hivatal7!E50</f>
        <v>368383</v>
      </c>
      <c r="I50" s="932">
        <v>100000</v>
      </c>
      <c r="J50" s="154">
        <v>-100000</v>
      </c>
      <c r="K50" s="177">
        <f>SUM(I50:J50)</f>
        <v>0</v>
      </c>
      <c r="L50" s="954"/>
      <c r="M50" s="154"/>
      <c r="N50" s="177"/>
      <c r="O50" s="96"/>
      <c r="P50" s="96"/>
      <c r="Q50" s="96"/>
    </row>
    <row r="51" spans="1:17" s="15" customFormat="1" ht="16.5" thickBot="1">
      <c r="A51" s="357">
        <v>5</v>
      </c>
      <c r="B51" s="348" t="s">
        <v>186</v>
      </c>
      <c r="C51" s="392">
        <f>SUM(C48:C50)</f>
        <v>0</v>
      </c>
      <c r="D51" s="358">
        <f>SUM(D48:D50)</f>
        <v>0</v>
      </c>
      <c r="E51" s="364"/>
      <c r="F51" s="392">
        <f>hivatal1!C51+hivatal1!F51+hivatal1!I51+hivatal1!L51+hivatal1!O51+hivatal2!C51+hivatal2!F51+hivatal2!I51+hivatal2!L51+hivatal2!O51+hivatal3!C51+hivatal3!F51+hivatal3!I51+hivatal3!L51+hivatal3!O51+hivatal4!C51+hivatal4!F51+hivatal4!I51+hivatal4!L51+hivatal4!O51+'hivatal5 '!C51+'hivatal5 '!F51+'hivatal5 '!I51+'hivatal5 '!L51+'hivatal5 '!O51+hivatal6!C51+hivatal6!F51+hivatal6!I51+hivatal6!L51+hivatal6!O51+hivatal7!C51</f>
        <v>0</v>
      </c>
      <c r="G51" s="358">
        <f>hivatal1!D51+hivatal1!G51+hivatal1!J51+hivatal1!M51+hivatal1!P51+hivatal2!D51+hivatal2!G51+hivatal2!J51+hivatal2!M51+hivatal2!P51+hivatal3!D51+hivatal3!G51+hivatal3!J51+hivatal3!M51+hivatal3!P51+hivatal4!D51+hivatal4!G51+hivatal4!J51+hivatal4!M51+hivatal4!P51+'hivatal5 '!D51+'hivatal5 '!G51+'hivatal5 '!J51+'hivatal5 '!M51+'hivatal5 '!P51+hivatal6!D51+hivatal6!G51+hivatal6!J51+hivatal6!M51+hivatal6!P51+hivatal7!D51</f>
        <v>368383</v>
      </c>
      <c r="H51" s="364">
        <f>hivatal1!E51+hivatal1!H51+hivatal1!K51+hivatal1!N51+hivatal1!Q51+hivatal2!E51+hivatal2!H51+hivatal2!K51+hivatal2!N51+hivatal2!Q51+hivatal3!E51+hivatal3!H51+hivatal3!K51+hivatal3!N51+hivatal3!Q51+hivatal4!E51+hivatal4!H51+hivatal4!K51+hivatal4!N51+hivatal4!Q51+'hivatal5 '!E51+'hivatal5 '!H51+'hivatal5 '!K51+'hivatal5 '!N51+'hivatal5 '!Q51+hivatal6!E51+hivatal6!H51+hivatal6!K51+hivatal6!N51+hivatal6!Q51+hivatal7!E51</f>
        <v>368383</v>
      </c>
      <c r="I51" s="374">
        <f>SUM(I48:I50)</f>
        <v>100000</v>
      </c>
      <c r="J51" s="358">
        <f>SUM(J48:J50)</f>
        <v>31000</v>
      </c>
      <c r="K51" s="364">
        <f t="shared" si="14"/>
        <v>131000</v>
      </c>
      <c r="L51" s="392"/>
      <c r="M51" s="358"/>
      <c r="N51" s="364"/>
      <c r="O51" s="220"/>
      <c r="P51" s="220"/>
      <c r="Q51" s="220"/>
    </row>
    <row r="52" spans="1:17" s="15" customFormat="1" ht="16.5" thickBot="1">
      <c r="A52" s="811">
        <v>6</v>
      </c>
      <c r="B52" s="812" t="s">
        <v>309</v>
      </c>
      <c r="C52" s="1183"/>
      <c r="D52" s="383"/>
      <c r="E52" s="376"/>
      <c r="F52" s="392">
        <f>hivatal1!C52+hivatal1!F52+hivatal1!I52+hivatal1!L52+hivatal1!O52+hivatal2!C52+hivatal2!F52+hivatal2!I52+hivatal2!L52+hivatal2!O52+hivatal3!C52+hivatal3!F52+hivatal3!I52+hivatal3!L52+hivatal3!O52+hivatal4!C52+hivatal4!F52+hivatal4!I52+hivatal4!L52+hivatal4!O52+'hivatal5 '!C52+'hivatal5 '!F52+'hivatal5 '!I52+'hivatal5 '!L52+'hivatal5 '!O52+hivatal6!C52+hivatal6!F52+hivatal6!I52+hivatal6!L52+hivatal6!O52+hivatal7!C52</f>
        <v>479116</v>
      </c>
      <c r="G52" s="358">
        <f>hivatal1!D52+hivatal1!G52+hivatal1!J52+hivatal1!M52+hivatal1!P52+hivatal2!D52+hivatal2!G52+hivatal2!J52+hivatal2!M52+hivatal2!P52+hivatal3!D52+hivatal3!G52+hivatal3!J52+hivatal3!M52+hivatal3!P52+hivatal4!D52+hivatal4!G52+hivatal4!J52+hivatal4!M52+hivatal4!P52+'hivatal5 '!D52+'hivatal5 '!G52+'hivatal5 '!J52+'hivatal5 '!M52+'hivatal5 '!P52+hivatal6!D52+hivatal6!G52+hivatal6!J52+hivatal6!M52+hivatal6!P52+hivatal7!D52</f>
        <v>-17872</v>
      </c>
      <c r="H52" s="364">
        <f>hivatal1!E52+hivatal1!H52+hivatal1!K52+hivatal1!N52+hivatal1!Q52+hivatal2!E52+hivatal2!H52+hivatal2!K52+hivatal2!N52+hivatal2!Q52+hivatal3!E52+hivatal3!H52+hivatal3!K52+hivatal3!N52+hivatal3!Q52+hivatal4!E52+hivatal4!H52+hivatal4!K52+hivatal4!N52+hivatal4!Q52+'hivatal5 '!E52+'hivatal5 '!H52+'hivatal5 '!K52+'hivatal5 '!N52+'hivatal5 '!Q52+hivatal6!E52+hivatal6!H52+hivatal6!K52+hivatal6!N52+hivatal6!Q52+hivatal7!E52</f>
        <v>461244</v>
      </c>
      <c r="I52" s="377"/>
      <c r="J52" s="383"/>
      <c r="K52" s="376">
        <f t="shared" si="14"/>
        <v>0</v>
      </c>
      <c r="L52" s="1189"/>
      <c r="M52" s="383"/>
      <c r="N52" s="376"/>
      <c r="O52" s="220"/>
      <c r="P52" s="220"/>
      <c r="Q52" s="220"/>
    </row>
    <row r="53" spans="1:17" ht="15">
      <c r="A53" s="152" t="s">
        <v>108</v>
      </c>
      <c r="B53" s="153" t="s">
        <v>424</v>
      </c>
      <c r="C53" s="1184"/>
      <c r="D53" s="155"/>
      <c r="E53" s="215"/>
      <c r="F53" s="1180">
        <f>hivatal1!C53+hivatal1!F53+hivatal1!I53+hivatal1!L53+hivatal1!O53+hivatal2!C53+hivatal2!F53+hivatal2!I53+hivatal2!L53+hivatal2!O53+hivatal3!C53+hivatal3!F53+hivatal3!I53+hivatal3!L53+hivatal3!O53+hivatal4!C53+hivatal4!F53+hivatal4!I53+hivatal4!L53+hivatal4!O53+'hivatal5 '!C53+'hivatal5 '!F53+'hivatal5 '!I53+'hivatal5 '!L53+'hivatal5 '!O53+hivatal6!C53+hivatal6!F53+hivatal6!I53+hivatal6!L53+hivatal6!O53+hivatal7!C53</f>
        <v>0</v>
      </c>
      <c r="G53" s="256">
        <f>hivatal1!D53+hivatal1!G53+hivatal1!J53+hivatal1!M53+hivatal1!P53+hivatal2!D53+hivatal2!G53+hivatal2!J53+hivatal2!M53+hivatal2!P53+hivatal3!D53+hivatal3!G53+hivatal3!J53+hivatal3!M53+hivatal3!P53+hivatal4!D53+hivatal4!G53+hivatal4!J53+hivatal4!M53+hivatal4!P53+'hivatal5 '!D53+'hivatal5 '!G53+'hivatal5 '!J53+'hivatal5 '!M53+'hivatal5 '!P53+hivatal6!D53+hivatal6!G53+hivatal6!J53+hivatal6!M53+hivatal6!P53+hivatal7!D53</f>
        <v>1373</v>
      </c>
      <c r="H53" s="258">
        <f>hivatal1!E53+hivatal1!H53+hivatal1!K53+hivatal1!N53+hivatal1!Q53+hivatal2!E53+hivatal2!H53+hivatal2!K53+hivatal2!N53+hivatal2!Q53+hivatal3!E53+hivatal3!H53+hivatal3!K53+hivatal3!N53+hivatal3!Q53+hivatal4!E53+hivatal4!H53+hivatal4!K53+hivatal4!N53+hivatal4!Q53+'hivatal5 '!E53+'hivatal5 '!H53+'hivatal5 '!K53+'hivatal5 '!N53+'hivatal5 '!Q53+hivatal6!E53+hivatal6!H53+hivatal6!K53+hivatal6!N53+hivatal6!Q53+hivatal7!E53</f>
        <v>1373</v>
      </c>
      <c r="I53" s="936">
        <v>1000</v>
      </c>
      <c r="J53" s="155"/>
      <c r="K53" s="215">
        <f t="shared" si="14"/>
        <v>1000</v>
      </c>
      <c r="L53" s="1184"/>
      <c r="M53" s="155"/>
      <c r="N53" s="215"/>
      <c r="O53" s="96"/>
      <c r="P53" s="96"/>
      <c r="Q53" s="96"/>
    </row>
    <row r="54" spans="1:17" ht="15.75" thickBot="1">
      <c r="A54" s="379" t="s">
        <v>109</v>
      </c>
      <c r="B54" s="157" t="s">
        <v>425</v>
      </c>
      <c r="C54" s="1181"/>
      <c r="D54" s="365"/>
      <c r="E54" s="368"/>
      <c r="F54" s="1181">
        <f>hivatal1!C54+hivatal1!F54+hivatal1!I54+hivatal1!L54+hivatal1!O54+hivatal2!C54+hivatal2!F54+hivatal2!I54+hivatal2!L54+hivatal2!O54+hivatal3!C54+hivatal3!F54+hivatal3!I54+hivatal3!L54+hivatal3!O54+hivatal4!C54+hivatal4!F54+hivatal4!I54+hivatal4!L54+hivatal4!O54+'hivatal5 '!C54+'hivatal5 '!F54+'hivatal5 '!I54+'hivatal5 '!L54+'hivatal5 '!O54+hivatal6!C54+hivatal6!F54+hivatal6!I54+hivatal6!L54+hivatal6!O54+hivatal7!C54</f>
        <v>0</v>
      </c>
      <c r="G54" s="365">
        <f>hivatal1!D54+hivatal1!G54+hivatal1!J54+hivatal1!M54+hivatal1!P54+hivatal2!D54+hivatal2!G54+hivatal2!J54+hivatal2!M54+hivatal2!P54+hivatal3!D54+hivatal3!G54+hivatal3!J54+hivatal3!M54+hivatal3!P54+hivatal4!D54+hivatal4!G54+hivatal4!J54+hivatal4!M54+hivatal4!P54+'hivatal5 '!D54+'hivatal5 '!G54+'hivatal5 '!J54+'hivatal5 '!M54+'hivatal5 '!P54+hivatal6!D54+hivatal6!G54+hivatal6!J54+hivatal6!M54+hivatal6!P54+hivatal7!D54</f>
        <v>280271</v>
      </c>
      <c r="H54" s="368">
        <f>hivatal1!E54+hivatal1!H54+hivatal1!K54+hivatal1!N54+hivatal1!Q54+hivatal2!E54+hivatal2!H54+hivatal2!K54+hivatal2!N54+hivatal2!Q54+hivatal3!E54+hivatal3!H54+hivatal3!K54+hivatal3!N54+hivatal3!Q54+hivatal4!E54+hivatal4!H54+hivatal4!K54+hivatal4!N54+hivatal4!Q54+'hivatal5 '!E54+'hivatal5 '!H54+'hivatal5 '!K54+'hivatal5 '!N54+'hivatal5 '!Q54+hivatal6!E54+hivatal6!H54+hivatal6!K54+hivatal6!N54+hivatal6!Q54+hivatal7!E54</f>
        <v>280271</v>
      </c>
      <c r="I54" s="172"/>
      <c r="J54" s="365"/>
      <c r="K54" s="368">
        <f t="shared" si="14"/>
        <v>0</v>
      </c>
      <c r="L54" s="1181"/>
      <c r="M54" s="365"/>
      <c r="N54" s="368"/>
      <c r="O54" s="96"/>
      <c r="P54" s="96"/>
      <c r="Q54" s="96"/>
    </row>
    <row r="55" spans="1:17" s="15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/>
      <c r="E55" s="364"/>
      <c r="F55" s="392">
        <f>hivatal1!C55+hivatal1!F55+hivatal1!I55+hivatal1!L55+hivatal1!O55+hivatal2!C55+hivatal2!F55+hivatal2!I55+hivatal2!L55+hivatal2!O55+hivatal3!C55+hivatal3!F55+hivatal3!I55+hivatal3!L55+hivatal3!O55+hivatal4!C55+hivatal4!F55+hivatal4!I55+hivatal4!L55+hivatal4!O55+'hivatal5 '!C55+'hivatal5 '!F55+'hivatal5 '!I55+'hivatal5 '!L55+'hivatal5 '!O55+hivatal6!C55+hivatal6!F55+hivatal6!I55+hivatal6!L55+hivatal6!O55+hivatal7!C55</f>
        <v>0</v>
      </c>
      <c r="G55" s="358">
        <f>hivatal1!D55+hivatal1!G55+hivatal1!J55+hivatal1!M55+hivatal1!P55+hivatal2!D55+hivatal2!G55+hivatal2!J55+hivatal2!M55+hivatal2!P55+hivatal3!D55+hivatal3!G55+hivatal3!J55+hivatal3!M55+hivatal3!P55+hivatal4!D55+hivatal4!G55+hivatal4!J55+hivatal4!M55+hivatal4!P55+'hivatal5 '!D55+'hivatal5 '!G55+'hivatal5 '!J55+'hivatal5 '!M55+'hivatal5 '!P55+hivatal6!D55+hivatal6!G55+hivatal6!J55+hivatal6!M55+hivatal6!P55+hivatal7!D55</f>
        <v>281644</v>
      </c>
      <c r="H55" s="364">
        <f>hivatal1!E55+hivatal1!H55+hivatal1!K55+hivatal1!N55+hivatal1!Q55+hivatal2!E55+hivatal2!H55+hivatal2!K55+hivatal2!N55+hivatal2!Q55+hivatal3!E55+hivatal3!H55+hivatal3!K55+hivatal3!N55+hivatal3!Q55+hivatal4!E55+hivatal4!H55+hivatal4!K55+hivatal4!N55+hivatal4!Q55+'hivatal5 '!E55+'hivatal5 '!H55+'hivatal5 '!K55+'hivatal5 '!N55+'hivatal5 '!Q55+hivatal6!E55+hivatal6!H55+hivatal6!K55+hivatal6!N55+hivatal6!Q55+hivatal7!E55</f>
        <v>281644</v>
      </c>
      <c r="I55" s="374">
        <f>SUM(I53:I54)</f>
        <v>1000</v>
      </c>
      <c r="J55" s="358">
        <f>SUM(J53:J54)</f>
        <v>0</v>
      </c>
      <c r="K55" s="364">
        <f t="shared" si="14"/>
        <v>1000</v>
      </c>
      <c r="L55" s="392"/>
      <c r="M55" s="358"/>
      <c r="N55" s="364"/>
      <c r="O55" s="167"/>
      <c r="P55" s="167"/>
      <c r="Q55" s="167"/>
    </row>
    <row r="56" spans="1:17" s="28" customFormat="1" ht="19.5" customHeight="1" thickBot="1">
      <c r="A56" s="762">
        <v>8</v>
      </c>
      <c r="B56" s="763" t="s">
        <v>46</v>
      </c>
      <c r="C56" s="1216">
        <f aca="true" t="shared" si="15" ref="C56:H56">C34-C40-C45-C46-C47-C51-C52-C55-C57-C58-C59</f>
        <v>3830639</v>
      </c>
      <c r="D56" s="1217">
        <f t="shared" si="15"/>
        <v>-1037</v>
      </c>
      <c r="E56" s="1214">
        <f t="shared" si="15"/>
        <v>3829602</v>
      </c>
      <c r="F56" s="1216">
        <f t="shared" si="15"/>
        <v>3042009</v>
      </c>
      <c r="G56" s="1217">
        <f t="shared" si="15"/>
        <v>-24912</v>
      </c>
      <c r="H56" s="1214">
        <f t="shared" si="15"/>
        <v>3017097</v>
      </c>
      <c r="I56" s="1216"/>
      <c r="J56" s="1217"/>
      <c r="K56" s="1214"/>
      <c r="L56" s="1239">
        <f>I60*-1</f>
        <v>-8259633</v>
      </c>
      <c r="M56" s="1241">
        <f>J60*-1</f>
        <v>-42595</v>
      </c>
      <c r="N56" s="1229">
        <f>K60*-1</f>
        <v>-8302228</v>
      </c>
      <c r="O56" s="973"/>
      <c r="P56" s="973"/>
      <c r="Q56" s="973"/>
    </row>
    <row r="57" spans="1:17" s="15" customFormat="1" ht="15.75">
      <c r="A57" s="380" t="s">
        <v>427</v>
      </c>
      <c r="B57" s="381" t="s">
        <v>192</v>
      </c>
      <c r="C57" s="1186"/>
      <c r="D57" s="371"/>
      <c r="E57" s="1215"/>
      <c r="F57" s="1180">
        <f>hivatal1!C57+hivatal1!F57+hivatal1!I57+hivatal1!L57+hivatal1!O57+hivatal2!C57+hivatal2!F57+hivatal2!I57+hivatal2!L57+hivatal2!O57+hivatal3!C57+hivatal3!F57+hivatal3!I57+hivatal3!L57+hivatal3!O57+hivatal4!C57+hivatal4!F57+hivatal4!I57+hivatal4!L57+hivatal4!O57+'hivatal5 '!C57+'hivatal5 '!F57+'hivatal5 '!I57+'hivatal5 '!L57+'hivatal5 '!O57+hivatal6!C57+hivatal6!F57+hivatal6!I57+hivatal6!L57+hivatal6!O57+hivatal7!C57</f>
        <v>0</v>
      </c>
      <c r="G57" s="256">
        <f>hivatal1!D57+hivatal1!G57+hivatal1!J57+hivatal1!M57+hivatal1!P57+hivatal2!D57+hivatal2!G57+hivatal2!J57+hivatal2!M57+hivatal2!P57+hivatal3!D57+hivatal3!G57+hivatal3!J57+hivatal3!M57+hivatal3!P57+hivatal4!D57+hivatal4!G57+hivatal4!J57+hivatal4!M57+hivatal4!P57+'hivatal5 '!D57+'hivatal5 '!G57+'hivatal5 '!J57+'hivatal5 '!M57+'hivatal5 '!P57+hivatal6!D57+hivatal6!G57+hivatal6!J57+hivatal6!M57+hivatal6!P57+hivatal7!D57</f>
        <v>0</v>
      </c>
      <c r="H57" s="258">
        <f>hivatal1!E57+hivatal1!H57+hivatal1!K57+hivatal1!N57+hivatal1!Q57+hivatal2!E57+hivatal2!H57+hivatal2!K57+hivatal2!N57+hivatal2!Q57+hivatal3!E57+hivatal3!H57+hivatal3!K57+hivatal3!N57+hivatal3!Q57+hivatal4!E57+hivatal4!H57+hivatal4!K57+hivatal4!N57+hivatal4!Q57+'hivatal5 '!E57+'hivatal5 '!H57+'hivatal5 '!K57+'hivatal5 '!N57+'hivatal5 '!Q57+hivatal6!E57+hivatal6!H57+hivatal6!K57+hivatal6!N57+hivatal6!Q57+hivatal7!E57</f>
        <v>0</v>
      </c>
      <c r="I57" s="937">
        <v>678811</v>
      </c>
      <c r="J57" s="371"/>
      <c r="K57" s="1215">
        <f>SUM(I57:J57)</f>
        <v>678811</v>
      </c>
      <c r="L57" s="1186"/>
      <c r="M57" s="371"/>
      <c r="N57" s="1215"/>
      <c r="O57" s="167"/>
      <c r="P57" s="167"/>
      <c r="Q57" s="167"/>
    </row>
    <row r="58" spans="1:17" s="15" customFormat="1" ht="15.75">
      <c r="A58" s="380" t="s">
        <v>191</v>
      </c>
      <c r="B58" s="381" t="s">
        <v>426</v>
      </c>
      <c r="C58" s="1186"/>
      <c r="D58" s="371"/>
      <c r="E58" s="1215"/>
      <c r="F58" s="158">
        <f>hivatal1!C58+hivatal1!F58+hivatal1!I58+hivatal1!L58+hivatal1!O58+hivatal2!C58+hivatal2!F58+hivatal2!I58+hivatal2!L58+hivatal2!O58+hivatal3!C58+hivatal3!F58+hivatal3!I58+hivatal3!L58+hivatal3!O58+hivatal4!C58+hivatal4!F58+hivatal4!I58+hivatal4!L58+hivatal4!O58+'hivatal5 '!C58+'hivatal5 '!F58+'hivatal5 '!I58+'hivatal5 '!L58+'hivatal5 '!O58+hivatal6!C58+hivatal6!F58+hivatal6!I58+hivatal6!L58+hivatal6!O58+hivatal7!C58</f>
        <v>7000000</v>
      </c>
      <c r="G58" s="154">
        <f>hivatal1!D58+hivatal1!G58+hivatal1!J58+hivatal1!M58+hivatal1!P58+hivatal2!D58+hivatal2!G58+hivatal2!J58+hivatal2!M58+hivatal2!P58+hivatal3!D58+hivatal3!G58+hivatal3!J58+hivatal3!M58+hivatal3!P58+hivatal4!D58+hivatal4!G58+hivatal4!J58+hivatal4!M58+hivatal4!P58+'hivatal5 '!D58+'hivatal5 '!G58+'hivatal5 '!J58+'hivatal5 '!M58+'hivatal5 '!P58+hivatal6!D58+hivatal6!G58+hivatal6!J58+hivatal6!M58+hivatal6!P58+hivatal7!D58</f>
        <v>0</v>
      </c>
      <c r="H58" s="177">
        <f>hivatal1!E58+hivatal1!H58+hivatal1!K58+hivatal1!N58+hivatal1!Q58+hivatal2!E58+hivatal2!H58+hivatal2!K58+hivatal2!N58+hivatal2!Q58+hivatal3!E58+hivatal3!H58+hivatal3!K58+hivatal3!N58+hivatal3!Q58+hivatal4!E58+hivatal4!H58+hivatal4!K58+hivatal4!N58+hivatal4!Q58+'hivatal5 '!E58+'hivatal5 '!H58+'hivatal5 '!K58+'hivatal5 '!N58+'hivatal5 '!Q58+hivatal6!E58+hivatal6!H58+hivatal6!K58+hivatal6!N58+hivatal6!Q58+hivatal7!E58</f>
        <v>7000000</v>
      </c>
      <c r="I58" s="937"/>
      <c r="J58" s="371"/>
      <c r="K58" s="1215">
        <f>SUM(I58:J58)</f>
        <v>0</v>
      </c>
      <c r="L58" s="370"/>
      <c r="M58" s="371"/>
      <c r="N58" s="449"/>
      <c r="O58" s="167"/>
      <c r="P58" s="167"/>
      <c r="Q58" s="167"/>
    </row>
    <row r="59" spans="1:17" s="15" customFormat="1" ht="16.5" thickBot="1">
      <c r="A59" s="396">
        <v>10</v>
      </c>
      <c r="B59" s="397"/>
      <c r="C59" s="398"/>
      <c r="D59" s="399"/>
      <c r="E59" s="453"/>
      <c r="F59" s="974">
        <f>hivatal1!C59+hivatal1!F59+hivatal1!I59+hivatal1!L59+hivatal1!O59+hivatal2!C59+hivatal2!F59+hivatal2!I59+hivatal2!L59+hivatal2!O59+hivatal3!C59+hivatal3!F59+hivatal3!I59+hivatal3!L59+hivatal3!O59+hivatal4!C59+hivatal4!F59+hivatal4!I59+hivatal4!L59+hivatal4!O59+'hivatal5 '!C59+'hivatal5 '!F59+'hivatal5 '!I59+'hivatal5 '!L59+'hivatal5 '!O59+hivatal6!C59+hivatal6!F59+hivatal6!I59+hivatal6!L59+hivatal6!O59+hivatal7!C59</f>
        <v>0</v>
      </c>
      <c r="G59" s="975">
        <f>hivatal1!D59+hivatal1!G59+hivatal1!J59+hivatal1!M59+hivatal1!P59+hivatal2!D59+hivatal2!G59+hivatal2!J59+hivatal2!M59+hivatal2!P59+hivatal3!D59+hivatal3!G59+hivatal3!J59+hivatal3!M59+hivatal3!P59+hivatal4!D59+hivatal4!G59+hivatal4!J59+hivatal4!M59+hivatal4!P59+'hivatal5 '!D59+'hivatal5 '!G59+'hivatal5 '!J59+'hivatal5 '!M59+'hivatal5 '!P59+hivatal6!D59+hivatal6!G59+hivatal6!J59+hivatal6!M59+hivatal6!P59+hivatal7!D59</f>
        <v>0</v>
      </c>
      <c r="H59" s="976">
        <f>hivatal1!E59+hivatal1!H59+hivatal1!K59+hivatal1!N59+hivatal1!Q59+hivatal2!E59+hivatal2!H59+hivatal2!K59+hivatal2!N59+hivatal2!Q59+hivatal3!E59+hivatal3!H59+hivatal3!K59+hivatal3!N59+hivatal3!Q59+hivatal4!E59+hivatal4!H59+hivatal4!K59+hivatal4!N59+hivatal4!Q59+'hivatal5 '!E59+'hivatal5 '!H59+'hivatal5 '!K59+'hivatal5 '!N59+'hivatal5 '!Q59+hivatal6!E59+hivatal6!H59+hivatal6!K59+hivatal6!N59+hivatal6!Q59+hivatal7!E59</f>
        <v>0</v>
      </c>
      <c r="I59" s="401"/>
      <c r="J59" s="399"/>
      <c r="K59" s="454">
        <f>SUM(I59:J59)</f>
        <v>0</v>
      </c>
      <c r="L59" s="398"/>
      <c r="M59" s="399"/>
      <c r="N59" s="453"/>
      <c r="O59" s="167"/>
      <c r="P59" s="167"/>
      <c r="Q59" s="167"/>
    </row>
    <row r="60" spans="1:17" s="35" customFormat="1" ht="17.25" thickBot="1" thickTop="1">
      <c r="A60" s="387" t="s">
        <v>119</v>
      </c>
      <c r="B60" s="390" t="s">
        <v>190</v>
      </c>
      <c r="C60" s="825">
        <f>C40+C45+C46+C47+C51+C52+C55+C56+C57+C58+C59</f>
        <v>3830639</v>
      </c>
      <c r="D60" s="826">
        <f aca="true" t="shared" si="16" ref="D60:N60">D40+D45+D46+D47+D51+D52+D55+D56+D57+D58+D59</f>
        <v>-1037</v>
      </c>
      <c r="E60" s="824">
        <f t="shared" si="16"/>
        <v>3829602</v>
      </c>
      <c r="F60" s="409">
        <f t="shared" si="16"/>
        <v>11181798</v>
      </c>
      <c r="G60" s="388">
        <f t="shared" si="16"/>
        <v>690844</v>
      </c>
      <c r="H60" s="824">
        <f t="shared" si="16"/>
        <v>11872642</v>
      </c>
      <c r="I60" s="825">
        <f>I40+I45+I46+I47+I51+I52+I55+I56+I57+I58+I59</f>
        <v>8259633</v>
      </c>
      <c r="J60" s="826">
        <f t="shared" si="16"/>
        <v>42595</v>
      </c>
      <c r="K60" s="824">
        <f>K40+K45+K46+K47+K51+K52+K55+K56+K57+K58+K59</f>
        <v>8302228</v>
      </c>
      <c r="L60" s="409">
        <f>L40+L45+L46+L47+L51+L52+L55+L56+L57+L58+L59</f>
        <v>-8259633</v>
      </c>
      <c r="M60" s="388">
        <f t="shared" si="16"/>
        <v>-42595</v>
      </c>
      <c r="N60" s="421">
        <f t="shared" si="16"/>
        <v>-8302228</v>
      </c>
      <c r="O60" s="167"/>
      <c r="P60" s="167"/>
      <c r="Q60" s="167"/>
    </row>
    <row r="61" spans="1:17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268"/>
      <c r="P61" s="268"/>
      <c r="Q61" s="268"/>
    </row>
    <row r="62" spans="1:17" ht="16.5" thickBot="1" thickTop="1">
      <c r="A62" s="182"/>
      <c r="B62" s="183" t="s">
        <v>580</v>
      </c>
      <c r="C62" s="216">
        <v>0</v>
      </c>
      <c r="D62" s="459"/>
      <c r="E62" s="460">
        <f>SUM(C62:D62)</f>
        <v>0</v>
      </c>
      <c r="F62" s="1253">
        <f>hivatal1!C62+hivatal1!F62+hivatal1!I62+hivatal1!L62+hivatal1!O62+hivatal2!C62+hivatal2!F62+hivatal2!I62+hivatal2!L62+hivatal2!O62+hivatal3!C62+hivatal3!F62+hivatal3!I62+hivatal3!L62+hivatal3!O62+hivatal4!C62+hivatal4!F62+hivatal4!I62+hivatal4!L62+hivatal4!O62+'hivatal5 '!C62+'hivatal5 '!F62+'hivatal5 '!I62+'hivatal5 '!L62+'hivatal5 '!O62+hivatal6!C62+hivatal6!F62+hivatal6!I62+hivatal6!L62+hivatal6!O62+hivatal7!C62</f>
        <v>33</v>
      </c>
      <c r="G62" s="217">
        <f>hivatal1!D62+hivatal1!G62+hivatal1!J62+hivatal1!M62+hivatal1!P62+hivatal2!D62+hivatal2!G62+hivatal2!J62+hivatal2!M62+hivatal2!P62+hivatal3!D62+hivatal3!G62+hivatal3!J62+hivatal3!M62+hivatal3!P62+hivatal4!D62+hivatal4!G62+hivatal4!J62+hivatal4!M62+hivatal4!P62+'hivatal5 '!D62+'hivatal5 '!G62+'hivatal5 '!J62+'hivatal5 '!M62+'hivatal5 '!P62+hivatal6!D62+hivatal6!G62+hivatal6!J62+hivatal6!M62+hivatal6!P62+hivatal7!D62</f>
        <v>0</v>
      </c>
      <c r="H62" s="1252">
        <f>hivatal1!E62+hivatal1!H62+hivatal1!K62+hivatal1!N62+hivatal1!Q62+hivatal2!E62+hivatal2!H62+hivatal2!K62+hivatal2!N62+hivatal2!Q62+hivatal3!E62+hivatal3!H62+hivatal3!K62+hivatal3!N62+hivatal3!Q62+hivatal4!E62+hivatal4!H62+hivatal4!K62+hivatal4!N62+hivatal4!Q62+'hivatal5 '!E62+'hivatal5 '!H62+'hivatal5 '!K62+'hivatal5 '!N62+'hivatal5 '!Q62+hivatal6!E62+hivatal6!H62+hivatal6!K62+hivatal6!N62+hivatal6!Q62+hivatal7!E62</f>
        <v>33</v>
      </c>
      <c r="I62" s="977"/>
      <c r="J62" s="958"/>
      <c r="K62" s="848"/>
      <c r="L62" s="974"/>
      <c r="M62" s="975"/>
      <c r="N62" s="959"/>
      <c r="O62" s="96"/>
      <c r="P62" s="96"/>
      <c r="Q62" s="96"/>
    </row>
    <row r="63" spans="1:17" ht="16.5" thickBot="1" thickTop="1">
      <c r="A63" s="182"/>
      <c r="B63" s="183" t="s">
        <v>581</v>
      </c>
      <c r="C63" s="216">
        <v>0</v>
      </c>
      <c r="D63" s="459"/>
      <c r="E63" s="460">
        <f>SUM(C63:D63)</f>
        <v>0</v>
      </c>
      <c r="F63" s="1253">
        <f>hivatal1!C63+hivatal1!F63+hivatal1!I63+hivatal1!L63+hivatal1!O63+hivatal2!C63+hivatal2!F63+hivatal2!I63+hivatal2!L63+hivatal2!O63+hivatal3!C63+hivatal3!F63+hivatal3!I63+hivatal3!L63+hivatal3!O63+hivatal4!C63+hivatal4!F63+hivatal4!I63+hivatal4!L63+hivatal4!O63+'hivatal5 '!C63+'hivatal5 '!F63+'hivatal5 '!I63+'hivatal5 '!L63+'hivatal5 '!O63+hivatal6!C63+hivatal6!F63+hivatal6!I63+hivatal6!L63+hivatal6!O63+hivatal7!C63</f>
        <v>15</v>
      </c>
      <c r="G63" s="217">
        <f>hivatal1!D63+hivatal1!G63+hivatal1!J63+hivatal1!M63+hivatal1!P63+hivatal2!D63+hivatal2!G63+hivatal2!J63+hivatal2!M63+hivatal2!P63+hivatal3!D63+hivatal3!G63+hivatal3!J63+hivatal3!M63+hivatal3!P63+hivatal4!D63+hivatal4!G63+hivatal4!J63+hivatal4!M63+hivatal4!P63+'hivatal5 '!D63+'hivatal5 '!G63+'hivatal5 '!J63+'hivatal5 '!M63+'hivatal5 '!P63+hivatal6!D63+hivatal6!G63+hivatal6!J63+hivatal6!M63+hivatal6!P63+hivatal7!D63</f>
        <v>0</v>
      </c>
      <c r="H63" s="986">
        <f>hivatal1!E63+hivatal1!H63+hivatal1!K63+hivatal1!N63+hivatal1!Q63+hivatal2!E63+hivatal2!H63+hivatal2!K63+hivatal2!N63+hivatal2!Q63+hivatal3!E63+hivatal3!H63+hivatal3!K63+hivatal3!N63+hivatal3!Q63+hivatal4!E63+hivatal4!H63+hivatal4!K63+hivatal4!N63+hivatal4!Q63+'hivatal5 '!E63+'hivatal5 '!H63+'hivatal5 '!K63+'hivatal5 '!N63+'hivatal5 '!Q63+hivatal6!E63+hivatal6!H63+hivatal6!K63+hivatal6!N63+hivatal6!Q63+hivatal7!E63</f>
        <v>15</v>
      </c>
      <c r="I63" s="977"/>
      <c r="J63" s="958"/>
      <c r="K63" s="848"/>
      <c r="L63" s="974"/>
      <c r="M63" s="975"/>
      <c r="N63" s="978"/>
      <c r="O63" s="96"/>
      <c r="P63" s="96"/>
      <c r="Q63" s="96"/>
    </row>
    <row r="64" spans="1:17" ht="16.5" thickTop="1">
      <c r="A64" s="465"/>
      <c r="H64" s="112">
        <f>SUM(H36:H59)</f>
        <v>12592802</v>
      </c>
      <c r="O64" s="96"/>
      <c r="P64" s="96"/>
      <c r="Q64" s="96"/>
    </row>
    <row r="65" ht="15.75">
      <c r="A65" s="465"/>
    </row>
  </sheetData>
  <sheetProtection/>
  <mergeCells count="3">
    <mergeCell ref="I7:K7"/>
    <mergeCell ref="A4:N4"/>
    <mergeCell ref="A5:N5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7"/>
  <sheetViews>
    <sheetView showGridLines="0" view="pageLayout" zoomScaleNormal="78" zoomScaleSheetLayoutView="50" workbookViewId="0" topLeftCell="A1">
      <selection activeCell="K1" sqref="K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3" width="16.625" style="96" customWidth="1"/>
    <col min="4" max="4" width="15.50390625" style="96" customWidth="1"/>
    <col min="5" max="5" width="20.50390625" style="96" customWidth="1"/>
    <col min="6" max="6" width="17.375" style="96" customWidth="1"/>
    <col min="7" max="7" width="17.00390625" style="96" customWidth="1"/>
    <col min="8" max="8" width="17.50390625" style="96" customWidth="1"/>
    <col min="9" max="11" width="16.625" style="402" customWidth="1"/>
    <col min="12" max="12" width="16.625" style="1002" customWidth="1"/>
    <col min="13" max="13" width="15.00390625" style="1002" customWidth="1"/>
    <col min="14" max="14" width="16.625" style="1002" customWidth="1"/>
    <col min="15" max="15" width="13.125" style="402" customWidth="1"/>
    <col min="16" max="17" width="9.375" style="402" customWidth="1"/>
  </cols>
  <sheetData>
    <row r="1" spans="1:13" ht="10.5" customHeight="1">
      <c r="A1" s="346"/>
      <c r="B1" s="347"/>
      <c r="C1" s="347"/>
      <c r="D1" s="433"/>
      <c r="E1" s="433"/>
      <c r="F1" s="433"/>
      <c r="G1" s="433"/>
      <c r="H1" s="433"/>
      <c r="K1" s="940" t="s">
        <v>871</v>
      </c>
      <c r="L1" s="1001"/>
      <c r="M1" s="1001"/>
    </row>
    <row r="2" spans="1:13" ht="10.5" customHeight="1">
      <c r="A2" s="346"/>
      <c r="B2" s="347"/>
      <c r="C2" s="347"/>
      <c r="D2" s="433"/>
      <c r="E2" s="433"/>
      <c r="F2" s="433"/>
      <c r="G2" s="433"/>
      <c r="H2" s="433"/>
      <c r="K2" s="940" t="s">
        <v>102</v>
      </c>
      <c r="L2" s="1001"/>
      <c r="M2" s="1001"/>
    </row>
    <row r="3" spans="1:13" ht="15">
      <c r="A3" s="346"/>
      <c r="B3" s="347"/>
      <c r="C3" s="347"/>
      <c r="D3" s="433"/>
      <c r="E3" s="433"/>
      <c r="F3" s="433"/>
      <c r="G3" s="433"/>
      <c r="H3" s="433"/>
      <c r="K3" s="941" t="s">
        <v>159</v>
      </c>
      <c r="L3" s="1001"/>
      <c r="M3" s="1001"/>
    </row>
    <row r="4" spans="1:17" s="15" customFormat="1" ht="20.25">
      <c r="A4" s="1844" t="s">
        <v>103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003"/>
      <c r="M4" s="1003"/>
      <c r="N4" s="1003"/>
      <c r="O4" s="951"/>
      <c r="P4" s="951"/>
      <c r="Q4" s="951"/>
    </row>
    <row r="5" spans="1:17" s="15" customFormat="1" ht="18">
      <c r="A5" s="1845" t="s">
        <v>572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5"/>
      <c r="L5" s="1004"/>
      <c r="M5" s="1004"/>
      <c r="N5" s="1004"/>
      <c r="O5" s="764"/>
      <c r="P5" s="764"/>
      <c r="Q5" s="764"/>
    </row>
    <row r="6" spans="1:14" ht="33" customHeight="1" thickBot="1">
      <c r="A6" s="346"/>
      <c r="B6" s="347"/>
      <c r="C6" s="347"/>
      <c r="D6" s="433"/>
      <c r="E6" s="433"/>
      <c r="F6" s="433"/>
      <c r="G6" s="433"/>
      <c r="H6" s="433"/>
      <c r="K6" s="13" t="s">
        <v>145</v>
      </c>
      <c r="L6" s="1001"/>
      <c r="M6" s="1001"/>
      <c r="N6" s="1005" t="s">
        <v>145</v>
      </c>
    </row>
    <row r="7" spans="1:14" ht="18">
      <c r="A7" s="260" t="s">
        <v>135</v>
      </c>
      <c r="B7" s="95" t="s">
        <v>136</v>
      </c>
      <c r="C7" s="1829" t="s">
        <v>65</v>
      </c>
      <c r="D7" s="1830"/>
      <c r="E7" s="1831"/>
      <c r="F7" s="1829" t="s">
        <v>99</v>
      </c>
      <c r="G7" s="1830"/>
      <c r="H7" s="1831"/>
      <c r="I7" s="1863" t="s">
        <v>70</v>
      </c>
      <c r="J7" s="1864"/>
      <c r="K7" s="1865"/>
      <c r="L7" s="1862"/>
      <c r="M7" s="1862"/>
      <c r="N7" s="1862"/>
    </row>
    <row r="8" spans="1:19" s="32" customFormat="1" ht="24.75" customHeight="1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1006" t="s">
        <v>97</v>
      </c>
      <c r="M8" s="1006" t="s">
        <v>139</v>
      </c>
      <c r="N8" s="1006" t="s">
        <v>463</v>
      </c>
      <c r="O8" s="402"/>
      <c r="P8" s="402"/>
      <c r="Q8" s="1861"/>
      <c r="R8" s="1861"/>
      <c r="S8" s="1861"/>
    </row>
    <row r="9" spans="1:17" s="32" customFormat="1" ht="13.5" thickBot="1">
      <c r="A9" s="467">
        <v>1</v>
      </c>
      <c r="B9" s="467">
        <v>2</v>
      </c>
      <c r="C9" s="468">
        <v>3</v>
      </c>
      <c r="D9" s="469">
        <v>4</v>
      </c>
      <c r="E9" s="471">
        <v>5</v>
      </c>
      <c r="F9" s="469">
        <v>6</v>
      </c>
      <c r="G9" s="469">
        <v>7</v>
      </c>
      <c r="H9" s="471">
        <v>8</v>
      </c>
      <c r="I9" s="468">
        <v>9</v>
      </c>
      <c r="J9" s="469">
        <v>10</v>
      </c>
      <c r="K9" s="471">
        <v>11</v>
      </c>
      <c r="L9" s="1312"/>
      <c r="M9" s="1312"/>
      <c r="N9" s="1312"/>
      <c r="O9" s="402"/>
      <c r="P9" s="402"/>
      <c r="Q9" s="402"/>
    </row>
    <row r="10" spans="1:17" s="32" customFormat="1" ht="18.75" thickBot="1">
      <c r="A10" s="427"/>
      <c r="B10" s="472" t="s">
        <v>140</v>
      </c>
      <c r="C10" s="431"/>
      <c r="D10" s="432"/>
      <c r="E10" s="430"/>
      <c r="F10" s="431"/>
      <c r="G10" s="432"/>
      <c r="H10" s="430"/>
      <c r="I10" s="431"/>
      <c r="J10" s="432"/>
      <c r="K10" s="430"/>
      <c r="L10" s="1313"/>
      <c r="M10" s="1313"/>
      <c r="N10" s="1313"/>
      <c r="O10" s="268"/>
      <c r="P10" s="268"/>
      <c r="Q10" s="268"/>
    </row>
    <row r="11" spans="1:17" s="32" customFormat="1" ht="16.5" thickBot="1">
      <c r="A11" s="357">
        <v>1</v>
      </c>
      <c r="B11" s="348" t="s">
        <v>123</v>
      </c>
      <c r="C11" s="363"/>
      <c r="D11" s="358"/>
      <c r="E11" s="403">
        <f>SUM(C11:D11)</f>
        <v>0</v>
      </c>
      <c r="F11" s="358"/>
      <c r="G11" s="358"/>
      <c r="H11" s="403">
        <f>SUM(F11:G11)</f>
        <v>0</v>
      </c>
      <c r="I11" s="363"/>
      <c r="J11" s="358"/>
      <c r="K11" s="403">
        <f aca="true" t="shared" si="0" ref="K11:K16">SUM(I11:J11)</f>
        <v>0</v>
      </c>
      <c r="L11" s="1009"/>
      <c r="M11" s="1009"/>
      <c r="N11" s="1009"/>
      <c r="O11" s="268"/>
      <c r="P11" s="268"/>
      <c r="Q11" s="268"/>
    </row>
    <row r="12" spans="1:17" s="28" customFormat="1" ht="16.5" thickBot="1">
      <c r="A12" s="361">
        <v>2</v>
      </c>
      <c r="B12" s="348" t="s">
        <v>213</v>
      </c>
      <c r="C12" s="360"/>
      <c r="D12" s="358"/>
      <c r="E12" s="403">
        <f>SUM(C12:D12)</f>
        <v>0</v>
      </c>
      <c r="F12" s="360"/>
      <c r="G12" s="358"/>
      <c r="H12" s="403">
        <f>SUM(F12:G12)</f>
        <v>0</v>
      </c>
      <c r="I12" s="363"/>
      <c r="J12" s="358"/>
      <c r="K12" s="403">
        <f t="shared" si="0"/>
        <v>0</v>
      </c>
      <c r="L12" s="1007"/>
      <c r="M12" s="1007"/>
      <c r="N12" s="1007">
        <f>SUM(L12:M12)</f>
        <v>0</v>
      </c>
      <c r="O12" s="311"/>
      <c r="P12" s="311"/>
      <c r="Q12" s="311"/>
    </row>
    <row r="13" spans="1:17" s="15" customFormat="1" ht="16.5" thickBot="1">
      <c r="A13" s="361">
        <v>3</v>
      </c>
      <c r="B13" s="348" t="s">
        <v>126</v>
      </c>
      <c r="C13" s="360">
        <v>6000</v>
      </c>
      <c r="D13" s="358"/>
      <c r="E13" s="403">
        <f>SUM(C13:D13)</f>
        <v>6000</v>
      </c>
      <c r="F13" s="358"/>
      <c r="G13" s="358"/>
      <c r="H13" s="403">
        <f>SUM(F13:G13)</f>
        <v>0</v>
      </c>
      <c r="I13" s="363">
        <v>45000</v>
      </c>
      <c r="J13" s="358"/>
      <c r="K13" s="403">
        <f t="shared" si="0"/>
        <v>45000</v>
      </c>
      <c r="L13" s="1007"/>
      <c r="M13" s="1007"/>
      <c r="N13" s="1007">
        <f>SUM(L13:M13)</f>
        <v>0</v>
      </c>
      <c r="O13" s="220"/>
      <c r="P13" s="220"/>
      <c r="Q13" s="220"/>
    </row>
    <row r="14" spans="1:17" s="15" customFormat="1" ht="16.5" thickBot="1">
      <c r="A14" s="361">
        <v>4</v>
      </c>
      <c r="B14" s="348" t="s">
        <v>180</v>
      </c>
      <c r="C14" s="360"/>
      <c r="D14" s="360"/>
      <c r="E14" s="364">
        <f>SUM(C14:D14)</f>
        <v>0</v>
      </c>
      <c r="F14" s="360"/>
      <c r="G14" s="360"/>
      <c r="H14" s="364">
        <f>SUM(F14:G14)</f>
        <v>0</v>
      </c>
      <c r="I14" s="363"/>
      <c r="J14" s="360"/>
      <c r="K14" s="364">
        <f t="shared" si="0"/>
        <v>0</v>
      </c>
      <c r="L14" s="1007"/>
      <c r="M14" s="1007"/>
      <c r="N14" s="1007">
        <f>SUM(L14:M14)</f>
        <v>0</v>
      </c>
      <c r="O14" s="220"/>
      <c r="P14" s="220"/>
      <c r="Q14" s="220"/>
    </row>
    <row r="15" spans="1:17" ht="15">
      <c r="A15" s="171" t="s">
        <v>108</v>
      </c>
      <c r="B15" s="160" t="s">
        <v>405</v>
      </c>
      <c r="C15" s="256"/>
      <c r="D15" s="256"/>
      <c r="E15" s="436">
        <f>C15+D15</f>
        <v>0</v>
      </c>
      <c r="F15" s="256"/>
      <c r="G15" s="256"/>
      <c r="H15" s="436">
        <f>F15+G15</f>
        <v>0</v>
      </c>
      <c r="I15" s="257"/>
      <c r="J15" s="256"/>
      <c r="K15" s="436">
        <f t="shared" si="0"/>
        <v>0</v>
      </c>
      <c r="L15" s="1008"/>
      <c r="M15" s="1008"/>
      <c r="N15" s="1008">
        <f>SUM(L15:M15)</f>
        <v>0</v>
      </c>
      <c r="O15" s="96"/>
      <c r="P15" s="96"/>
      <c r="Q15" s="96"/>
    </row>
    <row r="16" spans="1:17" ht="15">
      <c r="A16" s="168" t="s">
        <v>109</v>
      </c>
      <c r="B16" s="164" t="s">
        <v>406</v>
      </c>
      <c r="C16" s="154"/>
      <c r="D16" s="154"/>
      <c r="E16" s="436">
        <f>C16+D16</f>
        <v>0</v>
      </c>
      <c r="F16" s="154"/>
      <c r="G16" s="154"/>
      <c r="H16" s="436">
        <f>F16+G16</f>
        <v>0</v>
      </c>
      <c r="I16" s="158"/>
      <c r="J16" s="154"/>
      <c r="K16" s="436">
        <f t="shared" si="0"/>
        <v>0</v>
      </c>
      <c r="L16" s="1008"/>
      <c r="M16" s="1008"/>
      <c r="N16" s="1008">
        <f>SUM(L16:M16)</f>
        <v>0</v>
      </c>
      <c r="O16" s="96"/>
      <c r="P16" s="96"/>
      <c r="Q16" s="96"/>
    </row>
    <row r="17" spans="1:17" ht="15">
      <c r="A17" s="168" t="s">
        <v>110</v>
      </c>
      <c r="B17" s="164" t="s">
        <v>407</v>
      </c>
      <c r="C17" s="154"/>
      <c r="D17" s="154"/>
      <c r="E17" s="436">
        <f aca="true" t="shared" si="1" ref="E17:E22">C17+D17</f>
        <v>0</v>
      </c>
      <c r="F17" s="154"/>
      <c r="G17" s="154"/>
      <c r="H17" s="436">
        <f aca="true" t="shared" si="2" ref="H17:H22">F17+G17</f>
        <v>0</v>
      </c>
      <c r="I17" s="158"/>
      <c r="J17" s="154"/>
      <c r="K17" s="436">
        <f aca="true" t="shared" si="3" ref="K17:K22">SUM(I17:J17)</f>
        <v>0</v>
      </c>
      <c r="L17" s="1008"/>
      <c r="M17" s="1008"/>
      <c r="N17" s="1008">
        <f aca="true" t="shared" si="4" ref="N17:N22">SUM(L17:M17)</f>
        <v>0</v>
      </c>
      <c r="O17" s="96"/>
      <c r="P17" s="96"/>
      <c r="Q17" s="96"/>
    </row>
    <row r="18" spans="1:17" ht="15">
      <c r="A18" s="168" t="s">
        <v>111</v>
      </c>
      <c r="B18" s="164" t="s">
        <v>408</v>
      </c>
      <c r="C18" s="158"/>
      <c r="D18" s="154"/>
      <c r="E18" s="436">
        <f t="shared" si="1"/>
        <v>0</v>
      </c>
      <c r="F18" s="154"/>
      <c r="G18" s="154"/>
      <c r="H18" s="436">
        <f t="shared" si="2"/>
        <v>0</v>
      </c>
      <c r="I18" s="158"/>
      <c r="J18" s="154"/>
      <c r="K18" s="436">
        <f t="shared" si="3"/>
        <v>0</v>
      </c>
      <c r="L18" s="1008"/>
      <c r="M18" s="1008"/>
      <c r="N18" s="1008">
        <f t="shared" si="4"/>
        <v>0</v>
      </c>
      <c r="O18" s="96"/>
      <c r="P18" s="96"/>
      <c r="Q18" s="96"/>
    </row>
    <row r="19" spans="1:17" ht="15">
      <c r="A19" s="163" t="s">
        <v>202</v>
      </c>
      <c r="B19" s="164" t="s">
        <v>409</v>
      </c>
      <c r="C19" s="954"/>
      <c r="D19" s="154"/>
      <c r="E19" s="258">
        <f>C19+D19</f>
        <v>0</v>
      </c>
      <c r="F19" s="154"/>
      <c r="G19" s="154"/>
      <c r="H19" s="436">
        <f>F19+G19</f>
        <v>0</v>
      </c>
      <c r="I19" s="158"/>
      <c r="J19" s="154"/>
      <c r="K19" s="436">
        <f>SUM(I19:J19)</f>
        <v>0</v>
      </c>
      <c r="L19" s="1008"/>
      <c r="M19" s="1008"/>
      <c r="N19" s="1008">
        <f>SUM(L19:M19)</f>
        <v>0</v>
      </c>
      <c r="O19" s="96"/>
      <c r="P19" s="96"/>
      <c r="Q19" s="96"/>
    </row>
    <row r="20" spans="1:17" ht="15">
      <c r="A20" s="163" t="s">
        <v>359</v>
      </c>
      <c r="B20" s="164" t="s">
        <v>410</v>
      </c>
      <c r="C20" s="954"/>
      <c r="D20" s="154"/>
      <c r="E20" s="258">
        <f t="shared" si="1"/>
        <v>0</v>
      </c>
      <c r="F20" s="350"/>
      <c r="G20" s="154"/>
      <c r="H20" s="258">
        <f t="shared" si="2"/>
        <v>0</v>
      </c>
      <c r="I20" s="158"/>
      <c r="J20" s="154"/>
      <c r="K20" s="436">
        <f t="shared" si="3"/>
        <v>0</v>
      </c>
      <c r="L20" s="1008"/>
      <c r="M20" s="1008"/>
      <c r="N20" s="1008">
        <f t="shared" si="4"/>
        <v>0</v>
      </c>
      <c r="O20" s="96"/>
      <c r="P20" s="96"/>
      <c r="Q20" s="96"/>
    </row>
    <row r="21" spans="1:17" ht="15">
      <c r="A21" s="163" t="s">
        <v>361</v>
      </c>
      <c r="B21" s="164" t="s">
        <v>411</v>
      </c>
      <c r="C21" s="934">
        <v>159480</v>
      </c>
      <c r="D21" s="256">
        <v>19000</v>
      </c>
      <c r="E21" s="258">
        <f t="shared" si="1"/>
        <v>178480</v>
      </c>
      <c r="F21" s="349">
        <v>296900</v>
      </c>
      <c r="G21" s="256"/>
      <c r="H21" s="258">
        <f t="shared" si="2"/>
        <v>296900</v>
      </c>
      <c r="I21" s="1180"/>
      <c r="J21" s="154"/>
      <c r="K21" s="258">
        <f t="shared" si="3"/>
        <v>0</v>
      </c>
      <c r="L21" s="1008"/>
      <c r="M21" s="1008"/>
      <c r="N21" s="1008">
        <f t="shared" si="4"/>
        <v>0</v>
      </c>
      <c r="O21" s="96"/>
      <c r="P21" s="96"/>
      <c r="Q21" s="96"/>
    </row>
    <row r="22" spans="1:17" ht="15" customHeight="1" thickBot="1">
      <c r="A22" s="16" t="s">
        <v>74</v>
      </c>
      <c r="B22" s="378" t="s">
        <v>412</v>
      </c>
      <c r="C22" s="933"/>
      <c r="D22" s="166"/>
      <c r="E22" s="258">
        <f t="shared" si="1"/>
        <v>0</v>
      </c>
      <c r="F22" s="351"/>
      <c r="G22" s="166"/>
      <c r="H22" s="258">
        <f t="shared" si="2"/>
        <v>0</v>
      </c>
      <c r="I22" s="955"/>
      <c r="J22" s="166"/>
      <c r="K22" s="258">
        <f t="shared" si="3"/>
        <v>0</v>
      </c>
      <c r="L22" s="1008"/>
      <c r="M22" s="1008"/>
      <c r="N22" s="1008">
        <f t="shared" si="4"/>
        <v>0</v>
      </c>
      <c r="O22" s="96"/>
      <c r="P22" s="96"/>
      <c r="Q22" s="96"/>
    </row>
    <row r="23" spans="1:17" s="15" customFormat="1" ht="16.5" thickBot="1">
      <c r="A23" s="361">
        <v>5</v>
      </c>
      <c r="B23" s="348" t="s">
        <v>179</v>
      </c>
      <c r="C23" s="392">
        <f aca="true" t="shared" si="5" ref="C23:N23">SUM(C15:C22)</f>
        <v>159480</v>
      </c>
      <c r="D23" s="358">
        <f t="shared" si="5"/>
        <v>19000</v>
      </c>
      <c r="E23" s="364">
        <f t="shared" si="5"/>
        <v>178480</v>
      </c>
      <c r="F23" s="374">
        <f t="shared" si="5"/>
        <v>296900</v>
      </c>
      <c r="G23" s="358">
        <f t="shared" si="5"/>
        <v>0</v>
      </c>
      <c r="H23" s="374">
        <f t="shared" si="5"/>
        <v>296900</v>
      </c>
      <c r="I23" s="392">
        <f t="shared" si="5"/>
        <v>0</v>
      </c>
      <c r="J23" s="358">
        <f t="shared" si="5"/>
        <v>0</v>
      </c>
      <c r="K23" s="364">
        <f t="shared" si="5"/>
        <v>0</v>
      </c>
      <c r="L23" s="1007">
        <f t="shared" si="5"/>
        <v>0</v>
      </c>
      <c r="M23" s="1007">
        <f t="shared" si="5"/>
        <v>0</v>
      </c>
      <c r="N23" s="1007">
        <f t="shared" si="5"/>
        <v>0</v>
      </c>
      <c r="O23" s="220"/>
      <c r="P23" s="220"/>
      <c r="Q23" s="220"/>
    </row>
    <row r="24" spans="1:17" ht="16.5" thickBot="1">
      <c r="A24" s="357">
        <v>6</v>
      </c>
      <c r="B24" s="348" t="s">
        <v>182</v>
      </c>
      <c r="C24" s="362"/>
      <c r="D24" s="358"/>
      <c r="E24" s="364">
        <f aca="true" t="shared" si="6" ref="E24:E30">SUM(C24:D24)</f>
        <v>0</v>
      </c>
      <c r="F24" s="362"/>
      <c r="G24" s="358"/>
      <c r="H24" s="364">
        <f aca="true" t="shared" si="7" ref="H24:H30">SUM(F24:G24)</f>
        <v>0</v>
      </c>
      <c r="I24" s="392"/>
      <c r="J24" s="358"/>
      <c r="K24" s="364">
        <f aca="true" t="shared" si="8" ref="K24:K30">SUM(I24:J24)</f>
        <v>0</v>
      </c>
      <c r="L24" s="1007"/>
      <c r="M24" s="1007"/>
      <c r="N24" s="1007">
        <f aca="true" t="shared" si="9" ref="N24:N30">SUM(L24:M24)</f>
        <v>0</v>
      </c>
      <c r="O24" s="96"/>
      <c r="P24" s="96"/>
      <c r="Q24" s="96"/>
    </row>
    <row r="25" spans="1:17" s="15" customFormat="1" ht="16.5" thickBot="1">
      <c r="A25" s="357">
        <v>7</v>
      </c>
      <c r="B25" s="348" t="s">
        <v>464</v>
      </c>
      <c r="C25" s="362"/>
      <c r="D25" s="358"/>
      <c r="E25" s="364">
        <f t="shared" si="6"/>
        <v>0</v>
      </c>
      <c r="F25" s="362"/>
      <c r="G25" s="358"/>
      <c r="H25" s="364">
        <f t="shared" si="7"/>
        <v>0</v>
      </c>
      <c r="I25" s="392"/>
      <c r="J25" s="358"/>
      <c r="K25" s="364">
        <f t="shared" si="8"/>
        <v>0</v>
      </c>
      <c r="L25" s="1007"/>
      <c r="M25" s="1007"/>
      <c r="N25" s="1007">
        <f t="shared" si="9"/>
        <v>0</v>
      </c>
      <c r="O25" s="220"/>
      <c r="P25" s="220"/>
      <c r="Q25" s="220"/>
    </row>
    <row r="26" spans="1:17" ht="15">
      <c r="A26" s="171" t="s">
        <v>108</v>
      </c>
      <c r="B26" s="164" t="s">
        <v>413</v>
      </c>
      <c r="C26" s="349"/>
      <c r="D26" s="256"/>
      <c r="E26" s="258">
        <f t="shared" si="6"/>
        <v>0</v>
      </c>
      <c r="F26" s="349"/>
      <c r="G26" s="256"/>
      <c r="H26" s="258">
        <f t="shared" si="7"/>
        <v>0</v>
      </c>
      <c r="I26" s="1180"/>
      <c r="J26" s="256"/>
      <c r="K26" s="258">
        <f t="shared" si="8"/>
        <v>0</v>
      </c>
      <c r="L26" s="1008"/>
      <c r="M26" s="1008"/>
      <c r="N26" s="1008">
        <f t="shared" si="9"/>
        <v>0</v>
      </c>
      <c r="O26" s="96"/>
      <c r="P26" s="96"/>
      <c r="Q26" s="96"/>
    </row>
    <row r="27" spans="1:17" ht="15">
      <c r="A27" s="171" t="s">
        <v>109</v>
      </c>
      <c r="B27" s="164" t="s">
        <v>414</v>
      </c>
      <c r="C27" s="349"/>
      <c r="D27" s="256"/>
      <c r="E27" s="258">
        <f t="shared" si="6"/>
        <v>0</v>
      </c>
      <c r="F27" s="349"/>
      <c r="G27" s="256"/>
      <c r="H27" s="258">
        <f t="shared" si="7"/>
        <v>0</v>
      </c>
      <c r="I27" s="1180"/>
      <c r="J27" s="256"/>
      <c r="K27" s="258">
        <f t="shared" si="8"/>
        <v>0</v>
      </c>
      <c r="L27" s="1008"/>
      <c r="M27" s="1008"/>
      <c r="N27" s="1008">
        <f t="shared" si="9"/>
        <v>0</v>
      </c>
      <c r="O27" s="96"/>
      <c r="P27" s="96"/>
      <c r="Q27" s="96"/>
    </row>
    <row r="28" spans="1:17" ht="15">
      <c r="A28" s="171" t="s">
        <v>110</v>
      </c>
      <c r="B28" s="164" t="s">
        <v>415</v>
      </c>
      <c r="C28" s="349"/>
      <c r="D28" s="256"/>
      <c r="E28" s="258">
        <f t="shared" si="6"/>
        <v>0</v>
      </c>
      <c r="F28" s="349"/>
      <c r="G28" s="256"/>
      <c r="H28" s="258">
        <f t="shared" si="7"/>
        <v>0</v>
      </c>
      <c r="I28" s="1180"/>
      <c r="J28" s="256"/>
      <c r="K28" s="258">
        <f t="shared" si="8"/>
        <v>0</v>
      </c>
      <c r="L28" s="1008"/>
      <c r="M28" s="1008"/>
      <c r="N28" s="1008">
        <f t="shared" si="9"/>
        <v>0</v>
      </c>
      <c r="O28" s="96"/>
      <c r="P28" s="96"/>
      <c r="Q28" s="96"/>
    </row>
    <row r="29" spans="1:17" ht="15">
      <c r="A29" s="171" t="s">
        <v>111</v>
      </c>
      <c r="B29" s="164" t="s">
        <v>416</v>
      </c>
      <c r="C29" s="349"/>
      <c r="D29" s="256"/>
      <c r="E29" s="258">
        <f t="shared" si="6"/>
        <v>0</v>
      </c>
      <c r="F29" s="349"/>
      <c r="G29" s="256"/>
      <c r="H29" s="258">
        <f t="shared" si="7"/>
        <v>0</v>
      </c>
      <c r="I29" s="1180"/>
      <c r="J29" s="256"/>
      <c r="K29" s="258">
        <f t="shared" si="8"/>
        <v>0</v>
      </c>
      <c r="L29" s="1008"/>
      <c r="M29" s="1008"/>
      <c r="N29" s="1008">
        <f t="shared" si="9"/>
        <v>0</v>
      </c>
      <c r="O29" s="96"/>
      <c r="P29" s="96"/>
      <c r="Q29" s="96"/>
    </row>
    <row r="30" spans="1:17" ht="15.75" thickBot="1">
      <c r="A30" s="379" t="s">
        <v>202</v>
      </c>
      <c r="B30" s="164" t="s">
        <v>417</v>
      </c>
      <c r="C30" s="373">
        <v>33100</v>
      </c>
      <c r="D30" s="365">
        <v>-19000</v>
      </c>
      <c r="E30" s="368">
        <f t="shared" si="6"/>
        <v>14100</v>
      </c>
      <c r="F30" s="373"/>
      <c r="G30" s="365"/>
      <c r="H30" s="368">
        <f t="shared" si="7"/>
        <v>0</v>
      </c>
      <c r="I30" s="1181"/>
      <c r="J30" s="365"/>
      <c r="K30" s="368">
        <f t="shared" si="8"/>
        <v>0</v>
      </c>
      <c r="L30" s="1008"/>
      <c r="M30" s="1008"/>
      <c r="N30" s="1008">
        <f t="shared" si="9"/>
        <v>0</v>
      </c>
      <c r="O30" s="96"/>
      <c r="P30" s="96"/>
      <c r="Q30" s="96"/>
    </row>
    <row r="31" spans="1:17" s="15" customFormat="1" ht="16.5" thickBot="1">
      <c r="A31" s="357">
        <v>8</v>
      </c>
      <c r="B31" s="348" t="s">
        <v>181</v>
      </c>
      <c r="C31" s="362">
        <f aca="true" t="shared" si="10" ref="C31:N31">SUM(C26:C30)</f>
        <v>33100</v>
      </c>
      <c r="D31" s="358">
        <f t="shared" si="10"/>
        <v>-19000</v>
      </c>
      <c r="E31" s="374">
        <f t="shared" si="10"/>
        <v>14100</v>
      </c>
      <c r="F31" s="392">
        <f t="shared" si="10"/>
        <v>0</v>
      </c>
      <c r="G31" s="358">
        <f t="shared" si="10"/>
        <v>0</v>
      </c>
      <c r="H31" s="364">
        <f t="shared" si="10"/>
        <v>0</v>
      </c>
      <c r="I31" s="392">
        <f t="shared" si="10"/>
        <v>0</v>
      </c>
      <c r="J31" s="358">
        <f t="shared" si="10"/>
        <v>0</v>
      </c>
      <c r="K31" s="364">
        <f t="shared" si="10"/>
        <v>0</v>
      </c>
      <c r="L31" s="1007">
        <f t="shared" si="10"/>
        <v>0</v>
      </c>
      <c r="M31" s="1007">
        <f t="shared" si="10"/>
        <v>0</v>
      </c>
      <c r="N31" s="1007">
        <f t="shared" si="10"/>
        <v>0</v>
      </c>
      <c r="O31" s="220"/>
      <c r="P31" s="220"/>
      <c r="Q31" s="220"/>
    </row>
    <row r="32" spans="1:17" ht="16.5" thickBot="1">
      <c r="A32" s="357">
        <v>9</v>
      </c>
      <c r="B32" s="348" t="s">
        <v>187</v>
      </c>
      <c r="C32" s="362"/>
      <c r="D32" s="358"/>
      <c r="E32" s="364">
        <f>SUM(C32:D32)</f>
        <v>0</v>
      </c>
      <c r="F32" s="362"/>
      <c r="G32" s="358"/>
      <c r="H32" s="364">
        <f>SUM(F32:G32)</f>
        <v>0</v>
      </c>
      <c r="I32" s="392"/>
      <c r="J32" s="358"/>
      <c r="K32" s="364">
        <f>SUM(I32:J32)</f>
        <v>0</v>
      </c>
      <c r="L32" s="1007"/>
      <c r="M32" s="1007"/>
      <c r="N32" s="1007">
        <f>SUM(L32:M32)</f>
        <v>0</v>
      </c>
      <c r="O32" s="96"/>
      <c r="P32" s="96"/>
      <c r="Q32" s="96"/>
    </row>
    <row r="33" spans="1:17" s="35" customFormat="1" ht="16.5" thickBot="1">
      <c r="A33" s="412">
        <v>10</v>
      </c>
      <c r="B33" s="413"/>
      <c r="C33" s="173"/>
      <c r="D33" s="414"/>
      <c r="E33" s="1212">
        <f>SUM(C33:D33)</f>
        <v>0</v>
      </c>
      <c r="F33" s="173"/>
      <c r="G33" s="414"/>
      <c r="H33" s="1212">
        <f>SUM(F33:G33)</f>
        <v>0</v>
      </c>
      <c r="I33" s="173"/>
      <c r="J33" s="414"/>
      <c r="K33" s="1212">
        <f>SUM(I33:J33)</f>
        <v>0</v>
      </c>
      <c r="L33" s="1009"/>
      <c r="M33" s="1009"/>
      <c r="N33" s="1009">
        <f>SUM(L33:M33)</f>
        <v>0</v>
      </c>
      <c r="O33" s="167"/>
      <c r="P33" s="167"/>
      <c r="Q33" s="167"/>
    </row>
    <row r="34" spans="1:17" s="38" customFormat="1" ht="16.5" customHeight="1" thickBot="1" thickTop="1">
      <c r="A34" s="387" t="s">
        <v>118</v>
      </c>
      <c r="B34" s="411" t="s">
        <v>188</v>
      </c>
      <c r="C34" s="410">
        <f aca="true" t="shared" si="11" ref="C34:K34">C11+C12+C13+C23+C14+C31+C25+C24+C32+C33</f>
        <v>198580</v>
      </c>
      <c r="D34" s="388">
        <f t="shared" si="11"/>
        <v>0</v>
      </c>
      <c r="E34" s="408">
        <f t="shared" si="11"/>
        <v>198580</v>
      </c>
      <c r="F34" s="410">
        <f t="shared" si="11"/>
        <v>296900</v>
      </c>
      <c r="G34" s="388">
        <f t="shared" si="11"/>
        <v>0</v>
      </c>
      <c r="H34" s="408">
        <f t="shared" si="11"/>
        <v>296900</v>
      </c>
      <c r="I34" s="410">
        <f t="shared" si="11"/>
        <v>45000</v>
      </c>
      <c r="J34" s="388">
        <f t="shared" si="11"/>
        <v>0</v>
      </c>
      <c r="K34" s="421">
        <f t="shared" si="11"/>
        <v>45000</v>
      </c>
      <c r="L34" s="1009"/>
      <c r="M34" s="1009"/>
      <c r="N34" s="1009"/>
      <c r="O34" s="175"/>
      <c r="P34" s="175"/>
      <c r="Q34" s="175"/>
    </row>
    <row r="35" spans="1:18" ht="17.25" thickBot="1" thickTop="1">
      <c r="A35" s="159"/>
      <c r="B35" s="391" t="s">
        <v>142</v>
      </c>
      <c r="C35" s="983"/>
      <c r="D35" s="345"/>
      <c r="E35" s="1213"/>
      <c r="F35" s="983"/>
      <c r="G35" s="345"/>
      <c r="H35" s="1213"/>
      <c r="I35" s="1182"/>
      <c r="J35" s="345"/>
      <c r="K35" s="1213"/>
      <c r="L35" s="1314"/>
      <c r="M35" s="1314"/>
      <c r="N35" s="1314"/>
      <c r="O35" s="268"/>
      <c r="P35" s="268"/>
      <c r="Q35" s="268"/>
      <c r="R35" s="32"/>
    </row>
    <row r="36" spans="1:17" s="808" customFormat="1" ht="15">
      <c r="A36" s="815" t="s">
        <v>108</v>
      </c>
      <c r="B36" s="816" t="s">
        <v>418</v>
      </c>
      <c r="C36" s="1190"/>
      <c r="D36" s="817"/>
      <c r="E36" s="822">
        <f aca="true" t="shared" si="12" ref="E36:E44">SUM(C36:D36)</f>
        <v>0</v>
      </c>
      <c r="F36" s="821">
        <v>211900</v>
      </c>
      <c r="G36" s="817"/>
      <c r="H36" s="822">
        <f aca="true" t="shared" si="13" ref="H36:H44">SUM(F36:G36)</f>
        <v>211900</v>
      </c>
      <c r="I36" s="1190"/>
      <c r="J36" s="817"/>
      <c r="K36" s="822">
        <f aca="true" t="shared" si="14" ref="K36:K44">SUM(I36:J36)</f>
        <v>0</v>
      </c>
      <c r="L36" s="1008"/>
      <c r="M36" s="1008"/>
      <c r="N36" s="1008">
        <f aca="true" t="shared" si="15" ref="N36:N44">SUM(L36:M36)</f>
        <v>0</v>
      </c>
      <c r="O36" s="806"/>
      <c r="P36" s="806"/>
      <c r="Q36" s="806"/>
    </row>
    <row r="37" spans="1:17" s="808" customFormat="1" ht="15">
      <c r="A37" s="168" t="s">
        <v>109</v>
      </c>
      <c r="B37" s="164" t="s">
        <v>259</v>
      </c>
      <c r="C37" s="954"/>
      <c r="D37" s="154"/>
      <c r="E37" s="177">
        <f t="shared" si="12"/>
        <v>0</v>
      </c>
      <c r="F37" s="932"/>
      <c r="G37" s="154"/>
      <c r="H37" s="177">
        <f t="shared" si="13"/>
        <v>0</v>
      </c>
      <c r="I37" s="954"/>
      <c r="J37" s="154"/>
      <c r="K37" s="177">
        <f t="shared" si="14"/>
        <v>0</v>
      </c>
      <c r="L37" s="1008"/>
      <c r="M37" s="1008"/>
      <c r="N37" s="1008">
        <f t="shared" si="15"/>
        <v>0</v>
      </c>
      <c r="O37" s="806"/>
      <c r="P37" s="806"/>
      <c r="Q37" s="806"/>
    </row>
    <row r="38" spans="1:17" s="808" customFormat="1" ht="15">
      <c r="A38" s="379" t="s">
        <v>110</v>
      </c>
      <c r="B38" s="157" t="s">
        <v>419</v>
      </c>
      <c r="C38" s="1181"/>
      <c r="D38" s="365"/>
      <c r="E38" s="368">
        <f t="shared" si="12"/>
        <v>0</v>
      </c>
      <c r="F38" s="172"/>
      <c r="G38" s="365"/>
      <c r="H38" s="368">
        <f t="shared" si="13"/>
        <v>0</v>
      </c>
      <c r="I38" s="1181"/>
      <c r="J38" s="365"/>
      <c r="K38" s="368">
        <f t="shared" si="14"/>
        <v>0</v>
      </c>
      <c r="L38" s="1008"/>
      <c r="M38" s="1008"/>
      <c r="N38" s="1008">
        <f t="shared" si="15"/>
        <v>0</v>
      </c>
      <c r="O38" s="806"/>
      <c r="P38" s="806"/>
      <c r="Q38" s="806"/>
    </row>
    <row r="39" spans="1:17" s="808" customFormat="1" ht="15.75" thickBot="1">
      <c r="A39" s="169" t="s">
        <v>111</v>
      </c>
      <c r="B39" s="170" t="s">
        <v>423</v>
      </c>
      <c r="C39" s="955"/>
      <c r="D39" s="166"/>
      <c r="E39" s="272">
        <f t="shared" si="12"/>
        <v>0</v>
      </c>
      <c r="F39" s="933"/>
      <c r="G39" s="166"/>
      <c r="H39" s="272">
        <f t="shared" si="13"/>
        <v>0</v>
      </c>
      <c r="I39" s="955"/>
      <c r="J39" s="166"/>
      <c r="K39" s="272">
        <f t="shared" si="14"/>
        <v>0</v>
      </c>
      <c r="L39" s="1008"/>
      <c r="M39" s="1008"/>
      <c r="N39" s="1008">
        <f t="shared" si="15"/>
        <v>0</v>
      </c>
      <c r="O39" s="806"/>
      <c r="P39" s="806"/>
      <c r="Q39" s="806"/>
    </row>
    <row r="40" spans="1:17" s="15" customFormat="1" ht="16.5" thickBot="1">
      <c r="A40" s="357">
        <v>1</v>
      </c>
      <c r="B40" s="348" t="s">
        <v>185</v>
      </c>
      <c r="C40" s="392">
        <f aca="true" t="shared" si="16" ref="C40:N40">SUM(C36:C39)</f>
        <v>0</v>
      </c>
      <c r="D40" s="358">
        <f t="shared" si="16"/>
        <v>0</v>
      </c>
      <c r="E40" s="364">
        <f t="shared" si="16"/>
        <v>0</v>
      </c>
      <c r="F40" s="392">
        <f t="shared" si="16"/>
        <v>211900</v>
      </c>
      <c r="G40" s="358">
        <f t="shared" si="16"/>
        <v>0</v>
      </c>
      <c r="H40" s="364">
        <f t="shared" si="16"/>
        <v>211900</v>
      </c>
      <c r="I40" s="392">
        <f t="shared" si="16"/>
        <v>0</v>
      </c>
      <c r="J40" s="358">
        <f t="shared" si="16"/>
        <v>0</v>
      </c>
      <c r="K40" s="364">
        <f t="shared" si="16"/>
        <v>0</v>
      </c>
      <c r="L40" s="1007">
        <f t="shared" si="16"/>
        <v>0</v>
      </c>
      <c r="M40" s="1007">
        <f t="shared" si="16"/>
        <v>0</v>
      </c>
      <c r="N40" s="1007">
        <f t="shared" si="16"/>
        <v>0</v>
      </c>
      <c r="O40" s="220"/>
      <c r="P40" s="220"/>
      <c r="Q40" s="220"/>
    </row>
    <row r="41" spans="1:17" ht="15">
      <c r="A41" s="171" t="s">
        <v>108</v>
      </c>
      <c r="B41" s="160" t="s">
        <v>445</v>
      </c>
      <c r="C41" s="1180"/>
      <c r="D41" s="256"/>
      <c r="E41" s="258">
        <f t="shared" si="12"/>
        <v>0</v>
      </c>
      <c r="F41" s="934"/>
      <c r="G41" s="256"/>
      <c r="H41" s="258">
        <f t="shared" si="13"/>
        <v>0</v>
      </c>
      <c r="I41" s="1180"/>
      <c r="J41" s="256"/>
      <c r="K41" s="258">
        <f t="shared" si="14"/>
        <v>0</v>
      </c>
      <c r="L41" s="1008"/>
      <c r="M41" s="1008"/>
      <c r="N41" s="1008">
        <f t="shared" si="15"/>
        <v>0</v>
      </c>
      <c r="O41" s="96"/>
      <c r="P41" s="96"/>
      <c r="Q41" s="96"/>
    </row>
    <row r="42" spans="1:17" ht="15">
      <c r="A42" s="168" t="s">
        <v>109</v>
      </c>
      <c r="B42" s="164" t="s">
        <v>420</v>
      </c>
      <c r="C42" s="954"/>
      <c r="D42" s="154"/>
      <c r="E42" s="177">
        <f t="shared" si="12"/>
        <v>0</v>
      </c>
      <c r="F42" s="932"/>
      <c r="G42" s="154"/>
      <c r="H42" s="177">
        <f t="shared" si="13"/>
        <v>0</v>
      </c>
      <c r="I42" s="954"/>
      <c r="J42" s="154"/>
      <c r="K42" s="177">
        <f t="shared" si="14"/>
        <v>0</v>
      </c>
      <c r="L42" s="1008"/>
      <c r="M42" s="1008"/>
      <c r="N42" s="1008">
        <f t="shared" si="15"/>
        <v>0</v>
      </c>
      <c r="O42" s="96"/>
      <c r="P42" s="96"/>
      <c r="Q42" s="96"/>
    </row>
    <row r="43" spans="1:17" ht="15">
      <c r="A43" s="168" t="s">
        <v>110</v>
      </c>
      <c r="B43" s="164" t="s">
        <v>421</v>
      </c>
      <c r="C43" s="954"/>
      <c r="D43" s="154"/>
      <c r="E43" s="177">
        <f t="shared" si="12"/>
        <v>0</v>
      </c>
      <c r="F43" s="932"/>
      <c r="G43" s="154"/>
      <c r="H43" s="177">
        <f t="shared" si="13"/>
        <v>0</v>
      </c>
      <c r="I43" s="954"/>
      <c r="J43" s="154"/>
      <c r="K43" s="177">
        <f t="shared" si="14"/>
        <v>0</v>
      </c>
      <c r="L43" s="1008"/>
      <c r="M43" s="1008"/>
      <c r="N43" s="1008">
        <f t="shared" si="15"/>
        <v>0</v>
      </c>
      <c r="O43" s="96"/>
      <c r="P43" s="96"/>
      <c r="Q43" s="96"/>
    </row>
    <row r="44" spans="1:17" ht="15.75" thickBot="1">
      <c r="A44" s="169" t="s">
        <v>111</v>
      </c>
      <c r="B44" s="170" t="s">
        <v>183</v>
      </c>
      <c r="C44" s="955"/>
      <c r="D44" s="166"/>
      <c r="E44" s="272">
        <f t="shared" si="12"/>
        <v>0</v>
      </c>
      <c r="F44" s="933"/>
      <c r="G44" s="166"/>
      <c r="H44" s="272">
        <f t="shared" si="13"/>
        <v>0</v>
      </c>
      <c r="I44" s="955"/>
      <c r="J44" s="166"/>
      <c r="K44" s="272">
        <f t="shared" si="14"/>
        <v>0</v>
      </c>
      <c r="L44" s="1008"/>
      <c r="M44" s="1008"/>
      <c r="N44" s="1008">
        <f t="shared" si="15"/>
        <v>0</v>
      </c>
      <c r="O44" s="96"/>
      <c r="P44" s="96"/>
      <c r="Q44" s="96"/>
    </row>
    <row r="45" spans="1:17" s="1010" customFormat="1" ht="16.5" thickBot="1">
      <c r="A45" s="357">
        <v>2</v>
      </c>
      <c r="B45" s="348" t="s">
        <v>184</v>
      </c>
      <c r="C45" s="392">
        <f>SUM(C41:C44)</f>
        <v>0</v>
      </c>
      <c r="D45" s="358">
        <f aca="true" t="shared" si="17" ref="D45:N45">SUM(D41:D44)</f>
        <v>0</v>
      </c>
      <c r="E45" s="374">
        <f t="shared" si="17"/>
        <v>0</v>
      </c>
      <c r="F45" s="392">
        <f t="shared" si="17"/>
        <v>0</v>
      </c>
      <c r="G45" s="358">
        <f t="shared" si="17"/>
        <v>0</v>
      </c>
      <c r="H45" s="374">
        <f t="shared" si="17"/>
        <v>0</v>
      </c>
      <c r="I45" s="392">
        <f t="shared" si="17"/>
        <v>0</v>
      </c>
      <c r="J45" s="358">
        <f t="shared" si="17"/>
        <v>0</v>
      </c>
      <c r="K45" s="364">
        <f t="shared" si="17"/>
        <v>0</v>
      </c>
      <c r="L45" s="1007">
        <f t="shared" si="17"/>
        <v>0</v>
      </c>
      <c r="M45" s="1007">
        <f t="shared" si="17"/>
        <v>0</v>
      </c>
      <c r="N45" s="1007">
        <f t="shared" si="17"/>
        <v>0</v>
      </c>
      <c r="O45" s="322"/>
      <c r="P45" s="322"/>
      <c r="Q45" s="322"/>
    </row>
    <row r="46" spans="1:17" s="1010" customFormat="1" ht="16.5" thickBot="1">
      <c r="A46" s="357">
        <v>3</v>
      </c>
      <c r="B46" s="348" t="s">
        <v>278</v>
      </c>
      <c r="C46" s="392"/>
      <c r="D46" s="358"/>
      <c r="E46" s="360">
        <f>SUM(C46:D46)</f>
        <v>0</v>
      </c>
      <c r="F46" s="392"/>
      <c r="G46" s="358"/>
      <c r="H46" s="360">
        <f>SUM(F46:G46)</f>
        <v>0</v>
      </c>
      <c r="I46" s="392"/>
      <c r="J46" s="358"/>
      <c r="K46" s="364">
        <f>SUM(I46:J46)</f>
        <v>0</v>
      </c>
      <c r="L46" s="1007"/>
      <c r="M46" s="1007"/>
      <c r="N46" s="1007">
        <f>SUM(L46:M46)</f>
        <v>0</v>
      </c>
      <c r="O46" s="322"/>
      <c r="P46" s="322"/>
      <c r="Q46" s="322"/>
    </row>
    <row r="47" spans="1:17" s="1011" customFormat="1" ht="16.5" thickBot="1">
      <c r="A47" s="357">
        <v>4</v>
      </c>
      <c r="B47" s="348" t="s">
        <v>299</v>
      </c>
      <c r="C47" s="392"/>
      <c r="D47" s="358"/>
      <c r="E47" s="360">
        <f>SUM(C47:D47)</f>
        <v>0</v>
      </c>
      <c r="F47" s="392"/>
      <c r="G47" s="358"/>
      <c r="H47" s="360">
        <f>SUM(F47:G47)</f>
        <v>0</v>
      </c>
      <c r="I47" s="392"/>
      <c r="J47" s="358"/>
      <c r="K47" s="364">
        <f>SUM(I47:J47)</f>
        <v>0</v>
      </c>
      <c r="L47" s="1007"/>
      <c r="M47" s="1007"/>
      <c r="N47" s="1007">
        <f>SUM(L47:M47)</f>
        <v>0</v>
      </c>
      <c r="O47" s="585"/>
      <c r="P47" s="585"/>
      <c r="Q47" s="585"/>
    </row>
    <row r="48" spans="1:17" s="808" customFormat="1" ht="15">
      <c r="A48" s="171" t="s">
        <v>108</v>
      </c>
      <c r="B48" s="157" t="s">
        <v>305</v>
      </c>
      <c r="C48" s="1180"/>
      <c r="D48" s="256"/>
      <c r="E48" s="258">
        <f>SUM(C48:D48)</f>
        <v>0</v>
      </c>
      <c r="F48" s="934"/>
      <c r="G48" s="256"/>
      <c r="H48" s="258">
        <f>SUM(F48:G48)</f>
        <v>0</v>
      </c>
      <c r="I48" s="1180"/>
      <c r="J48" s="256"/>
      <c r="K48" s="258">
        <f>SUM(I48:J48)</f>
        <v>0</v>
      </c>
      <c r="L48" s="1008"/>
      <c r="M48" s="1008"/>
      <c r="N48" s="1008">
        <f>SUM(L48:M48)</f>
        <v>0</v>
      </c>
      <c r="O48" s="806"/>
      <c r="P48" s="806"/>
      <c r="Q48" s="806"/>
    </row>
    <row r="49" spans="1:17" ht="15">
      <c r="A49" s="169" t="s">
        <v>109</v>
      </c>
      <c r="B49" s="378" t="s">
        <v>422</v>
      </c>
      <c r="C49" s="954"/>
      <c r="D49" s="154"/>
      <c r="E49" s="177">
        <f>SUM(C49:D49)</f>
        <v>0</v>
      </c>
      <c r="F49" s="932"/>
      <c r="G49" s="154"/>
      <c r="H49" s="177">
        <f>SUM(F49:G49)</f>
        <v>0</v>
      </c>
      <c r="I49" s="954"/>
      <c r="J49" s="154"/>
      <c r="K49" s="177">
        <f>SUM(I49:J49)</f>
        <v>0</v>
      </c>
      <c r="L49" s="1008"/>
      <c r="M49" s="1008"/>
      <c r="N49" s="1008">
        <f>SUM(L49:M49)</f>
        <v>0</v>
      </c>
      <c r="O49" s="96"/>
      <c r="P49" s="96"/>
      <c r="Q49" s="96"/>
    </row>
    <row r="50" spans="1:17" ht="15.75" thickBot="1">
      <c r="A50" s="169" t="s">
        <v>110</v>
      </c>
      <c r="B50" s="378" t="s">
        <v>455</v>
      </c>
      <c r="C50" s="954"/>
      <c r="D50" s="154"/>
      <c r="E50" s="177">
        <f>SUM(C50:D50)</f>
        <v>0</v>
      </c>
      <c r="F50" s="932"/>
      <c r="G50" s="154"/>
      <c r="H50" s="177">
        <f>SUM(F50:G50)</f>
        <v>0</v>
      </c>
      <c r="I50" s="954"/>
      <c r="J50" s="154"/>
      <c r="K50" s="177">
        <f>SUM(I50:J50)</f>
        <v>0</v>
      </c>
      <c r="L50" s="1008"/>
      <c r="M50" s="1008"/>
      <c r="N50" s="1008">
        <f>SUM(L50:M50)</f>
        <v>0</v>
      </c>
      <c r="O50" s="96"/>
      <c r="P50" s="96"/>
      <c r="Q50" s="96"/>
    </row>
    <row r="51" spans="1:17" s="15" customFormat="1" ht="16.5" thickBot="1">
      <c r="A51" s="357">
        <v>5</v>
      </c>
      <c r="B51" s="484" t="s">
        <v>186</v>
      </c>
      <c r="C51" s="392">
        <f>SUM(C48:C50)</f>
        <v>0</v>
      </c>
      <c r="D51" s="358">
        <f>SUM(D48:D50)</f>
        <v>0</v>
      </c>
      <c r="E51" s="360">
        <f aca="true" t="shared" si="18" ref="E51:N51">SUM(E48:E50)</f>
        <v>0</v>
      </c>
      <c r="F51" s="392">
        <f t="shared" si="18"/>
        <v>0</v>
      </c>
      <c r="G51" s="358">
        <f t="shared" si="18"/>
        <v>0</v>
      </c>
      <c r="H51" s="360">
        <f t="shared" si="18"/>
        <v>0</v>
      </c>
      <c r="I51" s="392">
        <f t="shared" si="18"/>
        <v>0</v>
      </c>
      <c r="J51" s="358">
        <f t="shared" si="18"/>
        <v>0</v>
      </c>
      <c r="K51" s="364">
        <f t="shared" si="18"/>
        <v>0</v>
      </c>
      <c r="L51" s="1007">
        <f t="shared" si="18"/>
        <v>0</v>
      </c>
      <c r="M51" s="1007">
        <f t="shared" si="18"/>
        <v>0</v>
      </c>
      <c r="N51" s="1007">
        <f t="shared" si="18"/>
        <v>0</v>
      </c>
      <c r="O51" s="220"/>
      <c r="P51" s="220"/>
      <c r="Q51" s="220"/>
    </row>
    <row r="52" spans="1:17" s="15" customFormat="1" ht="16.5" thickBot="1">
      <c r="A52" s="811">
        <v>6</v>
      </c>
      <c r="B52" s="813" t="s">
        <v>309</v>
      </c>
      <c r="C52" s="1183"/>
      <c r="D52" s="383"/>
      <c r="E52" s="376">
        <f>SUM(C52:D52)</f>
        <v>0</v>
      </c>
      <c r="F52" s="377"/>
      <c r="G52" s="383"/>
      <c r="H52" s="376">
        <f>SUM(F52:G52)</f>
        <v>0</v>
      </c>
      <c r="I52" s="1189"/>
      <c r="J52" s="383"/>
      <c r="K52" s="376">
        <f>SUM(I52:J52)</f>
        <v>0</v>
      </c>
      <c r="L52" s="1007"/>
      <c r="M52" s="1007"/>
      <c r="N52" s="1007">
        <f>SUM(L52:M52)</f>
        <v>0</v>
      </c>
      <c r="O52" s="220"/>
      <c r="P52" s="220"/>
      <c r="Q52" s="220"/>
    </row>
    <row r="53" spans="1:17" ht="15">
      <c r="A53" s="152" t="s">
        <v>108</v>
      </c>
      <c r="B53" s="486" t="s">
        <v>424</v>
      </c>
      <c r="C53" s="1184"/>
      <c r="D53" s="155"/>
      <c r="E53" s="215">
        <f>SUM(C53:D53)</f>
        <v>0</v>
      </c>
      <c r="F53" s="936"/>
      <c r="G53" s="155"/>
      <c r="H53" s="215">
        <f>SUM(F53:G53)</f>
        <v>0</v>
      </c>
      <c r="I53" s="1184"/>
      <c r="J53" s="155"/>
      <c r="K53" s="215">
        <f>SUM(I53:J53)</f>
        <v>0</v>
      </c>
      <c r="L53" s="1008"/>
      <c r="M53" s="1008"/>
      <c r="N53" s="1008">
        <f>SUM(L53:M53)</f>
        <v>0</v>
      </c>
      <c r="O53" s="96"/>
      <c r="P53" s="96"/>
      <c r="Q53" s="96"/>
    </row>
    <row r="54" spans="1:17" ht="15.75" thickBot="1">
      <c r="A54" s="379" t="s">
        <v>109</v>
      </c>
      <c r="B54" s="485" t="s">
        <v>425</v>
      </c>
      <c r="C54" s="1181"/>
      <c r="D54" s="365"/>
      <c r="E54" s="368">
        <f>SUM(C54:D54)</f>
        <v>0</v>
      </c>
      <c r="F54" s="172"/>
      <c r="G54" s="365"/>
      <c r="H54" s="368">
        <f>SUM(F54:G54)</f>
        <v>0</v>
      </c>
      <c r="I54" s="1181"/>
      <c r="J54" s="365"/>
      <c r="K54" s="368">
        <f>SUM(I54:J54)</f>
        <v>0</v>
      </c>
      <c r="L54" s="1008"/>
      <c r="M54" s="1008"/>
      <c r="N54" s="1008">
        <f>SUM(L54:M54)</f>
        <v>0</v>
      </c>
      <c r="O54" s="96"/>
      <c r="P54" s="96"/>
      <c r="Q54" s="96"/>
    </row>
    <row r="55" spans="1:17" s="15" customFormat="1" ht="17.25" customHeight="1" thickBot="1">
      <c r="A55" s="357">
        <v>7</v>
      </c>
      <c r="B55" s="484" t="s">
        <v>189</v>
      </c>
      <c r="C55" s="392">
        <f>SUM(C53:C54)</f>
        <v>0</v>
      </c>
      <c r="D55" s="358">
        <f aca="true" t="shared" si="19" ref="D55:N55">SUM(D53:D54)</f>
        <v>0</v>
      </c>
      <c r="E55" s="360">
        <f t="shared" si="19"/>
        <v>0</v>
      </c>
      <c r="F55" s="392">
        <f t="shared" si="19"/>
        <v>0</v>
      </c>
      <c r="G55" s="358">
        <f t="shared" si="19"/>
        <v>0</v>
      </c>
      <c r="H55" s="360">
        <f t="shared" si="19"/>
        <v>0</v>
      </c>
      <c r="I55" s="392">
        <f t="shared" si="19"/>
        <v>0</v>
      </c>
      <c r="J55" s="358">
        <f t="shared" si="19"/>
        <v>0</v>
      </c>
      <c r="K55" s="364">
        <f t="shared" si="19"/>
        <v>0</v>
      </c>
      <c r="L55" s="1007">
        <f t="shared" si="19"/>
        <v>0</v>
      </c>
      <c r="M55" s="1007">
        <f t="shared" si="19"/>
        <v>0</v>
      </c>
      <c r="N55" s="1007">
        <f t="shared" si="19"/>
        <v>0</v>
      </c>
      <c r="O55" s="220"/>
      <c r="P55" s="220"/>
      <c r="Q55" s="220"/>
    </row>
    <row r="56" spans="1:17" s="28" customFormat="1" ht="19.5" customHeight="1" thickBot="1">
      <c r="A56" s="762">
        <v>8</v>
      </c>
      <c r="B56" s="763" t="s">
        <v>46</v>
      </c>
      <c r="C56" s="1216">
        <f>C34-C40-C45-C46-C47-C51-C52-C55-C57-C58-C59</f>
        <v>198580</v>
      </c>
      <c r="D56" s="1217">
        <f>D34-D40-D45-D46-D47-D51-D52-D55-D57-D58-D59</f>
        <v>0</v>
      </c>
      <c r="E56" s="1214">
        <f aca="true" t="shared" si="20" ref="E56:N56">E34-E40-E45-E46-E47-E51-E52-E55-E57-E58-E59</f>
        <v>198580</v>
      </c>
      <c r="F56" s="1216">
        <f t="shared" si="20"/>
        <v>85000</v>
      </c>
      <c r="G56" s="1217">
        <f t="shared" si="20"/>
        <v>0</v>
      </c>
      <c r="H56" s="1214">
        <f t="shared" si="20"/>
        <v>85000</v>
      </c>
      <c r="I56" s="1216">
        <f t="shared" si="20"/>
        <v>45000</v>
      </c>
      <c r="J56" s="1217">
        <f t="shared" si="20"/>
        <v>0</v>
      </c>
      <c r="K56" s="1254">
        <f t="shared" si="20"/>
        <v>45000</v>
      </c>
      <c r="L56" s="1009">
        <f t="shared" si="20"/>
        <v>0</v>
      </c>
      <c r="M56" s="1009">
        <f t="shared" si="20"/>
        <v>0</v>
      </c>
      <c r="N56" s="1009">
        <f t="shared" si="20"/>
        <v>0</v>
      </c>
      <c r="O56" s="311"/>
      <c r="P56" s="311"/>
      <c r="Q56" s="311"/>
    </row>
    <row r="57" spans="1:17" s="15" customFormat="1" ht="15.75">
      <c r="A57" s="380" t="s">
        <v>427</v>
      </c>
      <c r="B57" s="381" t="s">
        <v>192</v>
      </c>
      <c r="C57" s="1186"/>
      <c r="D57" s="371"/>
      <c r="E57" s="1215">
        <f>SUM(C57:D57)</f>
        <v>0</v>
      </c>
      <c r="F57" s="937"/>
      <c r="G57" s="371"/>
      <c r="H57" s="1215">
        <f>SUM(F57:G57)</f>
        <v>0</v>
      </c>
      <c r="I57" s="1186"/>
      <c r="J57" s="371"/>
      <c r="K57" s="1215">
        <f>SUM(I57:J57)</f>
        <v>0</v>
      </c>
      <c r="L57" s="1009"/>
      <c r="M57" s="1009"/>
      <c r="N57" s="1009">
        <f>SUM(L57:M57)</f>
        <v>0</v>
      </c>
      <c r="O57" s="220"/>
      <c r="P57" s="220"/>
      <c r="Q57" s="220"/>
    </row>
    <row r="58" spans="1:17" s="15" customFormat="1" ht="15.75">
      <c r="A58" s="380" t="s">
        <v>191</v>
      </c>
      <c r="B58" s="381" t="s">
        <v>426</v>
      </c>
      <c r="C58" s="1186"/>
      <c r="D58" s="371"/>
      <c r="E58" s="1215">
        <f>SUM(C58:D58)</f>
        <v>0</v>
      </c>
      <c r="F58" s="375"/>
      <c r="G58" s="371"/>
      <c r="H58" s="449">
        <f>SUM(F58:G58)</f>
        <v>0</v>
      </c>
      <c r="I58" s="370"/>
      <c r="J58" s="371"/>
      <c r="K58" s="449">
        <f>SUM(I58:J58)</f>
        <v>0</v>
      </c>
      <c r="L58" s="1009"/>
      <c r="M58" s="1009"/>
      <c r="N58" s="1009">
        <f>SUM(L58:M58)</f>
        <v>0</v>
      </c>
      <c r="O58" s="220"/>
      <c r="P58" s="220"/>
      <c r="Q58" s="220"/>
    </row>
    <row r="59" spans="1:18" s="15" customFormat="1" ht="16.5" thickBot="1">
      <c r="A59" s="396">
        <v>10</v>
      </c>
      <c r="B59" s="397"/>
      <c r="C59" s="398"/>
      <c r="D59" s="399"/>
      <c r="E59" s="454">
        <f>SUM(C59:D59)</f>
        <v>0</v>
      </c>
      <c r="F59" s="401"/>
      <c r="G59" s="399"/>
      <c r="H59" s="454">
        <f>SUM(F59:G59)</f>
        <v>0</v>
      </c>
      <c r="I59" s="398"/>
      <c r="J59" s="399"/>
      <c r="K59" s="454">
        <f>SUM(I59:J59)</f>
        <v>0</v>
      </c>
      <c r="L59" s="1009"/>
      <c r="M59" s="1009"/>
      <c r="N59" s="1009">
        <f>SUM(L59:M59)</f>
        <v>0</v>
      </c>
      <c r="O59" s="167"/>
      <c r="P59" s="167"/>
      <c r="Q59" s="167"/>
      <c r="R59" s="35"/>
    </row>
    <row r="60" spans="1:17" s="35" customFormat="1" ht="17.25" thickBot="1" thickTop="1">
      <c r="A60" s="387" t="s">
        <v>119</v>
      </c>
      <c r="B60" s="390" t="s">
        <v>190</v>
      </c>
      <c r="C60" s="825">
        <f>C40+C45+C46+C47+C51+C52+C55+C56+C57+C58+C59</f>
        <v>198580</v>
      </c>
      <c r="D60" s="826">
        <f aca="true" t="shared" si="21" ref="D60:N60">D40+D45+D46+D47+D51+D52+D55+D56+D57+D58+D59</f>
        <v>0</v>
      </c>
      <c r="E60" s="824">
        <f t="shared" si="21"/>
        <v>198580</v>
      </c>
      <c r="F60" s="409">
        <f t="shared" si="21"/>
        <v>296900</v>
      </c>
      <c r="G60" s="388">
        <f t="shared" si="21"/>
        <v>0</v>
      </c>
      <c r="H60" s="824">
        <f t="shared" si="21"/>
        <v>296900</v>
      </c>
      <c r="I60" s="409">
        <f t="shared" si="21"/>
        <v>45000</v>
      </c>
      <c r="J60" s="388">
        <f t="shared" si="21"/>
        <v>0</v>
      </c>
      <c r="K60" s="421">
        <f t="shared" si="21"/>
        <v>45000</v>
      </c>
      <c r="L60" s="1009">
        <f t="shared" si="21"/>
        <v>0</v>
      </c>
      <c r="M60" s="1009">
        <f t="shared" si="21"/>
        <v>0</v>
      </c>
      <c r="N60" s="1009">
        <f t="shared" si="21"/>
        <v>0</v>
      </c>
      <c r="O60" s="167"/>
      <c r="P60" s="167"/>
      <c r="Q60" s="167"/>
    </row>
    <row r="61" spans="1:17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008"/>
      <c r="M61" s="1008"/>
      <c r="N61" s="1008"/>
      <c r="O61" s="96"/>
      <c r="P61" s="96"/>
      <c r="Q61" s="96"/>
    </row>
    <row r="62" spans="1:17" ht="16.5" thickBot="1" thickTop="1">
      <c r="A62" s="182"/>
      <c r="B62" s="183" t="s">
        <v>580</v>
      </c>
      <c r="C62" s="956"/>
      <c r="D62" s="957"/>
      <c r="E62" s="848">
        <f>SUM(C62:D62)</f>
        <v>0</v>
      </c>
      <c r="F62" s="956"/>
      <c r="G62" s="957"/>
      <c r="H62" s="848">
        <f>SUM(F62:G62)</f>
        <v>0</v>
      </c>
      <c r="I62" s="956"/>
      <c r="J62" s="847"/>
      <c r="K62" s="959">
        <f>SUM(I62:J62)</f>
        <v>0</v>
      </c>
      <c r="L62" s="1008"/>
      <c r="M62" s="1008"/>
      <c r="N62" s="1008">
        <f>SUM(L62:M62)</f>
        <v>0</v>
      </c>
      <c r="O62" s="96"/>
      <c r="P62" s="96"/>
      <c r="Q62" s="96"/>
    </row>
    <row r="63" spans="1:17" ht="16.5" thickBot="1" thickTop="1">
      <c r="A63" s="182"/>
      <c r="B63" s="183" t="s">
        <v>581</v>
      </c>
      <c r="C63" s="956"/>
      <c r="D63" s="957"/>
      <c r="E63" s="848">
        <f>SUM(C63:D63)</f>
        <v>0</v>
      </c>
      <c r="F63" s="956"/>
      <c r="G63" s="957"/>
      <c r="H63" s="848">
        <f>SUM(F63:G63)</f>
        <v>0</v>
      </c>
      <c r="I63" s="956"/>
      <c r="J63" s="847"/>
      <c r="K63" s="848">
        <f>SUM(I63:J63)</f>
        <v>0</v>
      </c>
      <c r="L63" s="1008"/>
      <c r="M63" s="1008"/>
      <c r="N63" s="1008">
        <f>SUM(L63:M63)</f>
        <v>0</v>
      </c>
      <c r="O63" s="96"/>
      <c r="P63" s="96"/>
      <c r="Q63" s="96"/>
    </row>
    <row r="64" spans="1:17" ht="16.5" thickTop="1">
      <c r="A64" s="465"/>
      <c r="O64" s="96"/>
      <c r="P64" s="96"/>
      <c r="Q64" s="96"/>
    </row>
    <row r="65" ht="15.75">
      <c r="A65" s="465"/>
    </row>
    <row r="67" ht="12.75">
      <c r="D67" s="96">
        <v>2413076</v>
      </c>
    </row>
  </sheetData>
  <sheetProtection/>
  <mergeCells count="7">
    <mergeCell ref="A4:K4"/>
    <mergeCell ref="A5:K5"/>
    <mergeCell ref="Q8:S8"/>
    <mergeCell ref="L7:N7"/>
    <mergeCell ref="F7:H7"/>
    <mergeCell ref="C7:E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6" r:id="rId1"/>
  <headerFooter alignWithMargins="0">
    <oddFooter>&amp;L&amp;F&amp;C&amp;D,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J106"/>
  <sheetViews>
    <sheetView showGridLines="0" zoomScale="80" zoomScaleNormal="80" zoomScaleSheetLayoutView="5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" sqref="K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3" width="19.375" style="96" customWidth="1"/>
    <col min="4" max="4" width="20.00390625" style="96" customWidth="1"/>
    <col min="5" max="11" width="19.375" style="96" customWidth="1"/>
    <col min="12" max="12" width="15.50390625" style="402" customWidth="1"/>
    <col min="13" max="13" width="16.00390625" style="402" customWidth="1"/>
    <col min="14" max="17" width="9.375" style="402" customWidth="1"/>
    <col min="18" max="21" width="9.375" style="26" customWidth="1"/>
  </cols>
  <sheetData>
    <row r="1" spans="1:11" ht="15" customHeight="1">
      <c r="A1" s="346"/>
      <c r="B1" s="347"/>
      <c r="C1" s="347"/>
      <c r="D1" s="433"/>
      <c r="E1" s="433"/>
      <c r="F1" s="347"/>
      <c r="G1" s="433"/>
      <c r="H1" s="433"/>
      <c r="I1" s="433"/>
      <c r="J1" s="433"/>
      <c r="K1" s="940" t="s">
        <v>871</v>
      </c>
    </row>
    <row r="2" spans="1:11" ht="15" customHeight="1">
      <c r="A2" s="346"/>
      <c r="B2" s="347"/>
      <c r="C2" s="347"/>
      <c r="D2" s="433"/>
      <c r="E2" s="433"/>
      <c r="F2" s="347"/>
      <c r="G2" s="433"/>
      <c r="H2" s="433"/>
      <c r="I2" s="433"/>
      <c r="J2" s="433"/>
      <c r="K2" s="940" t="s">
        <v>102</v>
      </c>
    </row>
    <row r="3" spans="1:11" ht="15" customHeight="1">
      <c r="A3" s="346"/>
      <c r="B3" s="347"/>
      <c r="C3" s="347"/>
      <c r="D3" s="433"/>
      <c r="E3" s="433"/>
      <c r="F3" s="347"/>
      <c r="G3" s="433"/>
      <c r="H3" s="433"/>
      <c r="I3" s="433"/>
      <c r="J3" s="433"/>
      <c r="K3" s="941" t="s">
        <v>160</v>
      </c>
    </row>
    <row r="4" spans="1:21" s="15" customFormat="1" ht="20.25" customHeight="1">
      <c r="A4" s="942" t="s">
        <v>199</v>
      </c>
      <c r="B4" s="942"/>
      <c r="C4" s="942"/>
      <c r="D4" s="948"/>
      <c r="E4" s="948"/>
      <c r="F4" s="942"/>
      <c r="G4" s="948"/>
      <c r="H4" s="948"/>
      <c r="I4" s="948"/>
      <c r="J4" s="948"/>
      <c r="K4" s="948"/>
      <c r="L4" s="475"/>
      <c r="M4" s="475"/>
      <c r="N4" s="475"/>
      <c r="O4" s="475"/>
      <c r="P4" s="475"/>
      <c r="Q4" s="475"/>
      <c r="R4" s="418"/>
      <c r="S4" s="418"/>
      <c r="T4" s="418"/>
      <c r="U4" s="418"/>
    </row>
    <row r="5" spans="1:21" s="15" customFormat="1" ht="18" customHeight="1">
      <c r="A5" s="943" t="s">
        <v>569</v>
      </c>
      <c r="B5" s="943"/>
      <c r="C5" s="943"/>
      <c r="D5" s="949"/>
      <c r="E5" s="949"/>
      <c r="F5" s="943"/>
      <c r="G5" s="949"/>
      <c r="H5" s="949"/>
      <c r="I5" s="949"/>
      <c r="J5" s="949"/>
      <c r="K5" s="949"/>
      <c r="L5" s="475"/>
      <c r="M5" s="475"/>
      <c r="N5" s="475"/>
      <c r="O5" s="475"/>
      <c r="P5" s="475"/>
      <c r="Q5" s="475"/>
      <c r="R5" s="418"/>
      <c r="S5" s="418"/>
      <c r="T5" s="418"/>
      <c r="U5" s="418"/>
    </row>
    <row r="6" spans="1:11" ht="15.75" customHeight="1" thickBot="1">
      <c r="A6" s="346"/>
      <c r="B6" s="347"/>
      <c r="C6" s="347"/>
      <c r="D6" s="433"/>
      <c r="E6" s="433"/>
      <c r="F6" s="347"/>
      <c r="G6" s="433"/>
      <c r="H6" s="433"/>
      <c r="I6" s="433"/>
      <c r="J6" s="433"/>
      <c r="K6" s="433"/>
    </row>
    <row r="7" spans="1:12" s="96" customFormat="1" ht="33" customHeight="1">
      <c r="A7" s="260" t="s">
        <v>135</v>
      </c>
      <c r="B7" s="95" t="s">
        <v>136</v>
      </c>
      <c r="C7" s="278" t="s">
        <v>373</v>
      </c>
      <c r="D7" s="279"/>
      <c r="E7" s="280"/>
      <c r="F7" s="98" t="s">
        <v>144</v>
      </c>
      <c r="G7" s="99"/>
      <c r="H7" s="100"/>
      <c r="I7" s="98" t="s">
        <v>72</v>
      </c>
      <c r="J7" s="99"/>
      <c r="K7" s="100"/>
      <c r="L7" s="402"/>
    </row>
    <row r="8" spans="1:12" s="96" customFormat="1" ht="24.75" customHeight="1" thickBot="1">
      <c r="A8" s="275" t="s">
        <v>137</v>
      </c>
      <c r="B8" s="16" t="s">
        <v>138</v>
      </c>
      <c r="C8" s="24" t="s">
        <v>463</v>
      </c>
      <c r="D8" s="23" t="s">
        <v>803</v>
      </c>
      <c r="E8" s="11" t="s">
        <v>665</v>
      </c>
      <c r="F8" s="24" t="s">
        <v>463</v>
      </c>
      <c r="G8" s="23" t="s">
        <v>804</v>
      </c>
      <c r="H8" s="11" t="s">
        <v>665</v>
      </c>
      <c r="I8" s="24" t="s">
        <v>463</v>
      </c>
      <c r="J8" s="23" t="s">
        <v>804</v>
      </c>
      <c r="K8" s="11" t="s">
        <v>665</v>
      </c>
      <c r="L8" s="402"/>
    </row>
    <row r="9" spans="1:12" s="268" customFormat="1" ht="14.25" customHeight="1" thickBot="1">
      <c r="A9" s="467">
        <v>1</v>
      </c>
      <c r="B9" s="467">
        <v>2</v>
      </c>
      <c r="C9" s="468">
        <v>3</v>
      </c>
      <c r="D9" s="469">
        <v>5</v>
      </c>
      <c r="E9" s="470">
        <v>5</v>
      </c>
      <c r="F9" s="468">
        <v>6</v>
      </c>
      <c r="G9" s="469">
        <v>7</v>
      </c>
      <c r="H9" s="471">
        <v>8</v>
      </c>
      <c r="I9" s="468">
        <v>9</v>
      </c>
      <c r="J9" s="469">
        <v>10</v>
      </c>
      <c r="K9" s="471">
        <v>11</v>
      </c>
      <c r="L9" s="402"/>
    </row>
    <row r="10" spans="1:12" s="96" customFormat="1" ht="18.75" customHeight="1" thickBot="1">
      <c r="A10" s="427"/>
      <c r="B10" s="472" t="s">
        <v>140</v>
      </c>
      <c r="C10" s="428"/>
      <c r="D10" s="429"/>
      <c r="E10" s="473"/>
      <c r="F10" s="428"/>
      <c r="G10" s="429"/>
      <c r="H10" s="474"/>
      <c r="I10" s="431"/>
      <c r="J10" s="432"/>
      <c r="K10" s="430"/>
      <c r="L10" s="402"/>
    </row>
    <row r="11" spans="1:12" s="96" customFormat="1" ht="15" customHeight="1" thickBot="1">
      <c r="A11" s="357">
        <v>1</v>
      </c>
      <c r="B11" s="348" t="s">
        <v>123</v>
      </c>
      <c r="C11" s="392">
        <f>SUM(hivatal7!F11+hivatal7!I11+hivatal7!L11+hivatal8!C11+hivatal8!F11+hivatal8!I11+hivatal8!L11)</f>
        <v>238786</v>
      </c>
      <c r="D11" s="358">
        <f>SUM(hivatal7!G11+hivatal7!J11+hivatal7!M11+hivatal8!D11+hivatal8!G11+hivatal8!J11+hivatal8!M11)</f>
        <v>21144</v>
      </c>
      <c r="E11" s="374">
        <f>SUM(C11:D11)</f>
        <v>259930</v>
      </c>
      <c r="F11" s="363">
        <f>'önállóan gazd.'!R11</f>
        <v>2894330</v>
      </c>
      <c r="G11" s="358">
        <f>'önállóan gazd.'!S11</f>
        <v>72382</v>
      </c>
      <c r="H11" s="403">
        <f>'önállóan gazd.'!T11</f>
        <v>2966712</v>
      </c>
      <c r="I11" s="330">
        <f aca="true" t="shared" si="0" ref="I11:K14">SUM(C11+F11)</f>
        <v>3133116</v>
      </c>
      <c r="J11" s="333">
        <f t="shared" si="0"/>
        <v>93526</v>
      </c>
      <c r="K11" s="1410">
        <f t="shared" si="0"/>
        <v>3226642</v>
      </c>
      <c r="L11" s="402"/>
    </row>
    <row r="12" spans="1:12" s="311" customFormat="1" ht="15" customHeight="1" thickBot="1">
      <c r="A12" s="361">
        <v>2</v>
      </c>
      <c r="B12" s="348" t="s">
        <v>213</v>
      </c>
      <c r="C12" s="392">
        <f>SUM(hivatal7!F12+hivatal7!I12+hivatal7!L12+hivatal8!C12+hivatal8!F12+hivatal8!I12+hivatal8!L12)</f>
        <v>63332</v>
      </c>
      <c r="D12" s="358">
        <f>SUM(hivatal7!G12+hivatal7!J12+hivatal7!M12+hivatal8!D12+hivatal8!G12+hivatal8!J12+hivatal8!M12)</f>
        <v>3791</v>
      </c>
      <c r="E12" s="374">
        <f>SUM(C12:D12)</f>
        <v>67123</v>
      </c>
      <c r="F12" s="363">
        <f>'önállóan gazd.'!R12</f>
        <v>650580</v>
      </c>
      <c r="G12" s="358">
        <f>'önállóan gazd.'!S12</f>
        <v>24105</v>
      </c>
      <c r="H12" s="403">
        <f>'önállóan gazd.'!T12</f>
        <v>674685</v>
      </c>
      <c r="I12" s="330">
        <f t="shared" si="0"/>
        <v>713912</v>
      </c>
      <c r="J12" s="333">
        <f t="shared" si="0"/>
        <v>27896</v>
      </c>
      <c r="K12" s="1410">
        <f t="shared" si="0"/>
        <v>741808</v>
      </c>
      <c r="L12" s="477"/>
    </row>
    <row r="13" spans="1:12" s="220" customFormat="1" ht="15" customHeight="1" thickBot="1">
      <c r="A13" s="361">
        <v>3</v>
      </c>
      <c r="B13" s="348" t="s">
        <v>126</v>
      </c>
      <c r="C13" s="362">
        <f>SUM(hivatal7!F13+hivatal7!I13+hivatal7!L13+hivatal8!C13+hivatal8!F13+hivatal8!I13+hivatal8!L13)</f>
        <v>2234630</v>
      </c>
      <c r="D13" s="358">
        <f>SUM(hivatal7!G13+hivatal7!J13+hivatal7!M13+hivatal8!D13+hivatal8!G13+hivatal8!J13+hivatal8!M13)</f>
        <v>249065</v>
      </c>
      <c r="E13" s="374">
        <f>SUM(C13:D13)</f>
        <v>2483695</v>
      </c>
      <c r="F13" s="363">
        <f>'önállóan gazd.'!R13</f>
        <v>1614212</v>
      </c>
      <c r="G13" s="358">
        <f>'önállóan gazd.'!S13</f>
        <v>53342</v>
      </c>
      <c r="H13" s="403">
        <f>'önállóan gazd.'!T13</f>
        <v>1667554</v>
      </c>
      <c r="I13" s="330">
        <f t="shared" si="0"/>
        <v>3848842</v>
      </c>
      <c r="J13" s="333">
        <f t="shared" si="0"/>
        <v>302407</v>
      </c>
      <c r="K13" s="1410">
        <f>SUM(E13+H13)</f>
        <v>4151249</v>
      </c>
      <c r="L13" s="475"/>
    </row>
    <row r="14" spans="1:12" s="220" customFormat="1" ht="15" customHeight="1" thickBot="1">
      <c r="A14" s="361">
        <v>4</v>
      </c>
      <c r="B14" s="348" t="s">
        <v>180</v>
      </c>
      <c r="C14" s="1200">
        <f>SUM(hivatal7!F14+hivatal7!I14+hivatal7!L14+hivatal8!C14+hivatal8!F14+hivatal8!I14+hivatal8!L14)</f>
        <v>113502</v>
      </c>
      <c r="D14" s="358">
        <f>SUM(hivatal7!G14+hivatal7!J14+hivatal7!M14+hivatal8!D14+hivatal8!G14+hivatal8!J14+hivatal8!M14)</f>
        <v>0</v>
      </c>
      <c r="E14" s="331">
        <f aca="true" t="shared" si="1" ref="E14:E20">C14+D14</f>
        <v>113502</v>
      </c>
      <c r="F14" s="330">
        <f>'önállóan gazd.'!R14</f>
        <v>1</v>
      </c>
      <c r="G14" s="333">
        <f>'önállóan gazd.'!S14</f>
        <v>107</v>
      </c>
      <c r="H14" s="359">
        <f>F14+G14</f>
        <v>108</v>
      </c>
      <c r="I14" s="330">
        <f t="shared" si="0"/>
        <v>113503</v>
      </c>
      <c r="J14" s="333">
        <f t="shared" si="0"/>
        <v>107</v>
      </c>
      <c r="K14" s="1410">
        <f t="shared" si="0"/>
        <v>113610</v>
      </c>
      <c r="L14" s="475"/>
    </row>
    <row r="15" spans="1:12" s="96" customFormat="1" ht="15" customHeight="1">
      <c r="A15" s="171" t="s">
        <v>108</v>
      </c>
      <c r="B15" s="160" t="s">
        <v>405</v>
      </c>
      <c r="C15" s="349">
        <f>SUM(hivatal7!F15+hivatal7!I15+hivatal7!L15+hivatal8!C15+hivatal8!F15+hivatal8!I15+hivatal8!L15)</f>
        <v>129520</v>
      </c>
      <c r="D15" s="256">
        <f>SUM(hivatal7!G15+hivatal7!J15+hivatal7!M15+hivatal8!D15+hivatal8!G15+hivatal8!J15+hivatal8!M15)</f>
        <v>2290</v>
      </c>
      <c r="E15" s="934">
        <f t="shared" si="1"/>
        <v>131810</v>
      </c>
      <c r="F15" s="257">
        <f>'önállóan gazd.'!R15</f>
        <v>0</v>
      </c>
      <c r="G15" s="256">
        <f>'önállóan gazd.'!S15</f>
        <v>0</v>
      </c>
      <c r="H15" s="436">
        <f aca="true" t="shared" si="2" ref="H15:H21">F15+G15</f>
        <v>0</v>
      </c>
      <c r="I15" s="404">
        <f aca="true" t="shared" si="3" ref="I15:I21">SUM(C15+F15)</f>
        <v>129520</v>
      </c>
      <c r="J15" s="344">
        <f aca="true" t="shared" si="4" ref="J15:J21">SUM(D15+G15)</f>
        <v>2290</v>
      </c>
      <c r="K15" s="1411">
        <f aca="true" t="shared" si="5" ref="K15:K22">SUM(E15+H15)</f>
        <v>131810</v>
      </c>
      <c r="L15" s="402"/>
    </row>
    <row r="16" spans="1:12" s="96" customFormat="1" ht="15" customHeight="1">
      <c r="A16" s="168" t="s">
        <v>109</v>
      </c>
      <c r="B16" s="164" t="s">
        <v>406</v>
      </c>
      <c r="C16" s="349">
        <f>SUM(hivatal7!F16+hivatal7!I16+hivatal7!L16+hivatal8!C16+hivatal8!F16+hivatal8!I16+hivatal8!L16)</f>
        <v>0</v>
      </c>
      <c r="D16" s="256">
        <f>SUM(hivatal7!G16+hivatal7!J16+hivatal7!M16+hivatal8!D16+hivatal8!G16+hivatal8!J16+hivatal8!M16)</f>
        <v>0</v>
      </c>
      <c r="E16" s="934">
        <f t="shared" si="1"/>
        <v>0</v>
      </c>
      <c r="F16" s="257">
        <f>'önállóan gazd.'!R15</f>
        <v>0</v>
      </c>
      <c r="G16" s="256">
        <f>'önállóan gazd.'!S15</f>
        <v>0</v>
      </c>
      <c r="H16" s="436">
        <f>F16+G16</f>
        <v>0</v>
      </c>
      <c r="I16" s="476">
        <f>SUM(C16+F16)</f>
        <v>0</v>
      </c>
      <c r="J16" s="342">
        <f>SUM(D16+G16)</f>
        <v>0</v>
      </c>
      <c r="K16" s="1411">
        <f>SUM(E16+H16)</f>
        <v>0</v>
      </c>
      <c r="L16" s="402"/>
    </row>
    <row r="17" spans="1:12" s="96" customFormat="1" ht="15" customHeight="1">
      <c r="A17" s="168" t="s">
        <v>110</v>
      </c>
      <c r="B17" s="164" t="s">
        <v>407</v>
      </c>
      <c r="C17" s="349">
        <f>SUM(hivatal7!F17+hivatal7!I17+hivatal7!L17+hivatal8!C17+hivatal8!F17+hivatal8!I17+hivatal8!L17)</f>
        <v>0</v>
      </c>
      <c r="D17" s="256">
        <f>SUM(hivatal7!G17+hivatal7!J17+hivatal7!M17+hivatal8!D17+hivatal8!G17+hivatal8!J17+hivatal8!M17)</f>
        <v>0</v>
      </c>
      <c r="E17" s="934">
        <f t="shared" si="1"/>
        <v>0</v>
      </c>
      <c r="F17" s="257">
        <f>'önállóan gazd.'!R17</f>
        <v>0</v>
      </c>
      <c r="G17" s="256">
        <f>'önállóan gazd.'!S17</f>
        <v>0</v>
      </c>
      <c r="H17" s="436">
        <f t="shared" si="2"/>
        <v>0</v>
      </c>
      <c r="I17" s="476">
        <f t="shared" si="3"/>
        <v>0</v>
      </c>
      <c r="J17" s="342">
        <f t="shared" si="4"/>
        <v>0</v>
      </c>
      <c r="K17" s="1411">
        <f t="shared" si="5"/>
        <v>0</v>
      </c>
      <c r="L17" s="402"/>
    </row>
    <row r="18" spans="1:12" s="96" customFormat="1" ht="15" customHeight="1">
      <c r="A18" s="168" t="s">
        <v>111</v>
      </c>
      <c r="B18" s="164" t="s">
        <v>408</v>
      </c>
      <c r="C18" s="349">
        <f>SUM(hivatal7!F18+hivatal7!I18+hivatal7!L18+hivatal8!C18+hivatal8!F18+hivatal8!I18+hivatal8!L18)</f>
        <v>30399</v>
      </c>
      <c r="D18" s="256">
        <f>SUM(hivatal7!G18+hivatal7!J18+hivatal7!M18+hivatal8!D18+hivatal8!G18+hivatal8!J18+hivatal8!M18)</f>
        <v>7810</v>
      </c>
      <c r="E18" s="934">
        <f t="shared" si="1"/>
        <v>38209</v>
      </c>
      <c r="F18" s="257">
        <f>'önállóan gazd.'!R18</f>
        <v>0</v>
      </c>
      <c r="G18" s="256">
        <f>'önállóan gazd.'!S18</f>
        <v>81</v>
      </c>
      <c r="H18" s="436">
        <f t="shared" si="2"/>
        <v>81</v>
      </c>
      <c r="I18" s="476">
        <f t="shared" si="3"/>
        <v>30399</v>
      </c>
      <c r="J18" s="342">
        <f t="shared" si="4"/>
        <v>7891</v>
      </c>
      <c r="K18" s="1411">
        <f t="shared" si="5"/>
        <v>38290</v>
      </c>
      <c r="L18" s="402"/>
    </row>
    <row r="19" spans="1:12" s="96" customFormat="1" ht="15" customHeight="1">
      <c r="A19" s="163" t="s">
        <v>202</v>
      </c>
      <c r="B19" s="164" t="s">
        <v>409</v>
      </c>
      <c r="C19" s="349">
        <f>SUM(hivatal7!F19+hivatal7!I19+hivatal7!L19+hivatal8!C19+hivatal8!F19+hivatal8!I19+hivatal8!L19)</f>
        <v>0</v>
      </c>
      <c r="D19" s="256">
        <f>SUM(hivatal7!G19+hivatal7!J19+hivatal7!M19+hivatal8!D19+hivatal8!G19+hivatal8!J19+hivatal8!M19)</f>
        <v>0</v>
      </c>
      <c r="E19" s="934">
        <f t="shared" si="1"/>
        <v>0</v>
      </c>
      <c r="F19" s="257">
        <f>'önállóan gazd.'!R18</f>
        <v>0</v>
      </c>
      <c r="G19" s="256">
        <f>'önállóan gazd.'!S19</f>
        <v>0</v>
      </c>
      <c r="H19" s="436">
        <f>F19+G19</f>
        <v>0</v>
      </c>
      <c r="I19" s="476">
        <f>SUM(C19+F19)</f>
        <v>0</v>
      </c>
      <c r="J19" s="342">
        <f>SUM(D19+G19)</f>
        <v>0</v>
      </c>
      <c r="K19" s="1411">
        <f>SUM(E19+H19)</f>
        <v>0</v>
      </c>
      <c r="L19" s="402"/>
    </row>
    <row r="20" spans="1:12" s="96" customFormat="1" ht="15" customHeight="1">
      <c r="A20" s="163" t="s">
        <v>359</v>
      </c>
      <c r="B20" s="164" t="s">
        <v>410</v>
      </c>
      <c r="C20" s="349">
        <f>SUM(hivatal7!F20+hivatal7!I20+hivatal7!L20+hivatal8!C20+hivatal8!F20+hivatal8!I20+hivatal8!L20)</f>
        <v>0</v>
      </c>
      <c r="D20" s="256">
        <f>SUM(hivatal7!G20+hivatal7!J20+hivatal7!M20+hivatal8!D20+hivatal8!G20+hivatal8!J20+hivatal8!M20)</f>
        <v>0</v>
      </c>
      <c r="E20" s="934">
        <f t="shared" si="1"/>
        <v>0</v>
      </c>
      <c r="F20" s="257">
        <f>'önállóan gazd.'!R20</f>
        <v>0</v>
      </c>
      <c r="G20" s="256">
        <f>'önállóan gazd.'!S20</f>
        <v>0</v>
      </c>
      <c r="H20" s="436">
        <f t="shared" si="2"/>
        <v>0</v>
      </c>
      <c r="I20" s="476">
        <f t="shared" si="3"/>
        <v>0</v>
      </c>
      <c r="J20" s="342">
        <f>SUM(D20+G20)</f>
        <v>0</v>
      </c>
      <c r="K20" s="1411">
        <f t="shared" si="5"/>
        <v>0</v>
      </c>
      <c r="L20" s="402"/>
    </row>
    <row r="21" spans="1:12" s="96" customFormat="1" ht="15" customHeight="1">
      <c r="A21" s="163" t="s">
        <v>361</v>
      </c>
      <c r="B21" s="164" t="s">
        <v>411</v>
      </c>
      <c r="C21" s="349">
        <f>SUM(hivatal7!F21+hivatal7!I21+hivatal7!L21+hivatal8!C21+hivatal8!F21+hivatal8!I21+hivatal8!L21)</f>
        <v>631764</v>
      </c>
      <c r="D21" s="256">
        <f>SUM(hivatal7!G21+hivatal7!J21+hivatal7!M21+hivatal8!D21+hivatal8!G21+hivatal8!J21+hivatal8!M21)</f>
        <v>15414</v>
      </c>
      <c r="E21" s="934">
        <f aca="true" t="shared" si="6" ref="E21:E30">C21+D21</f>
        <v>647178</v>
      </c>
      <c r="F21" s="257">
        <f>'önállóan gazd.'!R21</f>
        <v>0</v>
      </c>
      <c r="G21" s="256">
        <f>'önállóan gazd.'!S21</f>
        <v>265</v>
      </c>
      <c r="H21" s="436">
        <f t="shared" si="2"/>
        <v>265</v>
      </c>
      <c r="I21" s="1198">
        <f t="shared" si="3"/>
        <v>631764</v>
      </c>
      <c r="J21" s="342">
        <f t="shared" si="4"/>
        <v>15679</v>
      </c>
      <c r="K21" s="1331">
        <f t="shared" si="5"/>
        <v>647443</v>
      </c>
      <c r="L21" s="402"/>
    </row>
    <row r="22" spans="1:12" s="96" customFormat="1" ht="15" customHeight="1" thickBot="1">
      <c r="A22" s="16" t="s">
        <v>74</v>
      </c>
      <c r="B22" s="378" t="s">
        <v>412</v>
      </c>
      <c r="C22" s="373">
        <f>SUM(hivatal7!F22+hivatal7!I22+hivatal7!L22+hivatal8!C22+hivatal8!F22+hivatal8!I22+hivatal8!L22)</f>
        <v>3830639</v>
      </c>
      <c r="D22" s="365">
        <f>SUM(hivatal7!G22+hivatal7!J22+hivatal7!M22+hivatal8!D22+hivatal8!G22+hivatal8!J22+hivatal8!M22)</f>
        <v>-1037</v>
      </c>
      <c r="E22" s="172">
        <f t="shared" si="6"/>
        <v>3829602</v>
      </c>
      <c r="F22" s="367">
        <f>'önállóan gazd.'!R22</f>
        <v>0</v>
      </c>
      <c r="G22" s="365">
        <f>'önállóan gazd.'!S22</f>
        <v>0</v>
      </c>
      <c r="H22" s="442">
        <f aca="true" t="shared" si="7" ref="H22:H33">F22+G22</f>
        <v>0</v>
      </c>
      <c r="I22" s="1198">
        <f>SUM(C22+F22)</f>
        <v>3830639</v>
      </c>
      <c r="J22" s="344">
        <f>SUM(D22+G22)</f>
        <v>-1037</v>
      </c>
      <c r="K22" s="1331">
        <f t="shared" si="5"/>
        <v>3829602</v>
      </c>
      <c r="L22" s="402"/>
    </row>
    <row r="23" spans="1:12" s="220" customFormat="1" ht="15" customHeight="1" thickBot="1">
      <c r="A23" s="361">
        <v>5</v>
      </c>
      <c r="B23" s="348" t="s">
        <v>179</v>
      </c>
      <c r="C23" s="1200">
        <f>SUM(C15:C22)</f>
        <v>4622322</v>
      </c>
      <c r="D23" s="358">
        <f>SUM(hivatal7!G23+hivatal7!J23+hivatal7!M23+hivatal8!D23+hivatal8!G23+hivatal8!J23+hivatal8!M23)</f>
        <v>24477</v>
      </c>
      <c r="E23" s="331">
        <f t="shared" si="6"/>
        <v>4646799</v>
      </c>
      <c r="F23" s="330">
        <f>'önállóan gazd.'!R23</f>
        <v>0</v>
      </c>
      <c r="G23" s="333">
        <f>'önállóan gazd.'!S23</f>
        <v>346</v>
      </c>
      <c r="H23" s="359">
        <f t="shared" si="7"/>
        <v>346</v>
      </c>
      <c r="I23" s="392">
        <f>SUM(I15:I22)</f>
        <v>4622322</v>
      </c>
      <c r="J23" s="333">
        <f>SUM(J15:J22)</f>
        <v>24823</v>
      </c>
      <c r="K23" s="1222">
        <f>SUM(K15:K22)</f>
        <v>4647145</v>
      </c>
      <c r="L23" s="475"/>
    </row>
    <row r="24" spans="1:12" s="96" customFormat="1" ht="15" customHeight="1" thickBot="1">
      <c r="A24" s="357">
        <v>6</v>
      </c>
      <c r="B24" s="348" t="s">
        <v>182</v>
      </c>
      <c r="C24" s="1200">
        <f>SUM(hivatal7!F24+hivatal7!I24+hivatal7!L24+hivatal8!C24+hivatal8!F24+hivatal8!I24+hivatal8!L24)</f>
        <v>1881977</v>
      </c>
      <c r="D24" s="358">
        <f>SUM(hivatal7!G24+hivatal7!J24+hivatal7!M24+hivatal8!D24+hivatal8!G24+hivatal8!J24+hivatal8!M24)</f>
        <v>419272</v>
      </c>
      <c r="E24" s="331">
        <f>C24+D24</f>
        <v>2301249</v>
      </c>
      <c r="F24" s="330">
        <f>'önállóan gazd.'!R24</f>
        <v>116497</v>
      </c>
      <c r="G24" s="333">
        <f>'önállóan gazd.'!S24</f>
        <v>-10503</v>
      </c>
      <c r="H24" s="359">
        <f>F24+G24</f>
        <v>105994</v>
      </c>
      <c r="I24" s="1200">
        <f aca="true" t="shared" si="8" ref="I24:K26">SUM(C24+F24)</f>
        <v>1998474</v>
      </c>
      <c r="J24" s="333">
        <f t="shared" si="8"/>
        <v>408769</v>
      </c>
      <c r="K24" s="1412">
        <f t="shared" si="8"/>
        <v>2407243</v>
      </c>
      <c r="L24" s="402"/>
    </row>
    <row r="25" spans="1:12" s="220" customFormat="1" ht="15" customHeight="1" thickBot="1">
      <c r="A25" s="357">
        <v>7</v>
      </c>
      <c r="B25" s="348" t="s">
        <v>464</v>
      </c>
      <c r="C25" s="1200">
        <f>SUM(hivatal7!F25+hivatal7!I25+hivatal7!L25+hivatal8!C25+hivatal8!F25+hivatal8!I25+hivatal8!L25)</f>
        <v>2261369</v>
      </c>
      <c r="D25" s="358">
        <f>SUM(hivatal7!G25+hivatal7!J25+hivatal7!M25+hivatal8!D25+hivatal8!G25+hivatal8!J25+hivatal8!M25)</f>
        <v>-30347</v>
      </c>
      <c r="E25" s="331">
        <f>C25+D25</f>
        <v>2231022</v>
      </c>
      <c r="F25" s="330">
        <f>'önállóan gazd.'!R25</f>
        <v>0</v>
      </c>
      <c r="G25" s="333">
        <f>'önállóan gazd.'!S25</f>
        <v>9900</v>
      </c>
      <c r="H25" s="359">
        <f>F25+G25</f>
        <v>9900</v>
      </c>
      <c r="I25" s="1200">
        <f t="shared" si="8"/>
        <v>2261369</v>
      </c>
      <c r="J25" s="333">
        <f t="shared" si="8"/>
        <v>-20447</v>
      </c>
      <c r="K25" s="1412">
        <f t="shared" si="8"/>
        <v>2240922</v>
      </c>
      <c r="L25" s="475"/>
    </row>
    <row r="26" spans="1:12" s="96" customFormat="1" ht="15" customHeight="1">
      <c r="A26" s="171" t="s">
        <v>108</v>
      </c>
      <c r="B26" s="164" t="s">
        <v>413</v>
      </c>
      <c r="C26" s="349">
        <f>SUM(hivatal7!F26+hivatal7!I26+hivatal7!L26+hivatal8!C26+hivatal8!F26+hivatal8!I26+hivatal8!L26)</f>
        <v>0</v>
      </c>
      <c r="D26" s="256">
        <f>SUM(hivatal7!G26+hivatal7!J26+hivatal7!M26+hivatal8!D26+hivatal8!G26+hivatal8!J26+hivatal8!M26)</f>
        <v>0</v>
      </c>
      <c r="E26" s="934">
        <f t="shared" si="6"/>
        <v>0</v>
      </c>
      <c r="F26" s="257">
        <f>'önállóan gazd.'!R26</f>
        <v>0</v>
      </c>
      <c r="G26" s="256">
        <f>'önállóan gazd.'!S26</f>
        <v>0</v>
      </c>
      <c r="H26" s="436">
        <f t="shared" si="7"/>
        <v>0</v>
      </c>
      <c r="I26" s="1198">
        <f t="shared" si="8"/>
        <v>0</v>
      </c>
      <c r="J26" s="344">
        <f t="shared" si="8"/>
        <v>0</v>
      </c>
      <c r="K26" s="1331">
        <f t="shared" si="8"/>
        <v>0</v>
      </c>
      <c r="L26" s="402"/>
    </row>
    <row r="27" spans="1:12" s="96" customFormat="1" ht="15" customHeight="1">
      <c r="A27" s="171" t="s">
        <v>109</v>
      </c>
      <c r="B27" s="164" t="s">
        <v>414</v>
      </c>
      <c r="C27" s="349">
        <f>SUM(hivatal7!F27+hivatal7!I27+hivatal7!L27+hivatal8!C27+hivatal8!F27+hivatal8!I27+hivatal8!L27)</f>
        <v>0</v>
      </c>
      <c r="D27" s="256">
        <f>SUM(hivatal7!G27+hivatal7!J27+hivatal7!M27+hivatal8!D27+hivatal8!G27+hivatal8!J27+hivatal8!M27)</f>
        <v>0</v>
      </c>
      <c r="E27" s="934">
        <f t="shared" si="6"/>
        <v>0</v>
      </c>
      <c r="F27" s="257">
        <f>'önállóan gazd.'!R27</f>
        <v>0</v>
      </c>
      <c r="G27" s="256">
        <f>'önállóan gazd.'!S27</f>
        <v>0</v>
      </c>
      <c r="H27" s="436">
        <f t="shared" si="7"/>
        <v>0</v>
      </c>
      <c r="I27" s="1198">
        <f aca="true" t="shared" si="9" ref="I27:K31">SUM(C27+F27)</f>
        <v>0</v>
      </c>
      <c r="J27" s="344">
        <f t="shared" si="9"/>
        <v>0</v>
      </c>
      <c r="K27" s="1331">
        <f t="shared" si="9"/>
        <v>0</v>
      </c>
      <c r="L27" s="402"/>
    </row>
    <row r="28" spans="1:12" s="96" customFormat="1" ht="15" customHeight="1">
      <c r="A28" s="171" t="s">
        <v>110</v>
      </c>
      <c r="B28" s="164" t="s">
        <v>415</v>
      </c>
      <c r="C28" s="349">
        <f>SUM(hivatal7!F28+hivatal7!I28+hivatal7!L28+hivatal8!C28+hivatal8!F28+hivatal8!I28+hivatal8!L28)</f>
        <v>153125</v>
      </c>
      <c r="D28" s="256">
        <f>SUM(hivatal7!G28+hivatal7!J28+hivatal7!M28+hivatal8!D28+hivatal8!G28+hivatal8!J28+hivatal8!M28)</f>
        <v>0</v>
      </c>
      <c r="E28" s="934">
        <f t="shared" si="6"/>
        <v>153125</v>
      </c>
      <c r="F28" s="1180">
        <f>'önállóan gazd.'!R28</f>
        <v>0</v>
      </c>
      <c r="G28" s="154">
        <f>'önállóan gazd.'!S28</f>
        <v>0</v>
      </c>
      <c r="H28" s="258">
        <f t="shared" si="7"/>
        <v>0</v>
      </c>
      <c r="I28" s="1198">
        <f t="shared" si="9"/>
        <v>153125</v>
      </c>
      <c r="J28" s="344">
        <f t="shared" si="9"/>
        <v>0</v>
      </c>
      <c r="K28" s="1331">
        <f t="shared" si="9"/>
        <v>153125</v>
      </c>
      <c r="L28" s="402"/>
    </row>
    <row r="29" spans="1:12" s="96" customFormat="1" ht="15" customHeight="1">
      <c r="A29" s="171" t="s">
        <v>111</v>
      </c>
      <c r="B29" s="164" t="s">
        <v>416</v>
      </c>
      <c r="C29" s="349">
        <f>SUM(hivatal7!F29+hivatal7!I29+hivatal7!L29+hivatal8!C29+hivatal8!F29+hivatal8!I29+hivatal8!L29)</f>
        <v>10000</v>
      </c>
      <c r="D29" s="256">
        <f>SUM(hivatal7!G29+hivatal7!J29+hivatal7!M29+hivatal8!D29+hivatal8!G29+hivatal8!J29+hivatal8!M29)</f>
        <v>700</v>
      </c>
      <c r="E29" s="934">
        <f t="shared" si="6"/>
        <v>10700</v>
      </c>
      <c r="F29" s="1180">
        <f>'önállóan gazd.'!R29</f>
        <v>0</v>
      </c>
      <c r="G29" s="256">
        <f>'önállóan gazd.'!S29</f>
        <v>0</v>
      </c>
      <c r="H29" s="258">
        <f t="shared" si="7"/>
        <v>0</v>
      </c>
      <c r="I29" s="1198">
        <f t="shared" si="9"/>
        <v>10000</v>
      </c>
      <c r="J29" s="344">
        <f t="shared" si="9"/>
        <v>700</v>
      </c>
      <c r="K29" s="1331">
        <f t="shared" si="9"/>
        <v>10700</v>
      </c>
      <c r="L29" s="402"/>
    </row>
    <row r="30" spans="1:12" s="96" customFormat="1" ht="15" customHeight="1" thickBot="1">
      <c r="A30" s="379" t="s">
        <v>202</v>
      </c>
      <c r="B30" s="164" t="s">
        <v>417</v>
      </c>
      <c r="C30" s="373">
        <f>SUM(hivatal7!F30+hivatal7!I30+hivatal7!L30+hivatal8!C30+hivatal8!F30+hivatal8!I30+hivatal8!L30)</f>
        <v>90614</v>
      </c>
      <c r="D30" s="365">
        <f>SUM(hivatal7!G30+hivatal7!J30+hivatal7!M30+hivatal8!D30+hivatal8!G30+hivatal8!J30+hivatal8!M30)</f>
        <v>2742</v>
      </c>
      <c r="E30" s="172">
        <f t="shared" si="6"/>
        <v>93356</v>
      </c>
      <c r="F30" s="1181">
        <f>'önállóan gazd.'!R30</f>
        <v>0</v>
      </c>
      <c r="G30" s="365">
        <f>'önállóan gazd.'!S30</f>
        <v>0</v>
      </c>
      <c r="H30" s="368">
        <f t="shared" si="7"/>
        <v>0</v>
      </c>
      <c r="I30" s="1199">
        <f t="shared" si="9"/>
        <v>90614</v>
      </c>
      <c r="J30" s="372">
        <f t="shared" si="9"/>
        <v>2742</v>
      </c>
      <c r="K30" s="1329">
        <f t="shared" si="9"/>
        <v>93356</v>
      </c>
      <c r="L30" s="402"/>
    </row>
    <row r="31" spans="1:12" s="220" customFormat="1" ht="15" customHeight="1" thickBot="1">
      <c r="A31" s="357">
        <v>8</v>
      </c>
      <c r="B31" s="348" t="s">
        <v>181</v>
      </c>
      <c r="C31" s="1259">
        <f>SUM(hivatal7!F31+hivatal7!I31+hivatal7!L31+hivatal8!C31+hivatal8!F31+hivatal8!I31+hivatal8!L31)</f>
        <v>253739</v>
      </c>
      <c r="D31" s="846">
        <f>SUM(hivatal7!G31+hivatal7!J31+hivatal7!M31+hivatal8!D31+hivatal8!G31+hivatal8!J31+hivatal8!M31)</f>
        <v>3442</v>
      </c>
      <c r="E31" s="1255">
        <f>C31+D31</f>
        <v>257181</v>
      </c>
      <c r="F31" s="1200">
        <f>'önállóan gazd.'!R31</f>
        <v>0</v>
      </c>
      <c r="G31" s="333">
        <f>'önállóan gazd.'!S31</f>
        <v>0</v>
      </c>
      <c r="H31" s="331">
        <f>F31+G31</f>
        <v>0</v>
      </c>
      <c r="I31" s="1200">
        <f t="shared" si="9"/>
        <v>253739</v>
      </c>
      <c r="J31" s="333">
        <f t="shared" si="9"/>
        <v>3442</v>
      </c>
      <c r="K31" s="331">
        <f t="shared" si="9"/>
        <v>257181</v>
      </c>
      <c r="L31" s="475"/>
    </row>
    <row r="32" spans="1:12" s="96" customFormat="1" ht="15" customHeight="1" thickBot="1">
      <c r="A32" s="357">
        <v>9</v>
      </c>
      <c r="B32" s="348" t="s">
        <v>187</v>
      </c>
      <c r="C32" s="1259">
        <f>SUM(hivatal7!F32+hivatal7!I32+hivatal7!L32+hivatal8!C32+hivatal8!F32+hivatal8!I32+hivatal8!L32)</f>
        <v>52621</v>
      </c>
      <c r="D32" s="846">
        <f>SUM(hivatal7!G32+hivatal7!J32+hivatal7!M32+hivatal8!D32+hivatal8!G32+hivatal8!J32+hivatal8!M32)</f>
        <v>0</v>
      </c>
      <c r="E32" s="1255">
        <f>C32+D32</f>
        <v>52621</v>
      </c>
      <c r="F32" s="1201">
        <f>'önállóan gazd.'!R32</f>
        <v>0</v>
      </c>
      <c r="G32" s="334">
        <f>'önállóan gazd.'!S32</f>
        <v>0</v>
      </c>
      <c r="H32" s="332">
        <f t="shared" si="7"/>
        <v>0</v>
      </c>
      <c r="I32" s="1200">
        <f aca="true" t="shared" si="10" ref="I32:K33">SUM(C32+F32)</f>
        <v>52621</v>
      </c>
      <c r="J32" s="333">
        <f t="shared" si="10"/>
        <v>0</v>
      </c>
      <c r="K32" s="331">
        <f t="shared" si="10"/>
        <v>52621</v>
      </c>
      <c r="L32" s="402"/>
    </row>
    <row r="33" spans="1:12" s="167" customFormat="1" ht="15.75" customHeight="1" thickBot="1">
      <c r="A33" s="412">
        <v>10</v>
      </c>
      <c r="B33" s="478"/>
      <c r="C33" s="1260">
        <f>SUM(hivatal7!F33+hivatal7!I33+hivatal7!L33+hivatal8!C33+hivatal8!F33+hivatal8!I33+hivatal8!L33)</f>
        <v>0</v>
      </c>
      <c r="D33" s="847">
        <f>SUM(hivatal7!G33+hivatal7!J33+hivatal7!M33+hivatal8!D33+hivatal8!G33+hivatal8!J33+hivatal8!M33)</f>
        <v>0</v>
      </c>
      <c r="E33" s="1256">
        <f>C33+D33</f>
        <v>0</v>
      </c>
      <c r="F33" s="1202">
        <f>'önállóan gazd.'!R33</f>
        <v>0</v>
      </c>
      <c r="G33" s="416">
        <f>'önállóan gazd.'!S33</f>
        <v>0</v>
      </c>
      <c r="H33" s="417">
        <f t="shared" si="7"/>
        <v>0</v>
      </c>
      <c r="I33" s="1196">
        <f t="shared" si="10"/>
        <v>0</v>
      </c>
      <c r="J33" s="422">
        <f t="shared" si="10"/>
        <v>0</v>
      </c>
      <c r="K33" s="423">
        <f t="shared" si="10"/>
        <v>0</v>
      </c>
      <c r="L33" s="475"/>
    </row>
    <row r="34" spans="1:88" s="175" customFormat="1" ht="17.25" thickBot="1" thickTop="1">
      <c r="A34" s="387" t="s">
        <v>118</v>
      </c>
      <c r="B34" s="411" t="s">
        <v>188</v>
      </c>
      <c r="C34" s="410">
        <f aca="true" t="shared" si="11" ref="C34:I34">C11+C12+C13+C23+C14+C31+C25+C24+C32+C33</f>
        <v>11722278</v>
      </c>
      <c r="D34" s="388">
        <f t="shared" si="11"/>
        <v>690844</v>
      </c>
      <c r="E34" s="824">
        <f t="shared" si="11"/>
        <v>12413122</v>
      </c>
      <c r="F34" s="410">
        <f t="shared" si="11"/>
        <v>5275620</v>
      </c>
      <c r="G34" s="388">
        <f t="shared" si="11"/>
        <v>149679</v>
      </c>
      <c r="H34" s="824">
        <f t="shared" si="11"/>
        <v>5425299</v>
      </c>
      <c r="I34" s="410">
        <f t="shared" si="11"/>
        <v>16997898</v>
      </c>
      <c r="J34" s="388">
        <f>J11+J12+J13+J23+J14+J31+J25+J24+J32+J33</f>
        <v>840523</v>
      </c>
      <c r="K34" s="421">
        <f>K11+K12+K13+K23+K14+K31+K25+K24+K32+K33</f>
        <v>17838421</v>
      </c>
      <c r="L34" s="1012"/>
      <c r="M34" s="1012">
        <f>I34-L34</f>
        <v>16997898</v>
      </c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9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</row>
    <row r="35" spans="1:12" s="96" customFormat="1" ht="17.25" thickBot="1" thickTop="1">
      <c r="A35" s="159"/>
      <c r="B35" s="391" t="s">
        <v>142</v>
      </c>
      <c r="C35" s="1197"/>
      <c r="D35" s="419"/>
      <c r="E35" s="1257"/>
      <c r="F35" s="1197"/>
      <c r="G35" s="419"/>
      <c r="H35" s="1257"/>
      <c r="I35" s="1197"/>
      <c r="J35" s="419"/>
      <c r="K35" s="968"/>
      <c r="L35" s="402"/>
    </row>
    <row r="36" spans="1:12" s="806" customFormat="1" ht="15">
      <c r="A36" s="815" t="s">
        <v>108</v>
      </c>
      <c r="B36" s="816" t="s">
        <v>418</v>
      </c>
      <c r="C36" s="818">
        <f>SUM(hivatal7!F36+hivatal7!I36+hivatal7!L36+hivatal8!C36+hivatal8!F36+hivatal8!I36+hivatal8!L36)</f>
        <v>1717680</v>
      </c>
      <c r="D36" s="817">
        <f>SUM(hivatal7!G36+hivatal7!J36+hivatal7!M36+hivatal8!D36+hivatal8!G36+hivatal8!J36+hivatal8!M36)</f>
        <v>45635</v>
      </c>
      <c r="E36" s="821">
        <f>SUM(hivatal7!H36+hivatal7!K36+hivatal7!N36+hivatal8!E36+hivatal8!H36+hivatal8!K36+hivatal8!N36)</f>
        <v>1763315</v>
      </c>
      <c r="F36" s="1190">
        <f>'önállóan gazd.'!R36</f>
        <v>0</v>
      </c>
      <c r="G36" s="817">
        <f>'önállóan gazd.'!S36</f>
        <v>0</v>
      </c>
      <c r="H36" s="821">
        <f>'önállóan gazd.'!T36</f>
        <v>0</v>
      </c>
      <c r="I36" s="1263">
        <f aca="true" t="shared" si="12" ref="I36:K39">SUM(C36+F36)</f>
        <v>1717680</v>
      </c>
      <c r="J36" s="1269">
        <f t="shared" si="12"/>
        <v>45635</v>
      </c>
      <c r="K36" s="1413">
        <f t="shared" si="12"/>
        <v>1763315</v>
      </c>
      <c r="L36" s="807"/>
    </row>
    <row r="37" spans="1:12" s="806" customFormat="1" ht="15">
      <c r="A37" s="168" t="s">
        <v>109</v>
      </c>
      <c r="B37" s="164" t="s">
        <v>259</v>
      </c>
      <c r="C37" s="954">
        <f>SUM(hivatal7!F37+hivatal7!I37+hivatal7!L37+hivatal8!C37+hivatal8!F37+hivatal8!I37+hivatal8!L37)</f>
        <v>0</v>
      </c>
      <c r="D37" s="154">
        <f>SUM(hivatal7!G37+hivatal7!J37+hivatal7!M37+hivatal8!D37+hivatal8!G37+hivatal8!J37+hivatal8!M37)</f>
        <v>0</v>
      </c>
      <c r="E37" s="177">
        <f>SUM(hivatal7!H37+hivatal7!K37+hivatal7!N37+hivatal8!E37+hivatal8!H37+hivatal8!K37+hivatal8!N37)</f>
        <v>0</v>
      </c>
      <c r="F37" s="954">
        <f>'önállóan gazd.'!R37</f>
        <v>0</v>
      </c>
      <c r="G37" s="154">
        <f>'önállóan gazd.'!S37</f>
        <v>0</v>
      </c>
      <c r="H37" s="932">
        <f>'önállóan gazd.'!T37</f>
        <v>0</v>
      </c>
      <c r="I37" s="1264">
        <f t="shared" si="12"/>
        <v>0</v>
      </c>
      <c r="J37" s="342">
        <f t="shared" si="12"/>
        <v>0</v>
      </c>
      <c r="K37" s="1328">
        <f t="shared" si="12"/>
        <v>0</v>
      </c>
      <c r="L37" s="807"/>
    </row>
    <row r="38" spans="1:12" s="806" customFormat="1" ht="15">
      <c r="A38" s="379" t="s">
        <v>110</v>
      </c>
      <c r="B38" s="157" t="s">
        <v>419</v>
      </c>
      <c r="C38" s="1181">
        <f>SUM(hivatal7!F38+hivatal7!I38+hivatal7!L38+hivatal8!C38+hivatal8!F38+hivatal8!I38+hivatal8!L38)</f>
        <v>0</v>
      </c>
      <c r="D38" s="365">
        <f>SUM(hivatal7!G38+hivatal7!J38+hivatal7!M38+hivatal8!D38+hivatal8!G38+hivatal8!J38+hivatal8!M38)</f>
        <v>0</v>
      </c>
      <c r="E38" s="368">
        <f>SUM(hivatal7!H38+hivatal7!K38+hivatal7!N38+hivatal8!E38+hivatal8!H38+hivatal8!K38+hivatal8!N38)</f>
        <v>0</v>
      </c>
      <c r="F38" s="1181">
        <f>'önállóan gazd.'!R38</f>
        <v>0</v>
      </c>
      <c r="G38" s="365">
        <f>'önállóan gazd.'!S38</f>
        <v>0</v>
      </c>
      <c r="H38" s="172">
        <f>'önállóan gazd.'!T38</f>
        <v>0</v>
      </c>
      <c r="I38" s="1199">
        <f t="shared" si="12"/>
        <v>0</v>
      </c>
      <c r="J38" s="372">
        <f t="shared" si="12"/>
        <v>0</v>
      </c>
      <c r="K38" s="1329">
        <f t="shared" si="12"/>
        <v>0</v>
      </c>
      <c r="L38" s="807"/>
    </row>
    <row r="39" spans="1:12" s="806" customFormat="1" ht="15.75" thickBot="1">
      <c r="A39" s="169" t="s">
        <v>111</v>
      </c>
      <c r="B39" s="170" t="s">
        <v>423</v>
      </c>
      <c r="C39" s="955">
        <f>SUM(hivatal7!F39+hivatal7!I39+hivatal7!L39+hivatal8!C39+hivatal8!F39+hivatal8!I39+hivatal8!L39)</f>
        <v>190322</v>
      </c>
      <c r="D39" s="166">
        <f>SUM(hivatal7!G39+hivatal7!J39+hivatal7!M39+hivatal8!D39+hivatal8!G39+hivatal8!J39+hivatal8!M39)</f>
        <v>12284</v>
      </c>
      <c r="E39" s="272">
        <f>SUM(hivatal7!H39+hivatal7!K39+hivatal7!N39+hivatal8!E39+hivatal8!H39+hivatal8!K39+hivatal8!N39)</f>
        <v>202606</v>
      </c>
      <c r="F39" s="955">
        <f>'önállóan gazd.'!R39</f>
        <v>0</v>
      </c>
      <c r="G39" s="166">
        <f>'önállóan gazd.'!S39</f>
        <v>11153</v>
      </c>
      <c r="H39" s="933">
        <f>'önállóan gazd.'!T39</f>
        <v>11153</v>
      </c>
      <c r="I39" s="1265">
        <f t="shared" si="12"/>
        <v>190322</v>
      </c>
      <c r="J39" s="343">
        <f t="shared" si="12"/>
        <v>23437</v>
      </c>
      <c r="K39" s="1330">
        <f t="shared" si="12"/>
        <v>213759</v>
      </c>
      <c r="L39" s="807"/>
    </row>
    <row r="40" spans="1:12" s="220" customFormat="1" ht="16.5" thickBot="1">
      <c r="A40" s="357">
        <v>1</v>
      </c>
      <c r="B40" s="348" t="s">
        <v>185</v>
      </c>
      <c r="C40" s="392">
        <f>SUM(C36:C39)</f>
        <v>1908002</v>
      </c>
      <c r="D40" s="358">
        <f aca="true" t="shared" si="13" ref="D40:K40">SUM(D36:D39)</f>
        <v>57919</v>
      </c>
      <c r="E40" s="364">
        <f t="shared" si="13"/>
        <v>1965921</v>
      </c>
      <c r="F40" s="392">
        <f t="shared" si="13"/>
        <v>0</v>
      </c>
      <c r="G40" s="358">
        <f t="shared" si="13"/>
        <v>11153</v>
      </c>
      <c r="H40" s="364">
        <f t="shared" si="13"/>
        <v>11153</v>
      </c>
      <c r="I40" s="392">
        <f t="shared" si="13"/>
        <v>1908002</v>
      </c>
      <c r="J40" s="358">
        <f t="shared" si="13"/>
        <v>69072</v>
      </c>
      <c r="K40" s="1222">
        <f t="shared" si="13"/>
        <v>1977074</v>
      </c>
      <c r="L40" s="475"/>
    </row>
    <row r="41" spans="1:12" s="96" customFormat="1" ht="15">
      <c r="A41" s="171" t="s">
        <v>108</v>
      </c>
      <c r="B41" s="160" t="s">
        <v>445</v>
      </c>
      <c r="C41" s="1180">
        <f>SUM(hivatal7!F41+hivatal7!I41+hivatal7!L41+hivatal8!C41+hivatal8!F41+hivatal8!I41+hivatal8!L41)</f>
        <v>0</v>
      </c>
      <c r="D41" s="256">
        <f>SUM(hivatal7!G41+hivatal7!J41+hivatal7!M41+hivatal8!D41+hivatal8!G41+hivatal8!J41+hivatal8!M41)</f>
        <v>0</v>
      </c>
      <c r="E41" s="258">
        <f>SUM(hivatal7!H41+hivatal7!K41+hivatal7!N41+hivatal8!E41+hivatal8!H41+hivatal8!K41+hivatal8!N41)</f>
        <v>0</v>
      </c>
      <c r="F41" s="1180">
        <f>'önállóan gazd.'!R41</f>
        <v>0</v>
      </c>
      <c r="G41" s="256">
        <f>'önállóan gazd.'!S41</f>
        <v>0</v>
      </c>
      <c r="H41" s="934">
        <f>'önállóan gazd.'!T41</f>
        <v>0</v>
      </c>
      <c r="I41" s="1198">
        <f>SUM(C41+F41)</f>
        <v>0</v>
      </c>
      <c r="J41" s="344">
        <f>SUM(D41+G41)</f>
        <v>0</v>
      </c>
      <c r="K41" s="1331">
        <f>SUM(E41+H41)</f>
        <v>0</v>
      </c>
      <c r="L41" s="402"/>
    </row>
    <row r="42" spans="1:12" s="96" customFormat="1" ht="15">
      <c r="A42" s="168" t="s">
        <v>109</v>
      </c>
      <c r="B42" s="164" t="s">
        <v>420</v>
      </c>
      <c r="C42" s="1180">
        <f>SUM(hivatal7!F42+hivatal7!I42+hivatal7!L42+hivatal8!C42+hivatal8!F42+hivatal8!I42+hivatal8!L42)</f>
        <v>1721000</v>
      </c>
      <c r="D42" s="256">
        <f>SUM(hivatal7!G42+hivatal7!J42+hivatal7!M42+hivatal8!D42+hivatal8!G42+hivatal8!J42+hivatal8!M42)</f>
        <v>0</v>
      </c>
      <c r="E42" s="258">
        <f>SUM(hivatal7!H42+hivatal7!K42+hivatal7!N42+hivatal8!E42+hivatal8!H42+hivatal8!K42+hivatal8!N42)</f>
        <v>1721000</v>
      </c>
      <c r="F42" s="954">
        <f>'önállóan gazd.'!R42</f>
        <v>0</v>
      </c>
      <c r="G42" s="154">
        <f>'önállóan gazd.'!S42</f>
        <v>0</v>
      </c>
      <c r="H42" s="932">
        <f>'önállóan gazd.'!T42</f>
        <v>0</v>
      </c>
      <c r="I42" s="1264">
        <f aca="true" t="shared" si="14" ref="I42:K43">SUM(C42+F42)</f>
        <v>1721000</v>
      </c>
      <c r="J42" s="342">
        <f t="shared" si="14"/>
        <v>0</v>
      </c>
      <c r="K42" s="1328">
        <f t="shared" si="14"/>
        <v>1721000</v>
      </c>
      <c r="L42" s="402"/>
    </row>
    <row r="43" spans="1:12" s="311" customFormat="1" ht="15">
      <c r="A43" s="168" t="s">
        <v>110</v>
      </c>
      <c r="B43" s="164" t="s">
        <v>421</v>
      </c>
      <c r="C43" s="1180">
        <f>SUM(hivatal7!F43+hivatal7!I43+hivatal7!L43+hivatal8!C43+hivatal8!F43+hivatal8!I43+hivatal8!L43)</f>
        <v>4062700</v>
      </c>
      <c r="D43" s="256">
        <f>SUM(hivatal7!G43+hivatal7!J43+hivatal7!M43+hivatal8!D43+hivatal8!G43+hivatal8!J43+hivatal8!M43)</f>
        <v>0</v>
      </c>
      <c r="E43" s="258">
        <f>SUM(hivatal7!H43+hivatal7!K43+hivatal7!N43+hivatal8!E43+hivatal8!H43+hivatal8!K43+hivatal8!N43)</f>
        <v>4062700</v>
      </c>
      <c r="F43" s="954">
        <f>'önállóan gazd.'!R43</f>
        <v>0</v>
      </c>
      <c r="G43" s="154">
        <f>'önállóan gazd.'!S43</f>
        <v>0</v>
      </c>
      <c r="H43" s="932">
        <f>'önállóan gazd.'!T43</f>
        <v>0</v>
      </c>
      <c r="I43" s="1264">
        <f t="shared" si="14"/>
        <v>4062700</v>
      </c>
      <c r="J43" s="342">
        <f t="shared" si="14"/>
        <v>0</v>
      </c>
      <c r="K43" s="1328">
        <f t="shared" si="14"/>
        <v>4062700</v>
      </c>
      <c r="L43" s="477"/>
    </row>
    <row r="44" spans="1:12" s="96" customFormat="1" ht="15.75" thickBot="1">
      <c r="A44" s="169" t="s">
        <v>111</v>
      </c>
      <c r="B44" s="170" t="s">
        <v>183</v>
      </c>
      <c r="C44" s="1261">
        <f>SUM(hivatal7!F44+hivatal7!I44+hivatal7!L44+hivatal8!C44+hivatal8!F44+hivatal8!I44+hivatal8!L44)</f>
        <v>20020</v>
      </c>
      <c r="D44" s="482">
        <f>SUM(hivatal7!G44+hivatal7!J44+hivatal7!M44+hivatal8!D44+hivatal8!G44+hivatal8!J44+hivatal8!M44)</f>
        <v>3809</v>
      </c>
      <c r="E44" s="1258">
        <f>SUM(hivatal7!H44+hivatal7!K44+hivatal7!N44+hivatal8!E44+hivatal8!H44+hivatal8!K44+hivatal8!N44)</f>
        <v>23829</v>
      </c>
      <c r="F44" s="955">
        <f>'önállóan gazd.'!R44</f>
        <v>0</v>
      </c>
      <c r="G44" s="166">
        <f>'önállóan gazd.'!S44</f>
        <v>140</v>
      </c>
      <c r="H44" s="933">
        <f>'önállóan gazd.'!T44</f>
        <v>140</v>
      </c>
      <c r="I44" s="1265">
        <f>SUM(C44+F44)</f>
        <v>20020</v>
      </c>
      <c r="J44" s="343">
        <f>SUM(D44+G44)</f>
        <v>3949</v>
      </c>
      <c r="K44" s="1330">
        <f>SUM(E44+H44)</f>
        <v>23969</v>
      </c>
      <c r="L44" s="402"/>
    </row>
    <row r="45" spans="1:12" s="220" customFormat="1" ht="16.5" thickBot="1">
      <c r="A45" s="357">
        <v>2</v>
      </c>
      <c r="B45" s="348" t="s">
        <v>184</v>
      </c>
      <c r="C45" s="1200">
        <f>SUM(C41:C44)</f>
        <v>5803720</v>
      </c>
      <c r="D45" s="333">
        <f aca="true" t="shared" si="15" ref="D45:K45">SUM(D41:D44)</f>
        <v>3809</v>
      </c>
      <c r="E45" s="480">
        <f>SUM(E41:E44)</f>
        <v>5807529</v>
      </c>
      <c r="F45" s="1200">
        <f t="shared" si="15"/>
        <v>0</v>
      </c>
      <c r="G45" s="333">
        <f>SUM(G41:G44)</f>
        <v>140</v>
      </c>
      <c r="H45" s="480">
        <f t="shared" si="15"/>
        <v>140</v>
      </c>
      <c r="I45" s="1200">
        <f t="shared" si="15"/>
        <v>5803720</v>
      </c>
      <c r="J45" s="333">
        <f t="shared" si="15"/>
        <v>3949</v>
      </c>
      <c r="K45" s="1412">
        <f t="shared" si="15"/>
        <v>5807669</v>
      </c>
      <c r="L45" s="475"/>
    </row>
    <row r="46" spans="1:12" s="220" customFormat="1" ht="16.5" thickBot="1">
      <c r="A46" s="357">
        <v>3</v>
      </c>
      <c r="B46" s="348" t="s">
        <v>278</v>
      </c>
      <c r="C46" s="392">
        <f>SUM(hivatal7!F46+hivatal7!I46+hivatal7!L46+hivatal8!C46+hivatal8!F46+hivatal8!I46+hivatal8!L46)</f>
        <v>640673</v>
      </c>
      <c r="D46" s="358">
        <f>SUM(hivatal7!G46+hivatal7!J46+hivatal7!M46+hivatal8!D46+hivatal8!G46+hivatal8!J46+hivatal8!M46)</f>
        <v>33344</v>
      </c>
      <c r="E46" s="364">
        <f>SUM(hivatal7!H46+hivatal7!K46+hivatal7!N46+hivatal8!E46+hivatal8!H46+hivatal8!K46+hivatal8!N46)</f>
        <v>674017</v>
      </c>
      <c r="F46" s="1183">
        <f>'önállóan gazd.'!R46</f>
        <v>368419</v>
      </c>
      <c r="G46" s="814">
        <f>'önállóan gazd.'!S46</f>
        <v>65863</v>
      </c>
      <c r="H46" s="1262">
        <f>'önállóan gazd.'!T46</f>
        <v>434282</v>
      </c>
      <c r="I46" s="1200">
        <f aca="true" t="shared" si="16" ref="I46:K50">SUM(C46+F46)</f>
        <v>1009092</v>
      </c>
      <c r="J46" s="333">
        <f t="shared" si="16"/>
        <v>99207</v>
      </c>
      <c r="K46" s="1412">
        <f t="shared" si="16"/>
        <v>1108299</v>
      </c>
      <c r="L46" s="475"/>
    </row>
    <row r="47" spans="1:12" s="220" customFormat="1" ht="16.5" thickBot="1">
      <c r="A47" s="357">
        <v>4</v>
      </c>
      <c r="B47" s="484" t="s">
        <v>299</v>
      </c>
      <c r="C47" s="1251">
        <f>SUM(hivatal7!F47+hivatal7!I47+hivatal7!L47+hivatal8!C47+hivatal8!F47+hivatal8!I47+hivatal8!L47)</f>
        <v>0</v>
      </c>
      <c r="D47" s="849">
        <f>SUM(hivatal7!G47+hivatal7!J47+hivatal7!M47+hivatal8!D47+hivatal8!G47+hivatal8!J47+hivatal8!M47)</f>
        <v>124</v>
      </c>
      <c r="E47" s="972">
        <f>SUM(hivatal7!H47+hivatal7!K47+hivatal7!N47+hivatal8!E47+hivatal8!H47+hivatal8!K47+hivatal8!N47)</f>
        <v>124</v>
      </c>
      <c r="F47" s="392">
        <f>'önállóan gazd.'!R47</f>
        <v>0</v>
      </c>
      <c r="G47" s="358">
        <f>'önállóan gazd.'!S47</f>
        <v>0</v>
      </c>
      <c r="H47" s="364">
        <f>'önállóan gazd.'!T47</f>
        <v>0</v>
      </c>
      <c r="I47" s="1266">
        <f t="shared" si="16"/>
        <v>0</v>
      </c>
      <c r="J47" s="386">
        <f t="shared" si="16"/>
        <v>124</v>
      </c>
      <c r="K47" s="1332">
        <f t="shared" si="16"/>
        <v>124</v>
      </c>
      <c r="L47" s="475"/>
    </row>
    <row r="48" spans="1:12" s="806" customFormat="1" ht="15">
      <c r="A48" s="171" t="s">
        <v>108</v>
      </c>
      <c r="B48" s="485" t="s">
        <v>305</v>
      </c>
      <c r="C48" s="349">
        <f>SUM(hivatal7!F48+hivatal7!I48+hivatal7!L48+hivatal8!C48+hivatal8!F48+hivatal8!I48+hivatal8!L48)</f>
        <v>0</v>
      </c>
      <c r="D48" s="256">
        <f>SUM(hivatal7!G48+hivatal7!J48+hivatal7!M48+hivatal8!D48+hivatal8!G48+hivatal8!J48+hivatal8!M48)</f>
        <v>131000</v>
      </c>
      <c r="E48" s="273">
        <f>SUM(hivatal7!H48+hivatal7!K48+hivatal7!N48+hivatal8!E48+hivatal8!H48+hivatal8!K48+hivatal8!N48)</f>
        <v>131000</v>
      </c>
      <c r="F48" s="1180">
        <f>'önállóan gazd.'!R48</f>
        <v>0</v>
      </c>
      <c r="G48" s="256">
        <f>'önállóan gazd.'!S48</f>
        <v>0</v>
      </c>
      <c r="H48" s="934">
        <f>'önállóan gazd.'!T48</f>
        <v>0</v>
      </c>
      <c r="I48" s="1198">
        <f t="shared" si="16"/>
        <v>0</v>
      </c>
      <c r="J48" s="344">
        <f t="shared" si="16"/>
        <v>131000</v>
      </c>
      <c r="K48" s="1331">
        <f t="shared" si="16"/>
        <v>131000</v>
      </c>
      <c r="L48" s="807"/>
    </row>
    <row r="49" spans="1:12" s="96" customFormat="1" ht="15">
      <c r="A49" s="169" t="s">
        <v>109</v>
      </c>
      <c r="B49" s="378" t="s">
        <v>422</v>
      </c>
      <c r="C49" s="349">
        <f>SUM(hivatal7!F49+hivatal7!I49+hivatal7!L49+hivatal8!C49+hivatal8!F49+hivatal8!I49+hivatal8!L49)</f>
        <v>0</v>
      </c>
      <c r="D49" s="256">
        <f>SUM(hivatal7!G49+hivatal7!J49+hivatal7!M49+hivatal8!D49+hivatal8!G49+hivatal8!J49+hivatal8!M49)</f>
        <v>0</v>
      </c>
      <c r="E49" s="273">
        <f>SUM(hivatal7!H49+hivatal7!K49+hivatal7!N49+hivatal8!E49+hivatal8!H49+hivatal8!K49+hivatal8!N49)</f>
        <v>0</v>
      </c>
      <c r="F49" s="954">
        <f>'önállóan gazd.'!R49</f>
        <v>0</v>
      </c>
      <c r="G49" s="154">
        <f>'önállóan gazd.'!S49</f>
        <v>0</v>
      </c>
      <c r="H49" s="932">
        <f>'önállóan gazd.'!T49</f>
        <v>0</v>
      </c>
      <c r="I49" s="1264">
        <f t="shared" si="16"/>
        <v>0</v>
      </c>
      <c r="J49" s="342">
        <f t="shared" si="16"/>
        <v>0</v>
      </c>
      <c r="K49" s="1328">
        <f t="shared" si="16"/>
        <v>0</v>
      </c>
      <c r="L49" s="402"/>
    </row>
    <row r="50" spans="1:12" s="96" customFormat="1" ht="15.75" thickBot="1">
      <c r="A50" s="169" t="s">
        <v>110</v>
      </c>
      <c r="B50" s="378" t="s">
        <v>455</v>
      </c>
      <c r="C50" s="373">
        <f>SUM(hivatal7!F50+hivatal7!I50+hivatal7!L50+hivatal8!C50+hivatal8!F50+hivatal8!I50+hivatal8!L50)</f>
        <v>100000</v>
      </c>
      <c r="D50" s="365">
        <f>SUM(hivatal7!G50+hivatal7!J50+hivatal7!M50+hivatal8!D50+hivatal8!G50+hivatal8!J50+hivatal8!M50)</f>
        <v>268383</v>
      </c>
      <c r="E50" s="366">
        <f>SUM(hivatal7!H50+hivatal7!K50+hivatal7!N50+hivatal8!E50+hivatal8!H50+hivatal8!K50+hivatal8!N50)</f>
        <v>368383</v>
      </c>
      <c r="F50" s="955">
        <f>'önállóan gazd.'!R50</f>
        <v>0</v>
      </c>
      <c r="G50" s="166">
        <f>'önállóan gazd.'!S50</f>
        <v>0</v>
      </c>
      <c r="H50" s="933">
        <f>'önállóan gazd.'!T50</f>
        <v>0</v>
      </c>
      <c r="I50" s="1264">
        <f t="shared" si="16"/>
        <v>100000</v>
      </c>
      <c r="J50" s="342">
        <f t="shared" si="16"/>
        <v>268383</v>
      </c>
      <c r="K50" s="1328">
        <f t="shared" si="16"/>
        <v>368383</v>
      </c>
      <c r="L50" s="402"/>
    </row>
    <row r="51" spans="1:12" s="220" customFormat="1" ht="16.5" thickBot="1">
      <c r="A51" s="357">
        <v>5</v>
      </c>
      <c r="B51" s="484" t="s">
        <v>186</v>
      </c>
      <c r="C51" s="392">
        <f>SUM(C48:C50)</f>
        <v>100000</v>
      </c>
      <c r="D51" s="358">
        <f>SUM(D48:D50)</f>
        <v>399383</v>
      </c>
      <c r="E51" s="364">
        <f>SUM(hivatal7!H51+hivatal7!K51+hivatal7!N51+hivatal8!E51+hivatal8!H51+hivatal8!K51+hivatal8!N51)</f>
        <v>499383</v>
      </c>
      <c r="F51" s="1200">
        <f>'önállóan gazd.'!R51</f>
        <v>0</v>
      </c>
      <c r="G51" s="333">
        <f>'önállóan gazd.'!S51</f>
        <v>0</v>
      </c>
      <c r="H51" s="331">
        <f>'önállóan gazd.'!T51</f>
        <v>0</v>
      </c>
      <c r="I51" s="1200">
        <f aca="true" t="shared" si="17" ref="I51:K54">SUM(C51+F51)</f>
        <v>100000</v>
      </c>
      <c r="J51" s="333">
        <f t="shared" si="17"/>
        <v>399383</v>
      </c>
      <c r="K51" s="1412">
        <f t="shared" si="17"/>
        <v>499383</v>
      </c>
      <c r="L51" s="475"/>
    </row>
    <row r="52" spans="1:12" s="220" customFormat="1" ht="16.5" thickBot="1">
      <c r="A52" s="811">
        <v>6</v>
      </c>
      <c r="B52" s="813" t="s">
        <v>309</v>
      </c>
      <c r="C52" s="392">
        <f>SUM(hivatal7!F52+hivatal7!I52+hivatal7!L52+hivatal8!C52+hivatal8!F52+hivatal8!I52+hivatal8!L52)</f>
        <v>479116</v>
      </c>
      <c r="D52" s="358">
        <f>SUM(hivatal7!G52+hivatal7!J52+hivatal7!M52+hivatal8!D52+hivatal8!G52+hivatal8!J52+hivatal8!M52)</f>
        <v>-17872</v>
      </c>
      <c r="E52" s="364">
        <f>SUM(hivatal7!H52+hivatal7!K52+hivatal7!N52+hivatal8!E52+hivatal8!H52+hivatal8!K52+hivatal8!N52)</f>
        <v>461244</v>
      </c>
      <c r="F52" s="392">
        <f>'önállóan gazd.'!R52</f>
        <v>0</v>
      </c>
      <c r="G52" s="358">
        <f>'önállóan gazd.'!S52</f>
        <v>5016</v>
      </c>
      <c r="H52" s="364">
        <f>'önállóan gazd.'!T52</f>
        <v>5016</v>
      </c>
      <c r="I52" s="1201">
        <f t="shared" si="17"/>
        <v>479116</v>
      </c>
      <c r="J52" s="334">
        <f t="shared" si="17"/>
        <v>-12856</v>
      </c>
      <c r="K52" s="1414">
        <f t="shared" si="17"/>
        <v>466260</v>
      </c>
      <c r="L52" s="475"/>
    </row>
    <row r="53" spans="1:12" s="96" customFormat="1" ht="15">
      <c r="A53" s="152" t="s">
        <v>108</v>
      </c>
      <c r="B53" s="486" t="s">
        <v>424</v>
      </c>
      <c r="C53" s="349">
        <f>SUM(hivatal7!F53+hivatal7!I53+hivatal7!L53+hivatal8!C53+hivatal8!F53+hivatal8!I53+hivatal8!L53)</f>
        <v>1000</v>
      </c>
      <c r="D53" s="256">
        <f>SUM(hivatal7!G53+hivatal7!J53+hivatal7!M53+hivatal8!D53+hivatal8!G53+hivatal8!J53+hivatal8!M53)</f>
        <v>1373</v>
      </c>
      <c r="E53" s="273">
        <f>SUM(hivatal7!H53+hivatal7!K53+hivatal7!N53+hivatal8!E53+hivatal8!H53+hivatal8!K53+hivatal8!N53)</f>
        <v>2373</v>
      </c>
      <c r="F53" s="1180">
        <f>'önállóan gazd.'!R53</f>
        <v>0</v>
      </c>
      <c r="G53" s="256">
        <f>'önállóan gazd.'!S53</f>
        <v>0</v>
      </c>
      <c r="H53" s="934">
        <f>'önállóan gazd.'!T53</f>
        <v>0</v>
      </c>
      <c r="I53" s="1203">
        <f t="shared" si="17"/>
        <v>1000</v>
      </c>
      <c r="J53" s="393">
        <f t="shared" si="17"/>
        <v>1373</v>
      </c>
      <c r="K53" s="1333">
        <f t="shared" si="17"/>
        <v>2373</v>
      </c>
      <c r="L53" s="402"/>
    </row>
    <row r="54" spans="1:12" s="96" customFormat="1" ht="15.75" thickBot="1">
      <c r="A54" s="379" t="s">
        <v>109</v>
      </c>
      <c r="B54" s="485" t="s">
        <v>425</v>
      </c>
      <c r="C54" s="373">
        <f>SUM(hivatal7!F54+hivatal7!I54+hivatal7!L54+hivatal8!C54+hivatal8!F54+hivatal8!I54+hivatal8!L54)</f>
        <v>0</v>
      </c>
      <c r="D54" s="365">
        <f>SUM(hivatal7!G54+hivatal7!J54+hivatal7!M54+hivatal8!D54+hivatal8!G54+hivatal8!J54+hivatal8!M54)</f>
        <v>280271</v>
      </c>
      <c r="E54" s="366">
        <f>SUM(hivatal7!H54+hivatal7!K54+hivatal7!N54+hivatal8!E54+hivatal8!H54+hivatal8!K54+hivatal8!N54)</f>
        <v>280271</v>
      </c>
      <c r="F54" s="955">
        <f>'önállóan gazd.'!R54</f>
        <v>0</v>
      </c>
      <c r="G54" s="166">
        <f>'önállóan gazd.'!S54</f>
        <v>0</v>
      </c>
      <c r="H54" s="933">
        <f>'önállóan gazd.'!T54</f>
        <v>0</v>
      </c>
      <c r="I54" s="1199">
        <f t="shared" si="17"/>
        <v>0</v>
      </c>
      <c r="J54" s="372">
        <f t="shared" si="17"/>
        <v>280271</v>
      </c>
      <c r="K54" s="1329">
        <f t="shared" si="17"/>
        <v>280271</v>
      </c>
      <c r="L54" s="402"/>
    </row>
    <row r="55" spans="1:12" s="220" customFormat="1" ht="17.25" customHeight="1" thickBot="1">
      <c r="A55" s="357">
        <v>7</v>
      </c>
      <c r="B55" s="484" t="s">
        <v>189</v>
      </c>
      <c r="C55" s="392">
        <f>SUM(C53:C54)</f>
        <v>1000</v>
      </c>
      <c r="D55" s="358">
        <f>SUM(hivatal7!G55+hivatal7!J55+hivatal7!M55+hivatal8!D55+hivatal8!G55+hivatal8!J55+hivatal8!M55)</f>
        <v>281644</v>
      </c>
      <c r="E55" s="364">
        <f>SUM(hivatal7!H55+hivatal7!K55+hivatal7!N55+hivatal8!E55+hivatal8!H55+hivatal8!K55+hivatal8!N55)</f>
        <v>282644</v>
      </c>
      <c r="F55" s="1200">
        <f>'önállóan gazd.'!R55</f>
        <v>0</v>
      </c>
      <c r="G55" s="333">
        <f>'önállóan gazd.'!S55</f>
        <v>0</v>
      </c>
      <c r="H55" s="331">
        <f>'önállóan gazd.'!T55</f>
        <v>0</v>
      </c>
      <c r="I55" s="1200">
        <f>SUM(C55+F55)</f>
        <v>1000</v>
      </c>
      <c r="J55" s="333">
        <f>SUM(D55+G55)</f>
        <v>281644</v>
      </c>
      <c r="K55" s="1412">
        <f>SUM(E55+H55)</f>
        <v>282644</v>
      </c>
      <c r="L55" s="475"/>
    </row>
    <row r="56" spans="1:12" s="311" customFormat="1" ht="19.5" customHeight="1" thickBot="1">
      <c r="A56" s="762">
        <v>8</v>
      </c>
      <c r="B56" s="763" t="s">
        <v>456</v>
      </c>
      <c r="C56" s="1216">
        <f>C34-C40-C45-C46-C47-C51-C52-C55-C57-C58-C59</f>
        <v>-4889044</v>
      </c>
      <c r="D56" s="1217">
        <f>D34-D40-D45-D46-D47-D51-D52-D55-D57-D58-D59</f>
        <v>-67507</v>
      </c>
      <c r="E56" s="1214">
        <f aca="true" t="shared" si="18" ref="E56:K56">E34-E40-E45-E46-E47-E51-E52-E55-E57-E58-E59</f>
        <v>-4956551</v>
      </c>
      <c r="F56" s="1216">
        <f t="shared" si="18"/>
        <v>4889044</v>
      </c>
      <c r="G56" s="1217">
        <f t="shared" si="18"/>
        <v>67507</v>
      </c>
      <c r="H56" s="1214">
        <f t="shared" si="18"/>
        <v>4956551</v>
      </c>
      <c r="I56" s="1239">
        <f t="shared" si="18"/>
        <v>0</v>
      </c>
      <c r="J56" s="1241">
        <f t="shared" si="18"/>
        <v>0</v>
      </c>
      <c r="K56" s="1229">
        <f t="shared" si="18"/>
        <v>0</v>
      </c>
      <c r="L56" s="477"/>
    </row>
    <row r="57" spans="1:12" s="220" customFormat="1" ht="15.75">
      <c r="A57" s="380" t="s">
        <v>427</v>
      </c>
      <c r="B57" s="381" t="s">
        <v>192</v>
      </c>
      <c r="C57" s="349">
        <f>SUM(hivatal7!F57+hivatal7!I57+hivatal7!L57+hivatal8!C57+hivatal8!F57+hivatal8!I57+hivatal8!L57)</f>
        <v>678811</v>
      </c>
      <c r="D57" s="256">
        <f>SUM(hivatal7!G57+hivatal7!J57+hivatal7!M57+hivatal8!D57+hivatal8!G57+hivatal8!J57+hivatal8!M57)</f>
        <v>0</v>
      </c>
      <c r="E57" s="273">
        <f>SUM(hivatal7!H57+hivatal7!K57+hivatal7!N57+hivatal8!E57+hivatal8!H57+hivatal8!K57+hivatal8!N57)</f>
        <v>678811</v>
      </c>
      <c r="F57" s="954">
        <f>'önállóan gazd.'!R57</f>
        <v>18157</v>
      </c>
      <c r="G57" s="154">
        <f>'önállóan gazd.'!S57</f>
        <v>0</v>
      </c>
      <c r="H57" s="932">
        <f>'önállóan gazd.'!T57</f>
        <v>18157</v>
      </c>
      <c r="I57" s="1267">
        <f aca="true" t="shared" si="19" ref="I57:K59">SUM(C57+F57)</f>
        <v>696968</v>
      </c>
      <c r="J57" s="1270">
        <f t="shared" si="19"/>
        <v>0</v>
      </c>
      <c r="K57" s="851">
        <f t="shared" si="19"/>
        <v>696968</v>
      </c>
      <c r="L57" s="475"/>
    </row>
    <row r="58" spans="1:12" s="220" customFormat="1" ht="15.75">
      <c r="A58" s="380" t="s">
        <v>191</v>
      </c>
      <c r="B58" s="381" t="s">
        <v>426</v>
      </c>
      <c r="C58" s="256">
        <f>SUM(hivatal7!F58+hivatal7!I58+hivatal7!L58+hivatal8!C58+hivatal8!F58+hivatal8!I58+hivatal8!L58)</f>
        <v>7000000</v>
      </c>
      <c r="D58" s="256">
        <f>SUM(hivatal7!G58+hivatal7!J58+hivatal7!M58+hivatal8!D58+hivatal8!G58+hivatal8!J58+hivatal8!M58)</f>
        <v>0</v>
      </c>
      <c r="E58" s="256">
        <f>SUM(hivatal7!H58+hivatal7!K58+hivatal7!N58+hivatal8!E58+hivatal8!H58+hivatal8!K58+hivatal8!N58)</f>
        <v>7000000</v>
      </c>
      <c r="F58" s="954">
        <f>'önállóan gazd.'!R58</f>
        <v>0</v>
      </c>
      <c r="G58" s="154">
        <f>'önállóan gazd.'!S58</f>
        <v>0</v>
      </c>
      <c r="H58" s="932">
        <f>'önállóan gazd.'!T58</f>
        <v>0</v>
      </c>
      <c r="I58" s="1268">
        <f t="shared" si="19"/>
        <v>7000000</v>
      </c>
      <c r="J58" s="335">
        <f t="shared" si="19"/>
        <v>0</v>
      </c>
      <c r="K58" s="488">
        <f t="shared" si="19"/>
        <v>7000000</v>
      </c>
      <c r="L58" s="475"/>
    </row>
    <row r="59" spans="1:12" s="220" customFormat="1" ht="16.5" thickBot="1">
      <c r="A59" s="396">
        <v>10</v>
      </c>
      <c r="B59" s="397"/>
      <c r="C59" s="489">
        <f>SUM(hivatal7!F59+hivatal7!I59+hivatal7!L59+hivatal8!C59+hivatal8!F59+hivatal8!I59+hivatal8!L59)</f>
        <v>0</v>
      </c>
      <c r="D59" s="490">
        <f>SUM(hivatal7!G59+hivatal7!J59+hivatal7!M59+hivatal8!D59+hivatal8!G59+hivatal8!J59+hivatal8!M59)</f>
        <v>0</v>
      </c>
      <c r="E59" s="491">
        <f>SUM(hivatal7!H59+hivatal7!K59+hivatal7!N59+hivatal8!E59+hivatal8!H59+hivatal8!K59+hivatal8!N59)</f>
        <v>0</v>
      </c>
      <c r="F59" s="489">
        <f>'önállóan gazd.'!R59</f>
        <v>0</v>
      </c>
      <c r="G59" s="490">
        <f>'önállóan gazd.'!S59</f>
        <v>0</v>
      </c>
      <c r="H59" s="491">
        <f>'önállóan gazd.'!T59</f>
        <v>0</v>
      </c>
      <c r="I59" s="492">
        <f t="shared" si="19"/>
        <v>0</v>
      </c>
      <c r="J59" s="493">
        <f t="shared" si="19"/>
        <v>0</v>
      </c>
      <c r="K59" s="494">
        <f t="shared" si="19"/>
        <v>0</v>
      </c>
      <c r="L59" s="475"/>
    </row>
    <row r="60" spans="1:12" s="167" customFormat="1" ht="17.25" thickBot="1" thickTop="1">
      <c r="A60" s="387" t="s">
        <v>119</v>
      </c>
      <c r="B60" s="390" t="s">
        <v>190</v>
      </c>
      <c r="C60" s="424">
        <f>C40+C45+C46+C47+C51+C52+C55+C56+C57+C58+C59</f>
        <v>11722278</v>
      </c>
      <c r="D60" s="425">
        <f aca="true" t="shared" si="20" ref="D60:J60">D40+D45+D46+D47+D51+D52+D55+D56+D57+D58+D59</f>
        <v>690844</v>
      </c>
      <c r="E60" s="496">
        <f t="shared" si="20"/>
        <v>12413122</v>
      </c>
      <c r="F60" s="495">
        <f t="shared" si="20"/>
        <v>5275620</v>
      </c>
      <c r="G60" s="827">
        <f t="shared" si="20"/>
        <v>149679</v>
      </c>
      <c r="H60" s="496">
        <f t="shared" si="20"/>
        <v>5425299</v>
      </c>
      <c r="I60" s="424">
        <f t="shared" si="20"/>
        <v>16997898</v>
      </c>
      <c r="J60" s="425">
        <f t="shared" si="20"/>
        <v>840523</v>
      </c>
      <c r="K60" s="828">
        <f>K40+K45+K46+K47+K51+K52+K55+K56+K57+K58+K59</f>
        <v>17838421</v>
      </c>
      <c r="L60" s="475"/>
    </row>
    <row r="61" spans="1:12" s="96" customFormat="1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850"/>
      <c r="J61" s="850"/>
      <c r="K61" s="180"/>
      <c r="L61" s="402"/>
    </row>
    <row r="62" spans="1:12" s="96" customFormat="1" ht="17.25" thickBot="1" thickTop="1">
      <c r="A62" s="182"/>
      <c r="B62" s="183" t="s">
        <v>580</v>
      </c>
      <c r="C62" s="1253">
        <f>SUM(hivatal7!F62+hivatal7!I62+hivatal7!L62+hivatal8!C62+hivatal8!F62+hivatal8!I62)</f>
        <v>33</v>
      </c>
      <c r="D62" s="217">
        <f>SUM(hivatal7!G62+hivatal7!J62+hivatal7!M62+hivatal8!D62+hivatal8!G62+hivatal8!J62)</f>
        <v>0</v>
      </c>
      <c r="E62" s="1252">
        <f>SUM(hivatal7!H62+hivatal7!K62+hivatal7!N62+hivatal8!E62+hivatal8!H62+hivatal8!K62)</f>
        <v>33</v>
      </c>
      <c r="F62" s="497">
        <f>'önállóan gazd.'!R62</f>
        <v>777.5</v>
      </c>
      <c r="G62" s="498">
        <f>'önállóan gazd.'!S62</f>
        <v>11</v>
      </c>
      <c r="H62" s="499">
        <f>'önállóan gazd.'!T62</f>
        <v>788.5</v>
      </c>
      <c r="I62" s="497">
        <f aca="true" t="shared" si="21" ref="I62:K63">SUM(C62+F62)</f>
        <v>810.5</v>
      </c>
      <c r="J62" s="500">
        <f t="shared" si="21"/>
        <v>11</v>
      </c>
      <c r="K62" s="501">
        <f t="shared" si="21"/>
        <v>821.5</v>
      </c>
      <c r="L62" s="402"/>
    </row>
    <row r="63" spans="1:12" s="96" customFormat="1" ht="17.25" thickBot="1" thickTop="1">
      <c r="A63" s="182"/>
      <c r="B63" s="183" t="s">
        <v>581</v>
      </c>
      <c r="C63" s="1253">
        <f>SUM(hivatal7!F63+hivatal7!I63+hivatal7!L63+hivatal8!C63+hivatal8!F63+hivatal8!I63)</f>
        <v>15</v>
      </c>
      <c r="D63" s="1643">
        <f>SUM(hivatal7!G63+hivatal7!J63+hivatal7!M63+hivatal8!D63+hivatal8!G63+hivatal8!J63)</f>
        <v>0</v>
      </c>
      <c r="E63" s="1252">
        <f>SUM(hivatal7!H63+hivatal7!K63+hivatal7!N63+hivatal8!E63+hivatal8!H63+hivatal8!K63)</f>
        <v>15</v>
      </c>
      <c r="F63" s="497">
        <f>'önállóan gazd.'!R63</f>
        <v>0</v>
      </c>
      <c r="G63" s="498">
        <f>'önállóan gazd.'!S63</f>
        <v>0</v>
      </c>
      <c r="H63" s="499">
        <f>'önállóan gazd.'!T63</f>
        <v>0</v>
      </c>
      <c r="I63" s="502">
        <f t="shared" si="21"/>
        <v>15</v>
      </c>
      <c r="J63" s="503">
        <f t="shared" si="21"/>
        <v>0</v>
      </c>
      <c r="K63" s="504">
        <f t="shared" si="21"/>
        <v>15</v>
      </c>
      <c r="L63" s="402"/>
    </row>
    <row r="64" spans="1:12" s="96" customFormat="1" ht="16.5" thickTop="1">
      <c r="A64" s="465"/>
      <c r="D64" s="112"/>
      <c r="L64" s="402"/>
    </row>
    <row r="65" spans="1:12" s="96" customFormat="1" ht="15.75">
      <c r="A65" s="465"/>
      <c r="C65" s="112">
        <f>SUM(C36:C59)</f>
        <v>19535000</v>
      </c>
      <c r="G65" s="112"/>
      <c r="J65" s="112">
        <f>SUM(J36:J55)+J58</f>
        <v>1594571</v>
      </c>
      <c r="L65" s="402"/>
    </row>
    <row r="66" spans="1:12" s="96" customFormat="1" ht="12.75">
      <c r="A66" s="466"/>
      <c r="L66" s="402"/>
    </row>
    <row r="67" spans="1:12" s="96" customFormat="1" ht="12.75">
      <c r="A67" s="466"/>
      <c r="L67" s="402"/>
    </row>
    <row r="68" spans="1:12" s="96" customFormat="1" ht="12.75">
      <c r="A68" s="466"/>
      <c r="L68" s="402"/>
    </row>
    <row r="69" spans="1:12" s="96" customFormat="1" ht="12.75">
      <c r="A69" s="466"/>
      <c r="L69" s="402"/>
    </row>
    <row r="70" spans="1:12" s="96" customFormat="1" ht="12.75">
      <c r="A70" s="466"/>
      <c r="L70" s="402"/>
    </row>
    <row r="71" spans="1:12" s="96" customFormat="1" ht="12.75">
      <c r="A71" s="466"/>
      <c r="L71" s="402"/>
    </row>
    <row r="72" spans="1:12" s="96" customFormat="1" ht="12.75">
      <c r="A72" s="466"/>
      <c r="L72" s="402"/>
    </row>
    <row r="73" spans="1:12" s="96" customFormat="1" ht="12.75">
      <c r="A73" s="466"/>
      <c r="L73" s="402"/>
    </row>
    <row r="74" spans="1:12" s="96" customFormat="1" ht="12.75">
      <c r="A74" s="466"/>
      <c r="L74" s="402"/>
    </row>
    <row r="75" spans="1:12" s="96" customFormat="1" ht="12.75">
      <c r="A75" s="466"/>
      <c r="L75" s="402"/>
    </row>
    <row r="76" spans="1:12" s="96" customFormat="1" ht="12.75">
      <c r="A76" s="466"/>
      <c r="L76" s="402"/>
    </row>
    <row r="77" spans="1:12" s="96" customFormat="1" ht="12.75">
      <c r="A77" s="466"/>
      <c r="L77" s="402"/>
    </row>
    <row r="78" spans="1:12" s="96" customFormat="1" ht="12.75">
      <c r="A78" s="466"/>
      <c r="L78" s="402"/>
    </row>
    <row r="79" spans="1:12" s="96" customFormat="1" ht="12.75">
      <c r="A79" s="466"/>
      <c r="L79" s="402"/>
    </row>
    <row r="80" spans="1:12" s="96" customFormat="1" ht="12.75">
      <c r="A80" s="466"/>
      <c r="L80" s="402"/>
    </row>
    <row r="81" spans="1:12" s="96" customFormat="1" ht="12.75">
      <c r="A81" s="466"/>
      <c r="L81" s="402"/>
    </row>
    <row r="82" spans="1:12" s="96" customFormat="1" ht="12.75">
      <c r="A82" s="466"/>
      <c r="L82" s="402"/>
    </row>
    <row r="83" spans="1:12" s="96" customFormat="1" ht="12.75">
      <c r="A83" s="466"/>
      <c r="L83" s="402"/>
    </row>
    <row r="84" spans="1:12" s="96" customFormat="1" ht="12.75">
      <c r="A84" s="466"/>
      <c r="L84" s="402"/>
    </row>
    <row r="85" spans="1:12" s="96" customFormat="1" ht="12.75">
      <c r="A85" s="466"/>
      <c r="L85" s="402"/>
    </row>
    <row r="86" spans="1:12" s="96" customFormat="1" ht="12.75">
      <c r="A86" s="466"/>
      <c r="L86" s="402"/>
    </row>
    <row r="87" spans="1:12" s="96" customFormat="1" ht="12.75">
      <c r="A87" s="466"/>
      <c r="L87" s="402"/>
    </row>
    <row r="88" spans="1:12" s="96" customFormat="1" ht="12.75">
      <c r="A88" s="466"/>
      <c r="L88" s="402"/>
    </row>
    <row r="89" spans="1:12" s="96" customFormat="1" ht="12.75">
      <c r="A89" s="466"/>
      <c r="L89" s="402"/>
    </row>
    <row r="90" spans="1:12" s="96" customFormat="1" ht="12.75">
      <c r="A90" s="466"/>
      <c r="L90" s="402"/>
    </row>
    <row r="91" spans="1:21" s="96" customFormat="1" ht="12.75">
      <c r="A91" s="466"/>
      <c r="L91" s="402"/>
      <c r="M91" s="402"/>
      <c r="N91" s="402"/>
      <c r="O91" s="402"/>
      <c r="P91" s="402"/>
      <c r="Q91" s="402"/>
      <c r="R91" s="402"/>
      <c r="S91" s="402"/>
      <c r="T91" s="402"/>
      <c r="U91" s="402"/>
    </row>
    <row r="92" spans="1:21" s="96" customFormat="1" ht="12.75">
      <c r="A92" s="466"/>
      <c r="L92" s="402"/>
      <c r="M92" s="402"/>
      <c r="N92" s="402"/>
      <c r="O92" s="402"/>
      <c r="P92" s="402"/>
      <c r="Q92" s="402"/>
      <c r="R92" s="402"/>
      <c r="S92" s="402"/>
      <c r="T92" s="402"/>
      <c r="U92" s="402"/>
    </row>
    <row r="93" spans="1:21" s="96" customFormat="1" ht="12.75">
      <c r="A93" s="466"/>
      <c r="L93" s="402"/>
      <c r="M93" s="402"/>
      <c r="N93" s="402"/>
      <c r="O93" s="402"/>
      <c r="P93" s="402"/>
      <c r="Q93" s="402"/>
      <c r="R93" s="402"/>
      <c r="S93" s="402"/>
      <c r="T93" s="402"/>
      <c r="U93" s="402"/>
    </row>
    <row r="94" spans="1:21" s="96" customFormat="1" ht="12.75">
      <c r="A94" s="466"/>
      <c r="L94" s="402"/>
      <c r="M94" s="402"/>
      <c r="N94" s="402"/>
      <c r="O94" s="402"/>
      <c r="P94" s="402"/>
      <c r="Q94" s="402"/>
      <c r="R94" s="402"/>
      <c r="S94" s="402"/>
      <c r="T94" s="402"/>
      <c r="U94" s="402"/>
    </row>
    <row r="95" spans="1:21" s="96" customFormat="1" ht="12.75">
      <c r="A95" s="466"/>
      <c r="L95" s="402"/>
      <c r="M95" s="402"/>
      <c r="N95" s="402"/>
      <c r="O95" s="402"/>
      <c r="P95" s="402"/>
      <c r="Q95" s="402"/>
      <c r="R95" s="402"/>
      <c r="S95" s="402"/>
      <c r="T95" s="402"/>
      <c r="U95" s="402"/>
    </row>
    <row r="96" spans="1:21" s="96" customFormat="1" ht="12.75">
      <c r="A96" s="466"/>
      <c r="L96" s="402"/>
      <c r="M96" s="402"/>
      <c r="N96" s="402"/>
      <c r="O96" s="402"/>
      <c r="P96" s="402"/>
      <c r="Q96" s="402"/>
      <c r="R96" s="402"/>
      <c r="S96" s="402"/>
      <c r="T96" s="402"/>
      <c r="U96" s="402"/>
    </row>
    <row r="97" spans="1:21" s="96" customFormat="1" ht="12.75">
      <c r="A97" s="466"/>
      <c r="L97" s="402"/>
      <c r="M97" s="402"/>
      <c r="N97" s="402"/>
      <c r="O97" s="402"/>
      <c r="P97" s="402"/>
      <c r="Q97" s="402"/>
      <c r="R97" s="402"/>
      <c r="S97" s="402"/>
      <c r="T97" s="402"/>
      <c r="U97" s="402"/>
    </row>
    <row r="98" spans="1:21" s="96" customFormat="1" ht="12.75">
      <c r="A98" s="466"/>
      <c r="L98" s="402"/>
      <c r="M98" s="402"/>
      <c r="N98" s="402"/>
      <c r="O98" s="402"/>
      <c r="P98" s="402"/>
      <c r="Q98" s="402"/>
      <c r="R98" s="402"/>
      <c r="S98" s="402"/>
      <c r="T98" s="402"/>
      <c r="U98" s="402"/>
    </row>
    <row r="99" spans="1:21" s="96" customFormat="1" ht="12.75">
      <c r="A99" s="466"/>
      <c r="L99" s="402"/>
      <c r="M99" s="402"/>
      <c r="N99" s="402"/>
      <c r="O99" s="402"/>
      <c r="P99" s="402"/>
      <c r="Q99" s="402"/>
      <c r="R99" s="402"/>
      <c r="S99" s="402"/>
      <c r="T99" s="402"/>
      <c r="U99" s="402"/>
    </row>
    <row r="100" spans="1:21" s="96" customFormat="1" ht="12.75">
      <c r="A100" s="466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</row>
    <row r="101" spans="1:21" s="96" customFormat="1" ht="12.75">
      <c r="A101" s="466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</row>
    <row r="102" spans="1:21" s="96" customFormat="1" ht="12.75">
      <c r="A102" s="466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</row>
    <row r="103" spans="1:21" s="96" customFormat="1" ht="12.75">
      <c r="A103" s="466"/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</row>
    <row r="104" spans="1:21" s="96" customFormat="1" ht="12.75">
      <c r="A104" s="466"/>
      <c r="L104" s="402"/>
      <c r="M104" s="402"/>
      <c r="N104" s="402"/>
      <c r="O104" s="402"/>
      <c r="P104" s="402"/>
      <c r="Q104" s="402"/>
      <c r="R104" s="402"/>
      <c r="S104" s="402"/>
      <c r="T104" s="402"/>
      <c r="U104" s="402"/>
    </row>
    <row r="105" spans="1:21" s="96" customFormat="1" ht="12.75">
      <c r="A105" s="466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</row>
    <row r="106" spans="1:21" s="96" customFormat="1" ht="12.75">
      <c r="A106" s="466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</row>
  </sheetData>
  <sheetProtection/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3"/>
  <sheetViews>
    <sheetView showGridLines="0" zoomScalePageLayoutView="0" workbookViewId="0" topLeftCell="A1">
      <pane xSplit="3" ySplit="8" topLeftCell="D5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2.50390625" style="0" customWidth="1"/>
    <col min="2" max="2" width="3.50390625" style="22" customWidth="1"/>
    <col min="3" max="3" width="69.50390625" style="22" customWidth="1"/>
    <col min="4" max="6" width="13.875" style="22" customWidth="1"/>
  </cols>
  <sheetData>
    <row r="1" spans="2:6" ht="10.5" customHeight="1">
      <c r="B1" s="39"/>
      <c r="F1" s="110" t="s">
        <v>872</v>
      </c>
    </row>
    <row r="2" spans="2:6" ht="12" customHeight="1">
      <c r="B2" s="39"/>
      <c r="F2" s="110" t="s">
        <v>102</v>
      </c>
    </row>
    <row r="3" ht="23.25" customHeight="1">
      <c r="B3" s="39"/>
    </row>
    <row r="4" spans="1:6" s="96" customFormat="1" ht="33" customHeight="1">
      <c r="A4" s="135"/>
      <c r="B4" s="1866" t="s">
        <v>360</v>
      </c>
      <c r="C4" s="1866"/>
      <c r="D4" s="1866"/>
      <c r="E4" s="1866"/>
      <c r="F4" s="1866"/>
    </row>
    <row r="5" spans="1:6" s="638" customFormat="1" ht="19.5" customHeight="1">
      <c r="A5" s="748"/>
      <c r="B5" s="858" t="s">
        <v>573</v>
      </c>
      <c r="C5" s="747"/>
      <c r="D5" s="749"/>
      <c r="E5" s="749"/>
      <c r="F5" s="750"/>
    </row>
    <row r="6" spans="3:6" ht="21" customHeight="1" thickBot="1">
      <c r="C6" s="40"/>
      <c r="D6" s="41"/>
      <c r="E6" s="41"/>
      <c r="F6" s="323" t="s">
        <v>145</v>
      </c>
    </row>
    <row r="7" spans="2:6" ht="26.25" thickBot="1">
      <c r="B7" s="89" t="s">
        <v>162</v>
      </c>
      <c r="C7" s="90"/>
      <c r="D7" s="266" t="s">
        <v>805</v>
      </c>
      <c r="E7" s="1096" t="s">
        <v>141</v>
      </c>
      <c r="F7" s="1097" t="s">
        <v>665</v>
      </c>
    </row>
    <row r="8" spans="2:6" ht="13.5" thickBot="1">
      <c r="B8" s="86"/>
      <c r="C8" s="87">
        <v>1</v>
      </c>
      <c r="D8" s="88">
        <v>2</v>
      </c>
      <c r="E8" s="88">
        <v>3</v>
      </c>
      <c r="F8" s="88">
        <v>4</v>
      </c>
    </row>
    <row r="9" spans="2:6" ht="12.75">
      <c r="B9" s="82"/>
      <c r="C9" s="1528" t="s">
        <v>66</v>
      </c>
      <c r="D9" s="78">
        <v>33100</v>
      </c>
      <c r="E9" s="78">
        <v>-19000</v>
      </c>
      <c r="F9" s="145">
        <f aca="true" t="shared" si="0" ref="F9:F15">SUM(D9:E9)</f>
        <v>14100</v>
      </c>
    </row>
    <row r="10" spans="2:6" ht="12.75">
      <c r="B10" s="82"/>
      <c r="C10" s="1528" t="s">
        <v>203</v>
      </c>
      <c r="D10" s="78">
        <v>14000</v>
      </c>
      <c r="E10" s="78">
        <v>3742</v>
      </c>
      <c r="F10" s="145">
        <f t="shared" si="0"/>
        <v>17742</v>
      </c>
    </row>
    <row r="11" spans="2:6" ht="12.75">
      <c r="B11" s="82"/>
      <c r="C11" s="1528" t="s">
        <v>700</v>
      </c>
      <c r="D11" s="78">
        <v>34000</v>
      </c>
      <c r="E11" s="78">
        <v>-2000</v>
      </c>
      <c r="F11" s="145">
        <f t="shared" si="0"/>
        <v>32000</v>
      </c>
    </row>
    <row r="12" spans="2:6" ht="12.75">
      <c r="B12" s="82"/>
      <c r="C12" s="1526" t="s">
        <v>697</v>
      </c>
      <c r="D12" s="78">
        <v>8000</v>
      </c>
      <c r="E12" s="78"/>
      <c r="F12" s="121">
        <f t="shared" si="0"/>
        <v>8000</v>
      </c>
    </row>
    <row r="13" spans="2:6" ht="12.75">
      <c r="B13" s="82"/>
      <c r="C13" s="1526" t="s">
        <v>698</v>
      </c>
      <c r="D13" s="78">
        <v>1514</v>
      </c>
      <c r="E13" s="78"/>
      <c r="F13" s="121">
        <f t="shared" si="0"/>
        <v>1514</v>
      </c>
    </row>
    <row r="14" spans="2:6" ht="25.5">
      <c r="B14" s="82"/>
      <c r="C14" s="1526" t="s">
        <v>811</v>
      </c>
      <c r="D14" s="78"/>
      <c r="E14" s="78">
        <f>9595-1254</f>
        <v>8341</v>
      </c>
      <c r="F14" s="121">
        <f t="shared" si="0"/>
        <v>8341</v>
      </c>
    </row>
    <row r="15" spans="2:6" ht="25.5">
      <c r="B15" s="82"/>
      <c r="C15" s="1526" t="s">
        <v>812</v>
      </c>
      <c r="D15" s="78"/>
      <c r="E15" s="78">
        <v>11659</v>
      </c>
      <c r="F15" s="121">
        <f t="shared" si="0"/>
        <v>11659</v>
      </c>
    </row>
    <row r="16" spans="2:6" ht="13.5" thickBot="1">
      <c r="B16" s="1524"/>
      <c r="C16" s="1527" t="s">
        <v>699</v>
      </c>
      <c r="D16" s="1525">
        <f>SUM(D12:D15)</f>
        <v>9514</v>
      </c>
      <c r="E16" s="1525">
        <f>SUM(E12:E15)</f>
        <v>20000</v>
      </c>
      <c r="F16" s="1525">
        <f>SUM(F12:F15)</f>
        <v>29514</v>
      </c>
    </row>
    <row r="17" spans="2:9" ht="13.5" thickBot="1">
      <c r="B17" s="122">
        <v>1</v>
      </c>
      <c r="C17" s="123" t="s">
        <v>696</v>
      </c>
      <c r="D17" s="111">
        <f>D9+D10+D11+D16</f>
        <v>90614</v>
      </c>
      <c r="E17" s="111">
        <f>E9+E10+E11+E16</f>
        <v>2742</v>
      </c>
      <c r="F17" s="111">
        <f>F9+F10+F11+F16</f>
        <v>93356</v>
      </c>
      <c r="G17" s="18">
        <f>SUM(D17:E17)</f>
        <v>93356</v>
      </c>
      <c r="H17" s="18">
        <f>hivatal9!K30</f>
        <v>93356</v>
      </c>
      <c r="I17" s="18"/>
    </row>
    <row r="18" spans="2:9" ht="13.5" thickBot="1">
      <c r="B18" s="82"/>
      <c r="C18" s="1522" t="s">
        <v>701</v>
      </c>
      <c r="D18" s="1654">
        <v>153125</v>
      </c>
      <c r="E18" s="1654"/>
      <c r="F18" s="1523">
        <f>SUM(D18:E18)</f>
        <v>153125</v>
      </c>
      <c r="G18" s="18"/>
      <c r="H18" s="18"/>
      <c r="I18" s="18"/>
    </row>
    <row r="19" spans="2:9" ht="13.5" thickBot="1">
      <c r="B19" s="124">
        <v>2</v>
      </c>
      <c r="C19" s="125" t="s">
        <v>695</v>
      </c>
      <c r="D19" s="111">
        <f>SUM(D18)</f>
        <v>153125</v>
      </c>
      <c r="E19" s="111">
        <f>SUM(E18)</f>
        <v>0</v>
      </c>
      <c r="F19" s="111">
        <f>SUM(F18)</f>
        <v>153125</v>
      </c>
      <c r="G19" s="18">
        <f>SUM(D19:E19)</f>
        <v>153125</v>
      </c>
      <c r="H19" s="18">
        <f>hivatal9!K28</f>
        <v>153125</v>
      </c>
      <c r="I19" s="18"/>
    </row>
    <row r="20" spans="2:8" ht="13.5" thickBot="1">
      <c r="B20" s="127" t="s">
        <v>118</v>
      </c>
      <c r="C20" s="130" t="s">
        <v>465</v>
      </c>
      <c r="D20" s="117">
        <f>D17+D19</f>
        <v>243739</v>
      </c>
      <c r="E20" s="117">
        <f>E17+E19</f>
        <v>2742</v>
      </c>
      <c r="F20" s="117">
        <f>F17+F19</f>
        <v>246481</v>
      </c>
      <c r="G20" s="18">
        <f>SUM(D20:E20)</f>
        <v>246481</v>
      </c>
      <c r="H20" s="18"/>
    </row>
    <row r="21" spans="2:6" ht="12.75">
      <c r="B21" s="82"/>
      <c r="C21" s="104" t="s">
        <v>67</v>
      </c>
      <c r="D21" s="74">
        <v>159480</v>
      </c>
      <c r="E21" s="78">
        <v>19000</v>
      </c>
      <c r="F21" s="74">
        <f aca="true" t="shared" si="1" ref="F21:F26">SUM(D21:E21)</f>
        <v>178480</v>
      </c>
    </row>
    <row r="22" spans="2:6" ht="13.5" customHeight="1">
      <c r="B22" s="82"/>
      <c r="C22" s="104" t="s">
        <v>347</v>
      </c>
      <c r="D22" s="74">
        <v>296900</v>
      </c>
      <c r="E22" s="77"/>
      <c r="F22" s="74">
        <f t="shared" si="1"/>
        <v>296900</v>
      </c>
    </row>
    <row r="23" spans="2:6" ht="12.75">
      <c r="B23" s="103"/>
      <c r="C23" s="104" t="s">
        <v>173</v>
      </c>
      <c r="D23" s="74"/>
      <c r="E23" s="74"/>
      <c r="F23" s="74">
        <f>SUM(D23:E23)</f>
        <v>0</v>
      </c>
    </row>
    <row r="24" spans="2:6" ht="12.75">
      <c r="B24" s="103"/>
      <c r="C24" s="42" t="s">
        <v>481</v>
      </c>
      <c r="D24" s="78">
        <v>7000</v>
      </c>
      <c r="E24" s="78">
        <v>-315</v>
      </c>
      <c r="F24" s="78">
        <f>SUM(D24:E24)</f>
        <v>6685</v>
      </c>
    </row>
    <row r="25" spans="2:6" ht="12.75">
      <c r="B25" s="103"/>
      <c r="C25" s="42" t="s">
        <v>174</v>
      </c>
      <c r="D25" s="78">
        <v>2065</v>
      </c>
      <c r="E25" s="78"/>
      <c r="F25" s="78">
        <f t="shared" si="1"/>
        <v>2065</v>
      </c>
    </row>
    <row r="26" spans="2:6" ht="12.75">
      <c r="B26" s="103"/>
      <c r="C26" s="42" t="s">
        <v>175</v>
      </c>
      <c r="D26" s="78">
        <v>1600</v>
      </c>
      <c r="E26" s="78"/>
      <c r="F26" s="78">
        <f t="shared" si="1"/>
        <v>1600</v>
      </c>
    </row>
    <row r="27" spans="2:6" ht="12.75">
      <c r="B27" s="103"/>
      <c r="C27" s="42" t="s">
        <v>176</v>
      </c>
      <c r="D27" s="78">
        <v>4737</v>
      </c>
      <c r="E27" s="78"/>
      <c r="F27" s="78">
        <f aca="true" t="shared" si="2" ref="F27:F32">SUM(D27:E27)</f>
        <v>4737</v>
      </c>
    </row>
    <row r="28" spans="2:6" ht="12.75">
      <c r="B28" s="103"/>
      <c r="C28" s="42" t="s">
        <v>703</v>
      </c>
      <c r="D28" s="1377">
        <v>500</v>
      </c>
      <c r="E28" s="78"/>
      <c r="F28" s="78">
        <f t="shared" si="2"/>
        <v>500</v>
      </c>
    </row>
    <row r="29" spans="2:6" ht="12.75">
      <c r="B29" s="103"/>
      <c r="C29" s="42" t="s">
        <v>178</v>
      </c>
      <c r="D29" s="78">
        <v>4461</v>
      </c>
      <c r="E29" s="78"/>
      <c r="F29" s="78">
        <f t="shared" si="2"/>
        <v>4461</v>
      </c>
    </row>
    <row r="30" spans="2:6" ht="12.75">
      <c r="B30" s="103"/>
      <c r="C30" s="42" t="s">
        <v>177</v>
      </c>
      <c r="D30" s="78">
        <v>4064</v>
      </c>
      <c r="E30" s="78"/>
      <c r="F30" s="78">
        <f t="shared" si="2"/>
        <v>4064</v>
      </c>
    </row>
    <row r="31" spans="2:6" ht="12.75">
      <c r="B31" s="103"/>
      <c r="C31" s="42" t="s">
        <v>100</v>
      </c>
      <c r="D31" s="78">
        <v>1000</v>
      </c>
      <c r="E31" s="78"/>
      <c r="F31" s="78">
        <f t="shared" si="2"/>
        <v>1000</v>
      </c>
    </row>
    <row r="32" spans="2:6" ht="12.75">
      <c r="B32" s="103"/>
      <c r="C32" s="42" t="s">
        <v>83</v>
      </c>
      <c r="D32" s="78">
        <v>1000</v>
      </c>
      <c r="E32" s="78"/>
      <c r="F32" s="78">
        <f t="shared" si="2"/>
        <v>1000</v>
      </c>
    </row>
    <row r="33" spans="2:6" ht="12.75">
      <c r="B33" s="103"/>
      <c r="C33" s="42" t="s">
        <v>702</v>
      </c>
      <c r="D33" s="78">
        <v>10000</v>
      </c>
      <c r="E33" s="78">
        <v>-6500</v>
      </c>
      <c r="F33" s="78">
        <f>SUM(D33:E33)</f>
        <v>3500</v>
      </c>
    </row>
    <row r="34" spans="2:6" ht="12.75">
      <c r="B34" s="82"/>
      <c r="C34" s="104" t="s">
        <v>205</v>
      </c>
      <c r="D34" s="74">
        <f>SUM(D24:D33)</f>
        <v>36427</v>
      </c>
      <c r="E34" s="74">
        <f>SUM(E24:E33)</f>
        <v>-6815</v>
      </c>
      <c r="F34" s="74">
        <f>SUM(F24:F33)</f>
        <v>29612</v>
      </c>
    </row>
    <row r="35" spans="2:6" ht="12.75">
      <c r="B35" s="82"/>
      <c r="C35" s="120" t="s">
        <v>707</v>
      </c>
      <c r="D35" s="1530">
        <v>456</v>
      </c>
      <c r="E35" s="1530"/>
      <c r="F35" s="1530">
        <f aca="true" t="shared" si="3" ref="F35:F54">SUM(D35:E35)</f>
        <v>456</v>
      </c>
    </row>
    <row r="36" spans="2:6" ht="12.75">
      <c r="B36" s="82"/>
      <c r="C36" s="120" t="s">
        <v>704</v>
      </c>
      <c r="D36" s="1530">
        <v>2000</v>
      </c>
      <c r="E36" s="1530"/>
      <c r="F36" s="1530">
        <f t="shared" si="3"/>
        <v>2000</v>
      </c>
    </row>
    <row r="37" spans="2:6" s="808" customFormat="1" ht="12.75">
      <c r="B37" s="83"/>
      <c r="C37" s="1529" t="s">
        <v>712</v>
      </c>
      <c r="D37" s="121">
        <v>35682</v>
      </c>
      <c r="E37" s="121"/>
      <c r="F37" s="1530">
        <f t="shared" si="3"/>
        <v>35682</v>
      </c>
    </row>
    <row r="38" spans="2:6" s="808" customFormat="1" ht="12.75">
      <c r="B38" s="83"/>
      <c r="C38" s="1529" t="s">
        <v>713</v>
      </c>
      <c r="D38" s="121">
        <v>5150</v>
      </c>
      <c r="E38" s="121"/>
      <c r="F38" s="1530">
        <f t="shared" si="3"/>
        <v>5150</v>
      </c>
    </row>
    <row r="39" spans="2:6" s="808" customFormat="1" ht="12.75">
      <c r="B39" s="83"/>
      <c r="C39" s="1529" t="s">
        <v>714</v>
      </c>
      <c r="D39" s="121">
        <v>7000</v>
      </c>
      <c r="E39" s="121"/>
      <c r="F39" s="1530">
        <f t="shared" si="3"/>
        <v>7000</v>
      </c>
    </row>
    <row r="40" spans="2:6" s="808" customFormat="1" ht="12.75">
      <c r="B40" s="83"/>
      <c r="C40" s="1529" t="s">
        <v>715</v>
      </c>
      <c r="D40" s="121">
        <v>9000</v>
      </c>
      <c r="E40" s="121"/>
      <c r="F40" s="1530">
        <f t="shared" si="3"/>
        <v>9000</v>
      </c>
    </row>
    <row r="41" spans="2:6" s="808" customFormat="1" ht="12.75">
      <c r="B41" s="83"/>
      <c r="C41" s="1529" t="s">
        <v>716</v>
      </c>
      <c r="D41" s="121">
        <v>2000</v>
      </c>
      <c r="E41" s="121"/>
      <c r="F41" s="1530">
        <f t="shared" si="3"/>
        <v>2000</v>
      </c>
    </row>
    <row r="42" spans="2:6" s="808" customFormat="1" ht="12.75">
      <c r="B42" s="83"/>
      <c r="C42" s="1529" t="s">
        <v>717</v>
      </c>
      <c r="D42" s="121">
        <v>4000</v>
      </c>
      <c r="E42" s="121"/>
      <c r="F42" s="1530">
        <f t="shared" si="3"/>
        <v>4000</v>
      </c>
    </row>
    <row r="43" spans="2:6" ht="12.75">
      <c r="B43" s="102"/>
      <c r="C43" s="1529" t="s">
        <v>708</v>
      </c>
      <c r="D43" s="121">
        <f>SUM(D37:D42)</f>
        <v>62832</v>
      </c>
      <c r="E43" s="121">
        <f>SUM(E37:E42)</f>
        <v>0</v>
      </c>
      <c r="F43" s="121">
        <f>SUM(F37:F42)</f>
        <v>62832</v>
      </c>
    </row>
    <row r="44" spans="2:6" s="67" customFormat="1" ht="12.75">
      <c r="B44" s="85"/>
      <c r="C44" s="68" t="s">
        <v>709</v>
      </c>
      <c r="D44" s="121">
        <v>5000</v>
      </c>
      <c r="E44" s="221"/>
      <c r="F44" s="221">
        <f t="shared" si="3"/>
        <v>5000</v>
      </c>
    </row>
    <row r="45" spans="2:6" s="67" customFormat="1" ht="12.75">
      <c r="B45" s="85"/>
      <c r="C45" s="68" t="s">
        <v>710</v>
      </c>
      <c r="D45" s="121">
        <v>3000</v>
      </c>
      <c r="E45" s="221"/>
      <c r="F45" s="221">
        <f t="shared" si="3"/>
        <v>3000</v>
      </c>
    </row>
    <row r="46" spans="2:6" s="15" customFormat="1" ht="12.75">
      <c r="B46" s="506"/>
      <c r="C46" s="68" t="s">
        <v>711</v>
      </c>
      <c r="D46" s="1533">
        <v>1000</v>
      </c>
      <c r="E46" s="221">
        <f>-721+1500</f>
        <v>779</v>
      </c>
      <c r="F46" s="221">
        <f>SUM(D46:E46)</f>
        <v>1779</v>
      </c>
    </row>
    <row r="47" spans="2:6" s="15" customFormat="1" ht="12.75">
      <c r="B47" s="506"/>
      <c r="C47" s="1531" t="s">
        <v>718</v>
      </c>
      <c r="D47" s="1532">
        <f>D35+D36+D43+D44+D45+D46</f>
        <v>74288</v>
      </c>
      <c r="E47" s="1532">
        <f>E35+E36+E43+E44+E45+E46</f>
        <v>779</v>
      </c>
      <c r="F47" s="1532">
        <f>F35+F36+F43+F44+F45+F46</f>
        <v>75067</v>
      </c>
    </row>
    <row r="48" spans="2:6" s="15" customFormat="1" ht="12.75">
      <c r="B48" s="506"/>
      <c r="C48" s="1529" t="s">
        <v>813</v>
      </c>
      <c r="D48" s="1533">
        <v>1500</v>
      </c>
      <c r="E48" s="1533"/>
      <c r="F48" s="221">
        <f t="shared" si="3"/>
        <v>1500</v>
      </c>
    </row>
    <row r="49" spans="2:6" s="15" customFormat="1" ht="12.75">
      <c r="B49" s="506"/>
      <c r="C49" s="1529" t="s">
        <v>814</v>
      </c>
      <c r="D49" s="1533"/>
      <c r="E49" s="1533">
        <v>378</v>
      </c>
      <c r="F49" s="221">
        <f t="shared" si="3"/>
        <v>378</v>
      </c>
    </row>
    <row r="50" spans="2:6" s="15" customFormat="1" ht="12.75">
      <c r="B50" s="506"/>
      <c r="C50" s="1531" t="s">
        <v>799</v>
      </c>
      <c r="D50" s="1532">
        <f>SUM(D48:D49)</f>
        <v>1500</v>
      </c>
      <c r="E50" s="1532">
        <f>SUM(E48:E49)</f>
        <v>378</v>
      </c>
      <c r="F50" s="1532">
        <f>SUM(F48:F49)</f>
        <v>1878</v>
      </c>
    </row>
    <row r="51" spans="2:6" s="15" customFormat="1" ht="12.75">
      <c r="B51" s="506"/>
      <c r="C51" s="1531" t="s">
        <v>151</v>
      </c>
      <c r="D51" s="1532"/>
      <c r="E51" s="1532">
        <v>590</v>
      </c>
      <c r="F51" s="108">
        <f>SUM(D51:E51)</f>
        <v>590</v>
      </c>
    </row>
    <row r="52" spans="2:6" s="15" customFormat="1" ht="12.75">
      <c r="B52" s="506"/>
      <c r="C52" s="106" t="s">
        <v>152</v>
      </c>
      <c r="D52" s="1378">
        <v>2000</v>
      </c>
      <c r="E52" s="108">
        <v>1850</v>
      </c>
      <c r="F52" s="108">
        <f>SUM(D52:E52)</f>
        <v>3850</v>
      </c>
    </row>
    <row r="53" spans="2:6" s="67" customFormat="1" ht="12.75">
      <c r="B53" s="85"/>
      <c r="C53" s="107" t="s">
        <v>206</v>
      </c>
      <c r="D53" s="79">
        <v>400</v>
      </c>
      <c r="E53" s="81"/>
      <c r="F53" s="81">
        <f t="shared" si="3"/>
        <v>400</v>
      </c>
    </row>
    <row r="54" spans="2:6" s="67" customFormat="1" ht="12.75">
      <c r="B54" s="85"/>
      <c r="C54" s="107" t="s">
        <v>706</v>
      </c>
      <c r="D54" s="1379">
        <v>2690</v>
      </c>
      <c r="E54" s="81"/>
      <c r="F54" s="81">
        <f t="shared" si="3"/>
        <v>2690</v>
      </c>
    </row>
    <row r="55" spans="2:8" s="67" customFormat="1" ht="12.75">
      <c r="B55" s="84"/>
      <c r="C55" s="109" t="s">
        <v>482</v>
      </c>
      <c r="D55" s="78">
        <v>1500</v>
      </c>
      <c r="E55" s="80"/>
      <c r="F55" s="80">
        <f>SUM(D55:E55)</f>
        <v>1500</v>
      </c>
      <c r="H55" s="15"/>
    </row>
    <row r="56" spans="2:8" s="67" customFormat="1" ht="12.75">
      <c r="B56" s="84"/>
      <c r="C56" s="109" t="s">
        <v>705</v>
      </c>
      <c r="D56" s="78">
        <v>1500</v>
      </c>
      <c r="E56" s="80">
        <v>-1500</v>
      </c>
      <c r="F56" s="80">
        <f>SUM(D56:E56)</f>
        <v>0</v>
      </c>
      <c r="H56" s="15"/>
    </row>
    <row r="57" spans="2:8" s="67" customFormat="1" ht="12.75">
      <c r="B57" s="85"/>
      <c r="C57" s="106" t="s">
        <v>207</v>
      </c>
      <c r="D57" s="75">
        <f>SUM(D53:D56)</f>
        <v>6090</v>
      </c>
      <c r="E57" s="75">
        <f>SUM(E53:E56)</f>
        <v>-1500</v>
      </c>
      <c r="F57" s="76">
        <f>SUM(D57:E57)</f>
        <v>4590</v>
      </c>
      <c r="H57" s="97"/>
    </row>
    <row r="58" spans="2:9" s="67" customFormat="1" ht="12.75">
      <c r="B58" s="85"/>
      <c r="C58" s="68" t="s">
        <v>241</v>
      </c>
      <c r="D58" s="79">
        <v>8259</v>
      </c>
      <c r="E58" s="81"/>
      <c r="F58" s="221">
        <f>SUM(D58:E58)</f>
        <v>8259</v>
      </c>
      <c r="I58" s="138"/>
    </row>
    <row r="59" spans="2:6" s="67" customFormat="1" ht="12.75">
      <c r="B59" s="84"/>
      <c r="C59" s="43" t="s">
        <v>101</v>
      </c>
      <c r="D59" s="78">
        <v>46820</v>
      </c>
      <c r="E59" s="80"/>
      <c r="F59" s="221">
        <f>SUM(D59:E59)</f>
        <v>46820</v>
      </c>
    </row>
    <row r="60" spans="2:7" ht="12.75">
      <c r="B60" s="105"/>
      <c r="C60" s="213" t="s">
        <v>201</v>
      </c>
      <c r="D60" s="214">
        <f>SUM(D58:D59)</f>
        <v>55079</v>
      </c>
      <c r="E60" s="214">
        <f>SUM(E58:E59)</f>
        <v>0</v>
      </c>
      <c r="F60" s="214">
        <f>SUM(F58:F59)</f>
        <v>55079</v>
      </c>
      <c r="G60" s="18"/>
    </row>
    <row r="61" spans="2:7" ht="12.75">
      <c r="B61" s="105"/>
      <c r="C61" s="1672" t="s">
        <v>815</v>
      </c>
      <c r="D61" s="214"/>
      <c r="E61" s="214">
        <v>1132</v>
      </c>
      <c r="F61" s="214">
        <f>SUM(D61:E61)</f>
        <v>1132</v>
      </c>
      <c r="G61" s="18"/>
    </row>
    <row r="62" spans="2:7" ht="13.5" thickBot="1">
      <c r="B62" s="1669"/>
      <c r="C62" s="1670" t="s">
        <v>816</v>
      </c>
      <c r="D62" s="1671"/>
      <c r="E62" s="1671">
        <v>265</v>
      </c>
      <c r="F62" s="214">
        <f>SUM(D62:E62)</f>
        <v>265</v>
      </c>
      <c r="G62" s="18"/>
    </row>
    <row r="63" spans="2:9" ht="13.5" thickBot="1">
      <c r="B63" s="124">
        <v>3</v>
      </c>
      <c r="C63" s="125" t="s">
        <v>429</v>
      </c>
      <c r="D63" s="111">
        <f>D21+D22+D23+D34+D47+D50+D51+D52+D57+D60+D61+D62</f>
        <v>631764</v>
      </c>
      <c r="E63" s="111">
        <f>E21+E22+E23+E34+E47+E50+E51+E52+E57+E60+E61+E62</f>
        <v>15679</v>
      </c>
      <c r="F63" s="111">
        <f>F21+F22+F23+F34+F47+F50+F51+F52+F57+F60+F61+F62</f>
        <v>647443</v>
      </c>
      <c r="G63" s="18">
        <f>SUM(D63:E63)</f>
        <v>647443</v>
      </c>
      <c r="H63" s="18">
        <f>hivatal9!K21</f>
        <v>647443</v>
      </c>
      <c r="I63" s="18">
        <f>H63-F63</f>
        <v>0</v>
      </c>
    </row>
    <row r="64" spans="2:7" s="15" customFormat="1" ht="12.75">
      <c r="B64" s="105"/>
      <c r="C64" s="1531" t="s">
        <v>819</v>
      </c>
      <c r="D64" s="75"/>
      <c r="E64" s="145">
        <v>1345</v>
      </c>
      <c r="F64" s="74">
        <f>SUM(D64:E64)</f>
        <v>1345</v>
      </c>
      <c r="G64" s="97"/>
    </row>
    <row r="65" spans="2:7" s="15" customFormat="1" ht="12.75">
      <c r="B65" s="105"/>
      <c r="C65" s="1531" t="s">
        <v>719</v>
      </c>
      <c r="D65" s="75">
        <v>16527</v>
      </c>
      <c r="E65" s="145"/>
      <c r="F65" s="74">
        <f>SUM(D65:E65)</f>
        <v>16527</v>
      </c>
      <c r="G65" s="97"/>
    </row>
    <row r="66" spans="2:7" s="15" customFormat="1" ht="12.75">
      <c r="B66" s="105"/>
      <c r="C66" s="1531" t="s">
        <v>720</v>
      </c>
      <c r="D66" s="75">
        <v>11300</v>
      </c>
      <c r="E66" s="145"/>
      <c r="F66" s="74">
        <f>SUM(D66:E66)</f>
        <v>11300</v>
      </c>
      <c r="G66" s="97"/>
    </row>
    <row r="67" spans="2:6" ht="12.75">
      <c r="B67" s="103"/>
      <c r="C67" s="42" t="s">
        <v>817</v>
      </c>
      <c r="D67" s="78">
        <v>600</v>
      </c>
      <c r="E67" s="78"/>
      <c r="F67" s="1530">
        <f>SUM(D67:E67)</f>
        <v>600</v>
      </c>
    </row>
    <row r="68" spans="2:6" ht="12.75">
      <c r="B68" s="103"/>
      <c r="C68" s="42" t="s">
        <v>481</v>
      </c>
      <c r="D68" s="78"/>
      <c r="E68" s="78">
        <v>315</v>
      </c>
      <c r="F68" s="1530">
        <f>SUM(D68:E68)</f>
        <v>315</v>
      </c>
    </row>
    <row r="69" spans="2:6" s="15" customFormat="1" ht="12.75">
      <c r="B69" s="103"/>
      <c r="C69" s="104" t="s">
        <v>205</v>
      </c>
      <c r="D69" s="74">
        <f>SUM(D67:D68)</f>
        <v>600</v>
      </c>
      <c r="E69" s="74">
        <f>SUM(E67:E68)</f>
        <v>315</v>
      </c>
      <c r="F69" s="74">
        <f>SUM(F67:F68)</f>
        <v>915</v>
      </c>
    </row>
    <row r="70" spans="2:6" s="15" customFormat="1" ht="12.75">
      <c r="B70" s="103"/>
      <c r="C70" s="104" t="s">
        <v>152</v>
      </c>
      <c r="D70" s="74"/>
      <c r="E70" s="74">
        <v>150</v>
      </c>
      <c r="F70" s="77">
        <f aca="true" t="shared" si="4" ref="F70:F75">SUM(D70:E70)</f>
        <v>150</v>
      </c>
    </row>
    <row r="71" spans="2:6" s="15" customFormat="1" ht="12.75">
      <c r="B71" s="103"/>
      <c r="C71" s="120" t="s">
        <v>821</v>
      </c>
      <c r="D71" s="74"/>
      <c r="E71" s="1530">
        <v>500</v>
      </c>
      <c r="F71" s="1530">
        <f t="shared" si="4"/>
        <v>500</v>
      </c>
    </row>
    <row r="72" spans="2:6" s="15" customFormat="1" ht="12.75">
      <c r="B72" s="103"/>
      <c r="C72" s="120" t="s">
        <v>822</v>
      </c>
      <c r="D72" s="74"/>
      <c r="E72" s="1530">
        <v>900</v>
      </c>
      <c r="F72" s="1530">
        <f t="shared" si="4"/>
        <v>900</v>
      </c>
    </row>
    <row r="73" spans="2:6" s="15" customFormat="1" ht="12.75">
      <c r="B73" s="103"/>
      <c r="C73" s="120" t="s">
        <v>823</v>
      </c>
      <c r="D73" s="74"/>
      <c r="E73" s="1530">
        <v>1100</v>
      </c>
      <c r="F73" s="1530">
        <f t="shared" si="4"/>
        <v>1100</v>
      </c>
    </row>
    <row r="74" spans="2:6" s="15" customFormat="1" ht="12.75">
      <c r="B74" s="103"/>
      <c r="C74" s="120" t="s">
        <v>824</v>
      </c>
      <c r="D74" s="74"/>
      <c r="E74" s="1530">
        <v>2000</v>
      </c>
      <c r="F74" s="1530">
        <f t="shared" si="4"/>
        <v>2000</v>
      </c>
    </row>
    <row r="75" spans="2:6" s="15" customFormat="1" ht="12.75">
      <c r="B75" s="103"/>
      <c r="C75" s="120" t="s">
        <v>825</v>
      </c>
      <c r="D75" s="74"/>
      <c r="E75" s="1530">
        <v>1500</v>
      </c>
      <c r="F75" s="1530">
        <f t="shared" si="4"/>
        <v>1500</v>
      </c>
    </row>
    <row r="76" spans="2:6" s="15" customFormat="1" ht="12.75">
      <c r="B76" s="103"/>
      <c r="C76" s="104" t="s">
        <v>820</v>
      </c>
      <c r="D76" s="74">
        <f>SUM(D71:D75)</f>
        <v>0</v>
      </c>
      <c r="E76" s="74">
        <f>SUM(E71:E75)</f>
        <v>6000</v>
      </c>
      <c r="F76" s="74">
        <f>SUM(F71:F75)</f>
        <v>6000</v>
      </c>
    </row>
    <row r="77" spans="2:6" s="15" customFormat="1" ht="12.75">
      <c r="B77" s="103"/>
      <c r="C77" s="1528" t="s">
        <v>818</v>
      </c>
      <c r="D77" s="74">
        <v>1972</v>
      </c>
      <c r="E77" s="74"/>
      <c r="F77" s="77">
        <f>SUM(D77:E77)</f>
        <v>1972</v>
      </c>
    </row>
    <row r="78" spans="2:6" s="15" customFormat="1" ht="13.5" thickBot="1">
      <c r="B78" s="1653"/>
      <c r="C78" s="1670" t="s">
        <v>816</v>
      </c>
      <c r="D78" s="1673"/>
      <c r="E78" s="1673">
        <v>81</v>
      </c>
      <c r="F78" s="77">
        <f>SUM(D78:E78)</f>
        <v>81</v>
      </c>
    </row>
    <row r="79" spans="2:8" ht="13.5" thickBot="1">
      <c r="B79" s="124">
        <v>4</v>
      </c>
      <c r="C79" s="125" t="s">
        <v>430</v>
      </c>
      <c r="D79" s="126">
        <f>D64+D65+D66+D69+D70+D76+D77+D78</f>
        <v>30399</v>
      </c>
      <c r="E79" s="126">
        <f>E64+E65+E66+E69+E70+E76+E77+E78</f>
        <v>7891</v>
      </c>
      <c r="F79" s="126">
        <f>F64+F65+F66+F69+F70+F76+F77+F78</f>
        <v>38290</v>
      </c>
      <c r="G79" s="18">
        <f>SUM(D79:E79)</f>
        <v>38290</v>
      </c>
      <c r="H79" s="18">
        <f>hivatal9!K18</f>
        <v>38290</v>
      </c>
    </row>
    <row r="80" spans="2:9" ht="13.5" thickBot="1">
      <c r="B80" s="127" t="s">
        <v>119</v>
      </c>
      <c r="C80" s="128" t="s">
        <v>428</v>
      </c>
      <c r="D80" s="129">
        <f>D63+D79</f>
        <v>662163</v>
      </c>
      <c r="E80" s="129">
        <f>E63+E79</f>
        <v>23570</v>
      </c>
      <c r="F80" s="129">
        <f>SUM(D80:E80)</f>
        <v>685733</v>
      </c>
      <c r="G80" s="18">
        <f>F63+F79</f>
        <v>685733</v>
      </c>
      <c r="H80" s="18">
        <f>hivatal9!K18+hivatal9!K21</f>
        <v>685733</v>
      </c>
      <c r="I80" s="18">
        <f>H80-G80</f>
        <v>0</v>
      </c>
    </row>
    <row r="83" ht="12.75">
      <c r="D83" s="255"/>
    </row>
    <row r="91" ht="11.25" customHeight="1"/>
  </sheetData>
  <sheetProtection/>
  <mergeCells count="1">
    <mergeCell ref="B4:F4"/>
  </mergeCells>
  <printOptions horizontalCentered="1"/>
  <pageMargins left="0.7874015748031497" right="0.7874015748031497" top="0.35" bottom="0.57" header="0.2" footer="0.28"/>
  <pageSetup fitToHeight="1" fitToWidth="1" horizontalDpi="600" verticalDpi="600" orientation="portrait" paperSize="9" scale="70" r:id="rId1"/>
  <headerFooter alignWithMargins="0">
    <oddFooter>&amp;L&amp;F&amp;C&amp;D,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4"/>
  <sheetViews>
    <sheetView showGridLines="0" zoomScalePageLayoutView="0" workbookViewId="0" topLeftCell="A1">
      <pane xSplit="5" ySplit="8" topLeftCell="F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00390625" defaultRowHeight="12.75"/>
  <cols>
    <col min="1" max="1" width="2.50390625" style="0" customWidth="1"/>
    <col min="2" max="2" width="4.875" style="22" customWidth="1"/>
    <col min="3" max="3" width="9.50390625" style="323" customWidth="1"/>
    <col min="4" max="4" width="69.375" style="22" customWidth="1"/>
    <col min="5" max="5" width="8.125" style="22" customWidth="1"/>
    <col min="6" max="8" width="14.50390625" style="22" customWidth="1"/>
    <col min="9" max="9" width="12.125" style="0" customWidth="1"/>
    <col min="10" max="10" width="10.875" style="0" bestFit="1" customWidth="1"/>
    <col min="11" max="11" width="12.125" style="0" customWidth="1"/>
  </cols>
  <sheetData>
    <row r="1" spans="2:8" ht="10.5" customHeight="1">
      <c r="B1" s="39"/>
      <c r="H1" s="110" t="s">
        <v>873</v>
      </c>
    </row>
    <row r="2" spans="2:8" ht="12" customHeight="1">
      <c r="B2" s="39"/>
      <c r="H2" s="110" t="s">
        <v>102</v>
      </c>
    </row>
    <row r="3" ht="23.25" customHeight="1">
      <c r="B3" s="39"/>
    </row>
    <row r="4" spans="1:8" s="96" customFormat="1" ht="40.5" customHeight="1">
      <c r="A4" s="135"/>
      <c r="B4" s="1867" t="s">
        <v>360</v>
      </c>
      <c r="C4" s="1867"/>
      <c r="D4" s="1867"/>
      <c r="E4" s="1867"/>
      <c r="F4" s="1867"/>
      <c r="G4" s="1867"/>
      <c r="H4" s="1867"/>
    </row>
    <row r="5" spans="1:8" s="638" customFormat="1" ht="34.5" customHeight="1">
      <c r="A5" s="748"/>
      <c r="B5" s="1873" t="s">
        <v>574</v>
      </c>
      <c r="C5" s="1873"/>
      <c r="D5" s="1873"/>
      <c r="E5" s="1873"/>
      <c r="F5" s="1873"/>
      <c r="G5" s="1873"/>
      <c r="H5" s="1873"/>
    </row>
    <row r="6" spans="4:8" ht="31.5" customHeight="1" thickBot="1">
      <c r="D6" s="40"/>
      <c r="E6" s="40"/>
      <c r="F6" s="41"/>
      <c r="G6" s="41"/>
      <c r="H6" s="324" t="s">
        <v>145</v>
      </c>
    </row>
    <row r="7" spans="2:8" ht="35.25" customHeight="1" thickBot="1">
      <c r="B7" s="852"/>
      <c r="C7" s="1871" t="s">
        <v>162</v>
      </c>
      <c r="D7" s="1872"/>
      <c r="E7" s="863" t="s">
        <v>432</v>
      </c>
      <c r="F7" s="862" t="s">
        <v>805</v>
      </c>
      <c r="G7" s="136" t="s">
        <v>141</v>
      </c>
      <c r="H7" s="137" t="s">
        <v>665</v>
      </c>
    </row>
    <row r="8" spans="2:8" ht="13.5" thickBot="1">
      <c r="B8" s="857">
        <v>1</v>
      </c>
      <c r="C8" s="1874">
        <v>2</v>
      </c>
      <c r="D8" s="1875"/>
      <c r="E8" s="864">
        <v>3</v>
      </c>
      <c r="F8" s="868">
        <v>4</v>
      </c>
      <c r="G8" s="313">
        <v>5</v>
      </c>
      <c r="H8" s="314">
        <v>6</v>
      </c>
    </row>
    <row r="9" spans="2:8" s="633" customFormat="1" ht="20.25" customHeight="1" thickBot="1">
      <c r="B9" s="879" t="s">
        <v>122</v>
      </c>
      <c r="C9" s="1876" t="s">
        <v>437</v>
      </c>
      <c r="D9" s="1877"/>
      <c r="E9" s="880" t="s">
        <v>433</v>
      </c>
      <c r="F9" s="1539">
        <f>SUM(F10:F11)</f>
        <v>1</v>
      </c>
      <c r="G9" s="881">
        <f>SUM(G10:G11)</f>
        <v>107</v>
      </c>
      <c r="H9" s="881">
        <f>SUM(H10:H11)</f>
        <v>108</v>
      </c>
    </row>
    <row r="10" spans="2:8" s="853" customFormat="1" ht="32.25" customHeight="1">
      <c r="B10" s="1880"/>
      <c r="C10" s="876" t="s">
        <v>267</v>
      </c>
      <c r="D10" s="877" t="s">
        <v>531</v>
      </c>
      <c r="E10" s="878" t="s">
        <v>433</v>
      </c>
      <c r="F10" s="889"/>
      <c r="G10" s="1536">
        <v>107</v>
      </c>
      <c r="H10" s="1536">
        <f>SUM(F10:G10)</f>
        <v>107</v>
      </c>
    </row>
    <row r="11" spans="2:8" s="853" customFormat="1" ht="32.25" customHeight="1" thickBot="1">
      <c r="B11" s="1881"/>
      <c r="C11" s="854" t="s">
        <v>267</v>
      </c>
      <c r="D11" s="859" t="s">
        <v>721</v>
      </c>
      <c r="E11" s="865" t="s">
        <v>433</v>
      </c>
      <c r="F11" s="1534">
        <v>1</v>
      </c>
      <c r="G11" s="1535"/>
      <c r="H11" s="1535">
        <f>SUM(F11:G11)</f>
        <v>1</v>
      </c>
    </row>
    <row r="12" spans="2:11" s="633" customFormat="1" ht="20.25" customHeight="1" thickBot="1">
      <c r="B12" s="879" t="s">
        <v>124</v>
      </c>
      <c r="C12" s="1878" t="s">
        <v>438</v>
      </c>
      <c r="D12" s="1879"/>
      <c r="E12" s="880" t="s">
        <v>434</v>
      </c>
      <c r="F12" s="881">
        <f>SUM(F13:F13)</f>
        <v>0</v>
      </c>
      <c r="G12" s="881">
        <f>SUM(G13:G13)</f>
        <v>0</v>
      </c>
      <c r="H12" s="881">
        <f>SUM(H13:H13)</f>
        <v>0</v>
      </c>
      <c r="I12" s="643"/>
      <c r="J12" s="643"/>
      <c r="K12" s="643"/>
    </row>
    <row r="13" spans="2:11" s="853" customFormat="1" ht="30.75" customHeight="1" thickBot="1">
      <c r="B13" s="873"/>
      <c r="C13" s="876" t="s">
        <v>267</v>
      </c>
      <c r="D13" s="877" t="s">
        <v>444</v>
      </c>
      <c r="E13" s="878" t="s">
        <v>434</v>
      </c>
      <c r="F13" s="889"/>
      <c r="G13" s="875"/>
      <c r="H13" s="883">
        <f>SUM(F13:G13)</f>
        <v>0</v>
      </c>
      <c r="I13" s="855"/>
      <c r="J13" s="855"/>
      <c r="K13" s="855"/>
    </row>
    <row r="14" spans="2:11" s="633" customFormat="1" ht="20.25" customHeight="1" thickBot="1">
      <c r="B14" s="879" t="s">
        <v>125</v>
      </c>
      <c r="C14" s="1876" t="s">
        <v>439</v>
      </c>
      <c r="D14" s="1877"/>
      <c r="E14" s="880" t="s">
        <v>435</v>
      </c>
      <c r="F14" s="882">
        <f>SUM(F15:F25)+F26</f>
        <v>113502</v>
      </c>
      <c r="G14" s="882">
        <f>SUM(G15:G25)+G26</f>
        <v>0</v>
      </c>
      <c r="H14" s="882">
        <f>SUM(H15:H25)+H26</f>
        <v>113502</v>
      </c>
      <c r="I14" s="643"/>
      <c r="J14" s="643"/>
      <c r="K14" s="643"/>
    </row>
    <row r="15" spans="2:11" s="853" customFormat="1" ht="29.25" customHeight="1">
      <c r="B15" s="873"/>
      <c r="C15" s="854" t="s">
        <v>267</v>
      </c>
      <c r="D15" s="859" t="s">
        <v>483</v>
      </c>
      <c r="E15" s="865" t="s">
        <v>435</v>
      </c>
      <c r="F15" s="888">
        <v>12002</v>
      </c>
      <c r="G15" s="1537"/>
      <c r="H15" s="883">
        <f aca="true" t="shared" si="0" ref="H15:H21">SUM(F15:G15)</f>
        <v>12002</v>
      </c>
      <c r="I15" s="855"/>
      <c r="J15" s="855"/>
      <c r="K15" s="855"/>
    </row>
    <row r="16" spans="2:11" s="853" customFormat="1" ht="29.25" customHeight="1">
      <c r="B16" s="873"/>
      <c r="C16" s="854" t="s">
        <v>267</v>
      </c>
      <c r="D16" s="859" t="s">
        <v>484</v>
      </c>
      <c r="E16" s="865" t="s">
        <v>435</v>
      </c>
      <c r="F16" s="888">
        <v>31000</v>
      </c>
      <c r="G16" s="870"/>
      <c r="H16" s="883">
        <f t="shared" si="0"/>
        <v>31000</v>
      </c>
      <c r="I16" s="855"/>
      <c r="J16" s="855"/>
      <c r="K16" s="855"/>
    </row>
    <row r="17" spans="2:11" s="853" customFormat="1" ht="29.25" customHeight="1">
      <c r="B17" s="873"/>
      <c r="C17" s="854" t="s">
        <v>267</v>
      </c>
      <c r="D17" s="859" t="s">
        <v>485</v>
      </c>
      <c r="E17" s="865" t="s">
        <v>435</v>
      </c>
      <c r="F17" s="888">
        <v>6000</v>
      </c>
      <c r="G17" s="870"/>
      <c r="H17" s="883">
        <f t="shared" si="0"/>
        <v>6000</v>
      </c>
      <c r="I17" s="855"/>
      <c r="J17" s="855"/>
      <c r="K17" s="855"/>
    </row>
    <row r="18" spans="2:11" s="853" customFormat="1" ht="29.25" customHeight="1">
      <c r="B18" s="873"/>
      <c r="C18" s="854" t="s">
        <v>267</v>
      </c>
      <c r="D18" s="859" t="s">
        <v>486</v>
      </c>
      <c r="E18" s="865" t="s">
        <v>435</v>
      </c>
      <c r="F18" s="888">
        <v>18000</v>
      </c>
      <c r="G18" s="870"/>
      <c r="H18" s="883">
        <f t="shared" si="0"/>
        <v>18000</v>
      </c>
      <c r="I18" s="855"/>
      <c r="J18" s="855"/>
      <c r="K18" s="855"/>
    </row>
    <row r="19" spans="2:11" s="853" customFormat="1" ht="29.25" customHeight="1">
      <c r="B19" s="873"/>
      <c r="C19" s="854" t="s">
        <v>267</v>
      </c>
      <c r="D19" s="859" t="s">
        <v>487</v>
      </c>
      <c r="E19" s="865" t="s">
        <v>435</v>
      </c>
      <c r="F19" s="888">
        <v>4000</v>
      </c>
      <c r="G19" s="870"/>
      <c r="H19" s="883">
        <f t="shared" si="0"/>
        <v>4000</v>
      </c>
      <c r="I19" s="855"/>
      <c r="J19" s="855"/>
      <c r="K19" s="855"/>
    </row>
    <row r="20" spans="2:11" s="853" customFormat="1" ht="29.25" customHeight="1">
      <c r="B20" s="873"/>
      <c r="C20" s="854" t="s">
        <v>267</v>
      </c>
      <c r="D20" s="859" t="s">
        <v>488</v>
      </c>
      <c r="E20" s="865" t="s">
        <v>435</v>
      </c>
      <c r="F20" s="888">
        <v>28000</v>
      </c>
      <c r="G20" s="870"/>
      <c r="H20" s="883">
        <f t="shared" si="0"/>
        <v>28000</v>
      </c>
      <c r="I20" s="855"/>
      <c r="J20" s="855"/>
      <c r="K20" s="855"/>
    </row>
    <row r="21" spans="2:11" s="853" customFormat="1" ht="29.25" customHeight="1">
      <c r="B21" s="873"/>
      <c r="C21" s="854" t="s">
        <v>267</v>
      </c>
      <c r="D21" s="859" t="s">
        <v>490</v>
      </c>
      <c r="E21" s="865" t="s">
        <v>435</v>
      </c>
      <c r="F21" s="888">
        <v>6000</v>
      </c>
      <c r="G21" s="870"/>
      <c r="H21" s="883">
        <f t="shared" si="0"/>
        <v>6000</v>
      </c>
      <c r="I21" s="855"/>
      <c r="J21" s="855"/>
      <c r="K21" s="855"/>
    </row>
    <row r="22" spans="2:11" s="853" customFormat="1" ht="19.5" customHeight="1">
      <c r="B22" s="873"/>
      <c r="C22" s="854" t="s">
        <v>267</v>
      </c>
      <c r="D22" s="887" t="s">
        <v>558</v>
      </c>
      <c r="E22" s="866" t="str">
        <f>E25</f>
        <v>K48</v>
      </c>
      <c r="F22" s="890">
        <v>4000</v>
      </c>
      <c r="G22" s="894"/>
      <c r="H22" s="883">
        <f>SUM(F22:G22)</f>
        <v>4000</v>
      </c>
      <c r="I22" s="855"/>
      <c r="J22" s="855"/>
      <c r="K22" s="855"/>
    </row>
    <row r="23" spans="2:11" s="853" customFormat="1" ht="21" customHeight="1">
      <c r="B23" s="873"/>
      <c r="C23" s="893" t="s">
        <v>267</v>
      </c>
      <c r="D23" s="887" t="s">
        <v>559</v>
      </c>
      <c r="E23" s="866" t="str">
        <f>E24</f>
        <v>K48</v>
      </c>
      <c r="F23" s="890">
        <v>1000</v>
      </c>
      <c r="G23" s="871"/>
      <c r="H23" s="883">
        <f>SUM(F23:G23)</f>
        <v>1000</v>
      </c>
      <c r="I23" s="855"/>
      <c r="J23" s="855"/>
      <c r="K23" s="855"/>
    </row>
    <row r="24" spans="2:11" s="853" customFormat="1" ht="20.25" customHeight="1">
      <c r="B24" s="873"/>
      <c r="C24" s="854" t="s">
        <v>267</v>
      </c>
      <c r="D24" s="859" t="s">
        <v>440</v>
      </c>
      <c r="E24" s="865" t="s">
        <v>435</v>
      </c>
      <c r="F24" s="888">
        <v>3500</v>
      </c>
      <c r="G24" s="870"/>
      <c r="H24" s="895">
        <f>SUM(F24:G24)</f>
        <v>3500</v>
      </c>
      <c r="I24" s="855"/>
      <c r="J24" s="855"/>
      <c r="K24" s="855"/>
    </row>
    <row r="25" spans="2:11" s="853" customFormat="1" ht="30.75" customHeight="1">
      <c r="B25" s="873"/>
      <c r="C25" s="893" t="s">
        <v>267</v>
      </c>
      <c r="D25" s="859" t="s">
        <v>441</v>
      </c>
      <c r="E25" s="865" t="s">
        <v>435</v>
      </c>
      <c r="F25" s="896"/>
      <c r="G25" s="896"/>
      <c r="H25" s="895">
        <f>SUM(F25:G25)</f>
        <v>0</v>
      </c>
      <c r="I25" s="855"/>
      <c r="J25" s="855"/>
      <c r="K25" s="855"/>
    </row>
    <row r="26" spans="2:11" s="853" customFormat="1" ht="29.25" customHeight="1" thickBot="1">
      <c r="B26" s="872"/>
      <c r="C26" s="854" t="s">
        <v>267</v>
      </c>
      <c r="D26" s="860" t="s">
        <v>442</v>
      </c>
      <c r="E26" s="866" t="s">
        <v>435</v>
      </c>
      <c r="F26" s="890"/>
      <c r="G26" s="871"/>
      <c r="H26" s="883">
        <f>SUM(F26:G26)</f>
        <v>0</v>
      </c>
      <c r="I26" s="855"/>
      <c r="J26" s="855"/>
      <c r="K26" s="855"/>
    </row>
    <row r="27" spans="2:11" s="633" customFormat="1" ht="23.25" customHeight="1" thickBot="1">
      <c r="B27" s="1868" t="s">
        <v>436</v>
      </c>
      <c r="C27" s="1869"/>
      <c r="D27" s="1870"/>
      <c r="E27" s="885" t="s">
        <v>380</v>
      </c>
      <c r="F27" s="869">
        <f>F9+F12+F14</f>
        <v>113503</v>
      </c>
      <c r="G27" s="856">
        <f>G9+G12+G14</f>
        <v>107</v>
      </c>
      <c r="H27" s="856">
        <f>H9+H12+H14</f>
        <v>113610</v>
      </c>
      <c r="I27" s="643">
        <f>hivatal9!K14</f>
        <v>113610</v>
      </c>
      <c r="J27" s="643">
        <f>SUM(F27:G27)</f>
        <v>113610</v>
      </c>
      <c r="K27" s="643">
        <f>'kiadfő '!H12</f>
        <v>113610</v>
      </c>
    </row>
    <row r="28" spans="2:11" s="853" customFormat="1" ht="30.75" customHeight="1" thickBot="1">
      <c r="B28" s="874"/>
      <c r="C28" s="886" t="s">
        <v>267</v>
      </c>
      <c r="D28" s="861" t="s">
        <v>443</v>
      </c>
      <c r="E28" s="867"/>
      <c r="F28" s="891">
        <f>F9</f>
        <v>1</v>
      </c>
      <c r="G28" s="1271">
        <f>G9</f>
        <v>107</v>
      </c>
      <c r="H28" s="884">
        <f>SUM(F28:G28)</f>
        <v>108</v>
      </c>
      <c r="I28" s="855"/>
      <c r="J28" s="855"/>
      <c r="K28" s="855"/>
    </row>
    <row r="29" spans="2:11" s="853" customFormat="1" ht="30.75" customHeight="1" thickBot="1">
      <c r="B29" s="874"/>
      <c r="C29" s="886" t="s">
        <v>267</v>
      </c>
      <c r="D29" s="861" t="s">
        <v>489</v>
      </c>
      <c r="E29" s="867"/>
      <c r="F29" s="891">
        <f>F15+F16+F17+F18+F19+F20+F21+F22+F23</f>
        <v>110002</v>
      </c>
      <c r="G29" s="1127">
        <f>G15+G16+G17+G18+G19+G20+G21+G22</f>
        <v>0</v>
      </c>
      <c r="H29" s="884">
        <f>SUM(F29:G29)</f>
        <v>110002</v>
      </c>
      <c r="I29" s="855"/>
      <c r="J29" s="855"/>
      <c r="K29" s="855"/>
    </row>
    <row r="30" spans="2:11" s="853" customFormat="1" ht="30.75" customHeight="1" thickBot="1">
      <c r="B30" s="874"/>
      <c r="C30" s="886" t="s">
        <v>267</v>
      </c>
      <c r="D30" s="861" t="s">
        <v>491</v>
      </c>
      <c r="E30" s="867"/>
      <c r="F30" s="1271">
        <f>F24</f>
        <v>3500</v>
      </c>
      <c r="G30" s="1271">
        <f>G24</f>
        <v>0</v>
      </c>
      <c r="H30" s="1271">
        <f>H24</f>
        <v>3500</v>
      </c>
      <c r="I30" s="855"/>
      <c r="J30" s="855"/>
      <c r="K30" s="855"/>
    </row>
    <row r="31" spans="6:8" ht="12.75">
      <c r="F31" s="892">
        <f>SUM(F28:F30)</f>
        <v>113503</v>
      </c>
      <c r="G31" s="892">
        <f>SUM(G28:G30)</f>
        <v>107</v>
      </c>
      <c r="H31" s="892">
        <f>SUM(H28:H30)</f>
        <v>113610</v>
      </c>
    </row>
    <row r="32" ht="12.75">
      <c r="F32" s="255"/>
    </row>
    <row r="33" ht="12.75">
      <c r="H33" s="255"/>
    </row>
    <row r="34" ht="12.75">
      <c r="H34" s="255"/>
    </row>
    <row r="38" ht="11.25" customHeight="1"/>
  </sheetData>
  <sheetProtection/>
  <mergeCells count="9">
    <mergeCell ref="B4:H4"/>
    <mergeCell ref="B27:D27"/>
    <mergeCell ref="C7:D7"/>
    <mergeCell ref="B5:H5"/>
    <mergeCell ref="C8:D8"/>
    <mergeCell ref="C9:D9"/>
    <mergeCell ref="C12:D12"/>
    <mergeCell ref="C14:D14"/>
    <mergeCell ref="B10:B11"/>
  </mergeCells>
  <printOptions horizontalCentered="1" verticalCentered="1"/>
  <pageMargins left="0.7874015748031497" right="0.7874015748031497" top="0.6692913385826772" bottom="0.984251968503937" header="0.5118110236220472" footer="0.5118110236220472"/>
  <pageSetup fitToHeight="1" fitToWidth="1" horizontalDpi="600" verticalDpi="600" orientation="portrait" paperSize="9" scale="69" r:id="rId1"/>
  <headerFooter alignWithMargins="0">
    <oddFooter>&amp;L&amp;F&amp;C&amp;D,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5"/>
  <sheetViews>
    <sheetView showGridLines="0" view="pageLayout" zoomScaleNormal="90" workbookViewId="0" topLeftCell="A1">
      <selection activeCell="B33" sqref="B33"/>
    </sheetView>
  </sheetViews>
  <sheetFormatPr defaultColWidth="9.00390625" defaultRowHeight="12.75"/>
  <cols>
    <col min="1" max="1" width="5.50390625" style="292" customWidth="1"/>
    <col min="2" max="2" width="107.375" style="292" bestFit="1" customWidth="1"/>
    <col min="3" max="3" width="14.625" style="292" customWidth="1"/>
    <col min="4" max="4" width="15.00390625" style="292" customWidth="1"/>
    <col min="5" max="5" width="14.125" style="293" customWidth="1"/>
    <col min="6" max="6" width="12.625" style="806" customWidth="1"/>
    <col min="7" max="8" width="12.00390625" style="806" customWidth="1"/>
    <col min="9" max="9" width="9.375" style="1659" customWidth="1"/>
    <col min="10" max="10" width="9.375" style="96" customWidth="1"/>
    <col min="11" max="11" width="11.50390625" style="96" customWidth="1"/>
    <col min="12" max="16384" width="9.375" style="96" customWidth="1"/>
  </cols>
  <sheetData>
    <row r="1" ht="9" customHeight="1">
      <c r="E1" s="1040"/>
    </row>
    <row r="2" spans="1:5" ht="15.75">
      <c r="A2" s="1867" t="s">
        <v>163</v>
      </c>
      <c r="B2" s="1867"/>
      <c r="C2" s="1867"/>
      <c r="D2" s="1867"/>
      <c r="E2" s="1867"/>
    </row>
    <row r="3" spans="1:5" ht="12.75" customHeight="1">
      <c r="A3" s="1042"/>
      <c r="B3" s="1043" t="s">
        <v>575</v>
      </c>
      <c r="C3" s="1041"/>
      <c r="D3" s="1041"/>
      <c r="E3" s="1044"/>
    </row>
    <row r="4" spans="2:5" ht="12.75" customHeight="1" thickBot="1">
      <c r="B4" s="1045"/>
      <c r="C4" s="1046"/>
      <c r="D4" s="1046"/>
      <c r="E4" s="1047" t="s">
        <v>145</v>
      </c>
    </row>
    <row r="5" spans="1:9" ht="27.75" customHeight="1" thickBot="1">
      <c r="A5" s="315" t="s">
        <v>169</v>
      </c>
      <c r="B5" s="1037" t="s">
        <v>162</v>
      </c>
      <c r="C5" s="73" t="s">
        <v>463</v>
      </c>
      <c r="D5" s="312" t="s">
        <v>141</v>
      </c>
      <c r="E5" s="73" t="s">
        <v>665</v>
      </c>
      <c r="I5" s="1660" t="s">
        <v>806</v>
      </c>
    </row>
    <row r="6" spans="1:5" ht="13.5" thickBot="1">
      <c r="A6" s="1038">
        <v>1</v>
      </c>
      <c r="B6" s="1038">
        <v>2</v>
      </c>
      <c r="C6" s="88">
        <v>3</v>
      </c>
      <c r="D6" s="88">
        <v>4</v>
      </c>
      <c r="E6" s="88">
        <v>5</v>
      </c>
    </row>
    <row r="7" spans="1:11" s="295" customFormat="1" ht="15" customHeight="1">
      <c r="A7" s="1035"/>
      <c r="B7" s="1551" t="s">
        <v>729</v>
      </c>
      <c r="C7" s="1416">
        <v>7880</v>
      </c>
      <c r="D7" s="1169"/>
      <c r="E7" s="302">
        <f aca="true" t="shared" si="0" ref="E7:E16">SUM(C7:D7)</f>
        <v>7880</v>
      </c>
      <c r="F7" s="1125"/>
      <c r="G7" s="772"/>
      <c r="H7" s="772"/>
      <c r="I7" s="1661"/>
      <c r="K7" s="1683"/>
    </row>
    <row r="8" spans="1:11" s="295" customFormat="1" ht="15" customHeight="1">
      <c r="A8" s="1035"/>
      <c r="B8" s="1415" t="s">
        <v>620</v>
      </c>
      <c r="C8" s="1416">
        <v>2500</v>
      </c>
      <c r="D8" s="1169"/>
      <c r="E8" s="302">
        <f t="shared" si="0"/>
        <v>2500</v>
      </c>
      <c r="F8" s="1125"/>
      <c r="G8" s="772"/>
      <c r="H8" s="772"/>
      <c r="I8" s="1661"/>
      <c r="K8" s="1683"/>
    </row>
    <row r="9" spans="1:11" s="295" customFormat="1" ht="15" customHeight="1">
      <c r="A9" s="1035"/>
      <c r="B9" s="1335" t="s">
        <v>621</v>
      </c>
      <c r="C9" s="1336">
        <v>4000</v>
      </c>
      <c r="D9" s="1169">
        <v>-4000</v>
      </c>
      <c r="E9" s="302">
        <f t="shared" si="0"/>
        <v>0</v>
      </c>
      <c r="F9" s="1125"/>
      <c r="G9" s="772"/>
      <c r="H9" s="772"/>
      <c r="I9" s="1661"/>
      <c r="K9" s="1683"/>
    </row>
    <row r="10" spans="1:11" s="295" customFormat="1" ht="15" customHeight="1">
      <c r="A10" s="1035"/>
      <c r="B10" s="1295" t="s">
        <v>582</v>
      </c>
      <c r="C10" s="1336">
        <v>7500</v>
      </c>
      <c r="D10" s="1169">
        <v>-3750</v>
      </c>
      <c r="E10" s="302">
        <f t="shared" si="0"/>
        <v>3750</v>
      </c>
      <c r="F10" s="1125"/>
      <c r="G10" s="772"/>
      <c r="H10" s="772"/>
      <c r="I10" s="1661"/>
      <c r="K10" s="1683"/>
    </row>
    <row r="11" spans="1:11" s="295" customFormat="1" ht="15" customHeight="1">
      <c r="A11" s="1035"/>
      <c r="B11" s="1334" t="s">
        <v>583</v>
      </c>
      <c r="C11" s="1336">
        <v>4000</v>
      </c>
      <c r="D11" s="1169">
        <v>-4000</v>
      </c>
      <c r="E11" s="302">
        <f t="shared" si="0"/>
        <v>0</v>
      </c>
      <c r="F11" s="1125"/>
      <c r="G11" s="772"/>
      <c r="H11" s="772"/>
      <c r="I11" s="1661"/>
      <c r="K11" s="1683"/>
    </row>
    <row r="12" spans="1:11" s="295" customFormat="1" ht="15" customHeight="1">
      <c r="A12" s="1035"/>
      <c r="B12" s="1335" t="s">
        <v>622</v>
      </c>
      <c r="C12" s="1336">
        <v>229092</v>
      </c>
      <c r="D12" s="1169">
        <v>-14462</v>
      </c>
      <c r="E12" s="302">
        <f t="shared" si="0"/>
        <v>214630</v>
      </c>
      <c r="F12" s="1125"/>
      <c r="G12" s="772"/>
      <c r="H12" s="772"/>
      <c r="I12" s="1661">
        <v>38</v>
      </c>
      <c r="K12" s="1683"/>
    </row>
    <row r="13" spans="1:11" s="295" customFormat="1" ht="15" customHeight="1">
      <c r="A13" s="1035"/>
      <c r="B13" s="1335" t="s">
        <v>584</v>
      </c>
      <c r="C13" s="1336">
        <v>26000</v>
      </c>
      <c r="D13" s="1169"/>
      <c r="E13" s="304">
        <f t="shared" si="0"/>
        <v>26000</v>
      </c>
      <c r="F13" s="1125"/>
      <c r="G13" s="772"/>
      <c r="H13" s="772"/>
      <c r="I13" s="1661"/>
      <c r="K13" s="1683"/>
    </row>
    <row r="14" spans="1:11" s="295" customFormat="1" ht="15" customHeight="1">
      <c r="A14" s="1035"/>
      <c r="B14" s="1415" t="s">
        <v>585</v>
      </c>
      <c r="C14" s="1416">
        <v>20000</v>
      </c>
      <c r="D14" s="1169">
        <v>-1201</v>
      </c>
      <c r="E14" s="304">
        <f t="shared" si="0"/>
        <v>18799</v>
      </c>
      <c r="F14" s="1125"/>
      <c r="G14" s="772"/>
      <c r="H14" s="772"/>
      <c r="I14" s="1661"/>
      <c r="K14" s="1683"/>
    </row>
    <row r="15" spans="1:11" s="295" customFormat="1" ht="15" customHeight="1">
      <c r="A15" s="1035"/>
      <c r="B15" s="1415" t="s">
        <v>756</v>
      </c>
      <c r="C15" s="1416">
        <v>712</v>
      </c>
      <c r="D15" s="1169"/>
      <c r="E15" s="304">
        <f t="shared" si="0"/>
        <v>712</v>
      </c>
      <c r="F15" s="1125"/>
      <c r="G15" s="772"/>
      <c r="H15" s="772"/>
      <c r="I15" s="1661"/>
      <c r="K15" s="1683"/>
    </row>
    <row r="16" spans="1:11" s="295" customFormat="1" ht="15" customHeight="1" thickBot="1">
      <c r="A16" s="1035"/>
      <c r="B16" s="1593" t="s">
        <v>730</v>
      </c>
      <c r="C16" s="1131">
        <v>266</v>
      </c>
      <c r="D16" s="1552"/>
      <c r="E16" s="302">
        <f t="shared" si="0"/>
        <v>266</v>
      </c>
      <c r="F16" s="1125"/>
      <c r="G16" s="772"/>
      <c r="H16" s="772"/>
      <c r="I16" s="1661"/>
      <c r="K16" s="1683"/>
    </row>
    <row r="17" spans="1:11" s="295" customFormat="1" ht="15" customHeight="1" thickBot="1">
      <c r="A17" s="1167" t="s">
        <v>122</v>
      </c>
      <c r="B17" s="1168" t="s">
        <v>532</v>
      </c>
      <c r="C17" s="1170">
        <f>SUM(C7:C16)</f>
        <v>301950</v>
      </c>
      <c r="D17" s="1170">
        <f>SUM(D7:D16)</f>
        <v>-27413</v>
      </c>
      <c r="E17" s="1170">
        <f>SUM(E7:E16)</f>
        <v>274537</v>
      </c>
      <c r="F17" s="1125"/>
      <c r="G17" s="772"/>
      <c r="H17" s="772"/>
      <c r="I17" s="1661"/>
      <c r="K17" s="1683"/>
    </row>
    <row r="18" spans="1:11" s="295" customFormat="1" ht="15" customHeight="1">
      <c r="A18" s="1098"/>
      <c r="B18" s="1337" t="s">
        <v>586</v>
      </c>
      <c r="C18" s="1129">
        <v>16400</v>
      </c>
      <c r="D18" s="1554">
        <v>3500</v>
      </c>
      <c r="E18" s="1036">
        <f aca="true" t="shared" si="1" ref="E18:E24">SUM(C18:D18)</f>
        <v>19900</v>
      </c>
      <c r="F18" s="1125"/>
      <c r="G18" s="772"/>
      <c r="H18" s="772"/>
      <c r="I18" s="1661"/>
      <c r="K18" s="1683"/>
    </row>
    <row r="19" spans="1:11" s="295" customFormat="1" ht="15" customHeight="1">
      <c r="A19" s="1098"/>
      <c r="B19" s="1337" t="s">
        <v>587</v>
      </c>
      <c r="C19" s="1129">
        <v>22384</v>
      </c>
      <c r="D19" s="1554">
        <v>7730</v>
      </c>
      <c r="E19" s="294">
        <f t="shared" si="1"/>
        <v>30114</v>
      </c>
      <c r="F19" s="1125"/>
      <c r="G19" s="772"/>
      <c r="H19" s="772"/>
      <c r="I19" s="1661"/>
      <c r="K19" s="1683"/>
    </row>
    <row r="20" spans="1:11" s="295" customFormat="1" ht="15" customHeight="1">
      <c r="A20" s="1098"/>
      <c r="B20" s="1337" t="s">
        <v>588</v>
      </c>
      <c r="C20" s="1129">
        <v>9960</v>
      </c>
      <c r="D20" s="1554">
        <v>1830</v>
      </c>
      <c r="E20" s="294">
        <f t="shared" si="1"/>
        <v>11790</v>
      </c>
      <c r="F20" s="1125"/>
      <c r="G20" s="772"/>
      <c r="H20" s="772"/>
      <c r="I20" s="1661"/>
      <c r="K20" s="1683"/>
    </row>
    <row r="21" spans="1:11" s="295" customFormat="1" ht="15" customHeight="1">
      <c r="A21" s="1098"/>
      <c r="B21" s="1337" t="s">
        <v>796</v>
      </c>
      <c r="C21" s="1129">
        <v>4000</v>
      </c>
      <c r="D21" s="1554"/>
      <c r="E21" s="294">
        <f t="shared" si="1"/>
        <v>4000</v>
      </c>
      <c r="F21" s="1125"/>
      <c r="G21" s="772"/>
      <c r="H21" s="772"/>
      <c r="I21" s="1661"/>
      <c r="K21" s="1683"/>
    </row>
    <row r="22" spans="1:11" s="295" customFormat="1" ht="14.25" customHeight="1">
      <c r="A22" s="1098"/>
      <c r="B22" s="1337" t="s">
        <v>589</v>
      </c>
      <c r="C22" s="1129">
        <v>3404</v>
      </c>
      <c r="D22" s="1554">
        <v>1320</v>
      </c>
      <c r="E22" s="294">
        <f t="shared" si="1"/>
        <v>4724</v>
      </c>
      <c r="F22" s="1125"/>
      <c r="G22" s="772"/>
      <c r="H22" s="772"/>
      <c r="I22" s="1661"/>
      <c r="K22" s="1683"/>
    </row>
    <row r="23" spans="1:11" s="295" customFormat="1" ht="14.25" customHeight="1">
      <c r="A23" s="1098"/>
      <c r="B23" s="1338" t="s">
        <v>735</v>
      </c>
      <c r="C23" s="1129">
        <v>20000</v>
      </c>
      <c r="D23" s="1554">
        <v>-14380</v>
      </c>
      <c r="E23" s="294">
        <f t="shared" si="1"/>
        <v>5620</v>
      </c>
      <c r="F23" s="1125"/>
      <c r="G23" s="772"/>
      <c r="H23" s="772"/>
      <c r="I23" s="1661"/>
      <c r="K23" s="1683"/>
    </row>
    <row r="24" spans="1:11" s="295" customFormat="1" ht="14.25" customHeight="1" thickBot="1">
      <c r="A24" s="1557"/>
      <c r="B24" s="1558" t="s">
        <v>736</v>
      </c>
      <c r="C24" s="1131">
        <v>7797</v>
      </c>
      <c r="D24" s="1559"/>
      <c r="E24" s="294">
        <f t="shared" si="1"/>
        <v>7797</v>
      </c>
      <c r="F24" s="1125"/>
      <c r="G24" s="772"/>
      <c r="H24" s="772"/>
      <c r="I24" s="1661">
        <v>7796</v>
      </c>
      <c r="K24" s="1683"/>
    </row>
    <row r="25" spans="1:11" s="295" customFormat="1" ht="14.25" customHeight="1" thickBot="1">
      <c r="A25" s="270" t="s">
        <v>124</v>
      </c>
      <c r="B25" s="297" t="s">
        <v>496</v>
      </c>
      <c r="C25" s="235">
        <f>SUM(C18:C24)</f>
        <v>83945</v>
      </c>
      <c r="D25" s="235">
        <f>SUM(D18:D24)</f>
        <v>0</v>
      </c>
      <c r="E25" s="235">
        <f>SUM(E18:E24)</f>
        <v>83945</v>
      </c>
      <c r="F25" s="1125">
        <f>SUM(C25:D25)</f>
        <v>83945</v>
      </c>
      <c r="G25" s="772"/>
      <c r="H25" s="772"/>
      <c r="I25" s="1661"/>
      <c r="K25" s="1683"/>
    </row>
    <row r="26" spans="1:11" s="295" customFormat="1" ht="14.25" customHeight="1">
      <c r="A26" s="1098"/>
      <c r="B26" s="1158" t="s">
        <v>533</v>
      </c>
      <c r="C26" s="1129">
        <v>10280</v>
      </c>
      <c r="D26" s="1554">
        <v>-152</v>
      </c>
      <c r="E26" s="1036">
        <f aca="true" t="shared" si="2" ref="E26:E35">SUM(C26:D26)</f>
        <v>10128</v>
      </c>
      <c r="F26" s="1125"/>
      <c r="G26" s="772"/>
      <c r="H26" s="772"/>
      <c r="I26" s="1661">
        <v>280</v>
      </c>
      <c r="K26" s="1683"/>
    </row>
    <row r="27" spans="1:11" s="295" customFormat="1" ht="14.25" customHeight="1">
      <c r="A27" s="1098"/>
      <c r="B27" s="1553" t="s">
        <v>494</v>
      </c>
      <c r="C27" s="1129">
        <v>309</v>
      </c>
      <c r="D27" s="1554"/>
      <c r="E27" s="1036">
        <f t="shared" si="2"/>
        <v>309</v>
      </c>
      <c r="F27" s="1125"/>
      <c r="G27" s="772"/>
      <c r="H27" s="772"/>
      <c r="I27" s="1661">
        <v>309</v>
      </c>
      <c r="K27" s="1683"/>
    </row>
    <row r="28" spans="1:11" s="295" customFormat="1" ht="14.25" customHeight="1">
      <c r="A28" s="1098"/>
      <c r="B28" s="1560" t="s">
        <v>737</v>
      </c>
      <c r="C28" s="1129">
        <v>2744</v>
      </c>
      <c r="D28" s="1554"/>
      <c r="E28" s="1036">
        <f t="shared" si="2"/>
        <v>2744</v>
      </c>
      <c r="F28" s="1125"/>
      <c r="G28" s="772"/>
      <c r="H28" s="772"/>
      <c r="I28" s="1661"/>
      <c r="K28" s="1683"/>
    </row>
    <row r="29" spans="1:11" s="295" customFormat="1" ht="14.25" customHeight="1">
      <c r="A29" s="1098"/>
      <c r="B29" s="1339" t="s">
        <v>590</v>
      </c>
      <c r="C29" s="1129">
        <v>57750</v>
      </c>
      <c r="D29" s="1554"/>
      <c r="E29" s="294">
        <f t="shared" si="2"/>
        <v>57750</v>
      </c>
      <c r="F29" s="1125"/>
      <c r="G29" s="772"/>
      <c r="H29" s="772"/>
      <c r="I29" s="1661"/>
      <c r="K29" s="1683"/>
    </row>
    <row r="30" spans="1:11" s="295" customFormat="1" ht="15" customHeight="1">
      <c r="A30" s="1098"/>
      <c r="B30" s="1339" t="s">
        <v>591</v>
      </c>
      <c r="C30" s="1129">
        <v>55000</v>
      </c>
      <c r="D30" s="1554"/>
      <c r="E30" s="294">
        <f t="shared" si="2"/>
        <v>55000</v>
      </c>
      <c r="F30" s="1125"/>
      <c r="G30" s="772"/>
      <c r="H30" s="772"/>
      <c r="I30" s="1661"/>
      <c r="K30" s="1683"/>
    </row>
    <row r="31" spans="1:11" s="295" customFormat="1" ht="15" customHeight="1">
      <c r="A31" s="1098"/>
      <c r="B31" s="1555" t="s">
        <v>731</v>
      </c>
      <c r="C31" s="1416">
        <v>20920</v>
      </c>
      <c r="D31" s="1554"/>
      <c r="E31" s="294">
        <f t="shared" si="2"/>
        <v>20920</v>
      </c>
      <c r="F31" s="1125"/>
      <c r="G31" s="772"/>
      <c r="H31" s="772"/>
      <c r="I31" s="1661"/>
      <c r="K31" s="1683"/>
    </row>
    <row r="32" spans="1:11" s="295" customFormat="1" ht="15" customHeight="1">
      <c r="A32" s="1098"/>
      <c r="B32" s="1555" t="s">
        <v>732</v>
      </c>
      <c r="C32" s="1416">
        <v>14835</v>
      </c>
      <c r="D32" s="1554"/>
      <c r="E32" s="294">
        <f t="shared" si="2"/>
        <v>14835</v>
      </c>
      <c r="F32" s="1125"/>
      <c r="G32" s="772"/>
      <c r="H32" s="772"/>
      <c r="I32" s="1661">
        <v>14834</v>
      </c>
      <c r="K32" s="1683"/>
    </row>
    <row r="33" spans="1:11" s="295" customFormat="1" ht="15" customHeight="1">
      <c r="A33" s="1098"/>
      <c r="B33" s="1556" t="s">
        <v>733</v>
      </c>
      <c r="C33" s="1416">
        <v>29866</v>
      </c>
      <c r="D33" s="1554">
        <v>-7149</v>
      </c>
      <c r="E33" s="294">
        <f t="shared" si="2"/>
        <v>22717</v>
      </c>
      <c r="F33" s="1125"/>
      <c r="G33" s="772"/>
      <c r="H33" s="772"/>
      <c r="I33" s="1661"/>
      <c r="K33" s="1683"/>
    </row>
    <row r="34" spans="1:11" s="295" customFormat="1" ht="15" customHeight="1">
      <c r="A34" s="1098"/>
      <c r="B34" s="1334" t="s">
        <v>734</v>
      </c>
      <c r="C34" s="1416">
        <v>5532</v>
      </c>
      <c r="D34" s="1554"/>
      <c r="E34" s="294">
        <f t="shared" si="2"/>
        <v>5532</v>
      </c>
      <c r="F34" s="1125"/>
      <c r="G34" s="772"/>
      <c r="H34" s="772"/>
      <c r="I34" s="1661"/>
      <c r="K34" s="1683"/>
    </row>
    <row r="35" spans="1:11" s="295" customFormat="1" ht="15" customHeight="1" thickBot="1">
      <c r="A35" s="1098"/>
      <c r="B35" s="1560" t="s">
        <v>592</v>
      </c>
      <c r="C35" s="1131">
        <v>10000</v>
      </c>
      <c r="D35" s="298"/>
      <c r="E35" s="294">
        <f t="shared" si="2"/>
        <v>10000</v>
      </c>
      <c r="F35" s="1125"/>
      <c r="G35" s="772"/>
      <c r="H35" s="772"/>
      <c r="I35" s="1661"/>
      <c r="K35" s="1683"/>
    </row>
    <row r="36" spans="1:11" s="295" customFormat="1" ht="15" customHeight="1" thickBot="1">
      <c r="A36" s="337" t="s">
        <v>125</v>
      </c>
      <c r="B36" s="297" t="s">
        <v>497</v>
      </c>
      <c r="C36" s="1363">
        <f>SUM(C26:C35)</f>
        <v>207236</v>
      </c>
      <c r="D36" s="1363">
        <f>SUM(D26:D35)</f>
        <v>-7301</v>
      </c>
      <c r="E36" s="1363">
        <f>SUM(E26:E35)</f>
        <v>199935</v>
      </c>
      <c r="F36" s="1125">
        <f>SUM(C36:D36)</f>
        <v>199935</v>
      </c>
      <c r="G36" s="772"/>
      <c r="H36" s="772"/>
      <c r="I36" s="1661"/>
      <c r="K36" s="1683"/>
    </row>
    <row r="37" spans="1:11" s="295" customFormat="1" ht="15" customHeight="1" thickBot="1">
      <c r="A37" s="1678"/>
      <c r="B37" s="1681" t="s">
        <v>611</v>
      </c>
      <c r="C37" s="1679"/>
      <c r="D37" s="1680">
        <v>12000</v>
      </c>
      <c r="E37" s="1679">
        <f>SUM(C37:D37)</f>
        <v>12000</v>
      </c>
      <c r="F37" s="1125"/>
      <c r="G37" s="772"/>
      <c r="H37" s="772"/>
      <c r="I37" s="1661"/>
      <c r="K37" s="1683"/>
    </row>
    <row r="38" spans="1:11" s="295" customFormat="1" ht="15" customHeight="1" thickBot="1">
      <c r="A38" s="1677" t="s">
        <v>127</v>
      </c>
      <c r="B38" s="210" t="s">
        <v>827</v>
      </c>
      <c r="C38" s="1418">
        <f>SUM(C37)</f>
        <v>0</v>
      </c>
      <c r="D38" s="1418">
        <f>SUM(D37)</f>
        <v>12000</v>
      </c>
      <c r="E38" s="1418">
        <f>SUM(E37)</f>
        <v>12000</v>
      </c>
      <c r="F38" s="1125"/>
      <c r="G38" s="772"/>
      <c r="H38" s="772"/>
      <c r="I38" s="1661"/>
      <c r="K38" s="1683"/>
    </row>
    <row r="39" spans="1:11" s="295" customFormat="1" ht="15" customHeight="1">
      <c r="A39" s="299"/>
      <c r="B39" s="1676" t="s">
        <v>624</v>
      </c>
      <c r="C39" s="237">
        <v>75000</v>
      </c>
      <c r="D39" s="237">
        <v>-75000</v>
      </c>
      <c r="E39" s="302">
        <f>SUM(C39:D39)</f>
        <v>0</v>
      </c>
      <c r="F39" s="1125"/>
      <c r="G39" s="772"/>
      <c r="H39" s="772"/>
      <c r="I39" s="1661"/>
      <c r="K39" s="1683"/>
    </row>
    <row r="40" spans="1:11" s="295" customFormat="1" ht="15" customHeight="1" thickBot="1">
      <c r="A40" s="299"/>
      <c r="B40" s="1417" t="s">
        <v>625</v>
      </c>
      <c r="C40" s="1419">
        <v>7500</v>
      </c>
      <c r="D40" s="1419">
        <v>-3125</v>
      </c>
      <c r="E40" s="1420">
        <f>SUM(C40:D40)</f>
        <v>4375</v>
      </c>
      <c r="F40" s="1125"/>
      <c r="G40" s="772"/>
      <c r="H40" s="772"/>
      <c r="I40" s="1661"/>
      <c r="K40" s="1683"/>
    </row>
    <row r="41" spans="1:11" s="295" customFormat="1" ht="15" customHeight="1" thickBot="1">
      <c r="A41" s="337" t="s">
        <v>53</v>
      </c>
      <c r="B41" s="297" t="s">
        <v>534</v>
      </c>
      <c r="C41" s="1418">
        <f>SUM(C39:C40)</f>
        <v>82500</v>
      </c>
      <c r="D41" s="1418">
        <f>SUM(D39:D40)</f>
        <v>-78125</v>
      </c>
      <c r="E41" s="1418">
        <f>SUM(E39:E40)</f>
        <v>4375</v>
      </c>
      <c r="F41" s="1125"/>
      <c r="G41" s="772"/>
      <c r="H41" s="772"/>
      <c r="I41" s="1661"/>
      <c r="K41" s="1683"/>
    </row>
    <row r="42" spans="1:11" s="295" customFormat="1" ht="15" customHeight="1">
      <c r="A42" s="1296"/>
      <c r="B42" s="1561" t="s">
        <v>652</v>
      </c>
      <c r="C42" s="1171">
        <v>1000</v>
      </c>
      <c r="D42" s="1172"/>
      <c r="E42" s="1172">
        <f aca="true" t="shared" si="3" ref="E42:E47">SUM(C42:D42)</f>
        <v>1000</v>
      </c>
      <c r="F42" s="1125"/>
      <c r="G42" s="772"/>
      <c r="H42" s="772"/>
      <c r="I42" s="1661"/>
      <c r="K42" s="1683"/>
    </row>
    <row r="43" spans="1:11" s="295" customFormat="1" ht="15" customHeight="1">
      <c r="A43" s="1039"/>
      <c r="B43" s="1272" t="s">
        <v>738</v>
      </c>
      <c r="C43" s="237">
        <v>24879</v>
      </c>
      <c r="D43" s="237"/>
      <c r="E43" s="239">
        <f t="shared" si="3"/>
        <v>24879</v>
      </c>
      <c r="F43" s="1125"/>
      <c r="G43" s="772"/>
      <c r="H43" s="772"/>
      <c r="I43" s="1661">
        <v>190</v>
      </c>
      <c r="K43" s="1683"/>
    </row>
    <row r="44" spans="1:11" s="295" customFormat="1" ht="15" customHeight="1">
      <c r="A44" s="1039"/>
      <c r="B44" s="1341" t="s">
        <v>653</v>
      </c>
      <c r="C44" s="237">
        <v>500</v>
      </c>
      <c r="D44" s="238"/>
      <c r="E44" s="239">
        <f t="shared" si="3"/>
        <v>500</v>
      </c>
      <c r="F44" s="1125"/>
      <c r="G44" s="772"/>
      <c r="H44" s="772"/>
      <c r="I44" s="1661"/>
      <c r="K44" s="1683"/>
    </row>
    <row r="45" spans="1:11" s="295" customFormat="1" ht="15" customHeight="1">
      <c r="A45" s="1039"/>
      <c r="B45" s="1340" t="s">
        <v>654</v>
      </c>
      <c r="C45" s="237">
        <v>2000</v>
      </c>
      <c r="D45" s="238"/>
      <c r="E45" s="239">
        <f t="shared" si="3"/>
        <v>2000</v>
      </c>
      <c r="F45" s="1125"/>
      <c r="G45" s="772"/>
      <c r="H45" s="772"/>
      <c r="I45" s="1661"/>
      <c r="K45" s="1683"/>
    </row>
    <row r="46" spans="1:11" s="295" customFormat="1" ht="15" customHeight="1">
      <c r="A46" s="1039"/>
      <c r="B46" s="1562" t="s">
        <v>739</v>
      </c>
      <c r="C46" s="237">
        <v>4000</v>
      </c>
      <c r="D46" s="237"/>
      <c r="E46" s="239">
        <f t="shared" si="3"/>
        <v>4000</v>
      </c>
      <c r="F46" s="1125"/>
      <c r="G46" s="772"/>
      <c r="H46" s="772"/>
      <c r="I46" s="1661"/>
      <c r="K46" s="1683"/>
    </row>
    <row r="47" spans="1:11" s="295" customFormat="1" ht="15" customHeight="1" thickBot="1">
      <c r="A47" s="1039"/>
      <c r="B47" s="1342" t="s">
        <v>655</v>
      </c>
      <c r="C47" s="237">
        <v>20000</v>
      </c>
      <c r="D47" s="237">
        <v>38000</v>
      </c>
      <c r="E47" s="239">
        <f t="shared" si="3"/>
        <v>58000</v>
      </c>
      <c r="F47" s="1125"/>
      <c r="G47" s="772"/>
      <c r="H47" s="772"/>
      <c r="I47" s="1661"/>
      <c r="K47" s="1683"/>
    </row>
    <row r="48" spans="1:11" s="295" customFormat="1" ht="15" customHeight="1" thickBot="1">
      <c r="A48" s="316" t="s">
        <v>108</v>
      </c>
      <c r="B48" s="353" t="s">
        <v>537</v>
      </c>
      <c r="C48" s="305">
        <f>SUM(C42:C47)</f>
        <v>52379</v>
      </c>
      <c r="D48" s="305">
        <f>SUM(D42:D47)</f>
        <v>38000</v>
      </c>
      <c r="E48" s="305">
        <f>SUM(E42:E47)</f>
        <v>90379</v>
      </c>
      <c r="F48" s="1125"/>
      <c r="G48" s="772"/>
      <c r="H48" s="772"/>
      <c r="I48" s="1661"/>
      <c r="K48" s="1683"/>
    </row>
    <row r="49" spans="1:11" s="295" customFormat="1" ht="15" customHeight="1" thickBot="1">
      <c r="A49" s="1039"/>
      <c r="B49" s="1426" t="s">
        <v>647</v>
      </c>
      <c r="C49" s="286"/>
      <c r="D49" s="301">
        <v>3000</v>
      </c>
      <c r="E49" s="304">
        <f>SUM(C49:D49)</f>
        <v>3000</v>
      </c>
      <c r="F49" s="1125"/>
      <c r="G49" s="772"/>
      <c r="H49" s="772"/>
      <c r="I49" s="1661"/>
      <c r="K49" s="1683"/>
    </row>
    <row r="50" spans="1:11" s="295" customFormat="1" ht="15" customHeight="1" thickBot="1">
      <c r="A50" s="269" t="s">
        <v>109</v>
      </c>
      <c r="B50" s="288" t="s">
        <v>536</v>
      </c>
      <c r="C50" s="305">
        <f>SUM(C49)</f>
        <v>0</v>
      </c>
      <c r="D50" s="305">
        <f>SUM(D49)</f>
        <v>3000</v>
      </c>
      <c r="E50" s="305">
        <f>SUM(E49)</f>
        <v>3000</v>
      </c>
      <c r="F50" s="1125"/>
      <c r="G50" s="772"/>
      <c r="H50" s="772"/>
      <c r="I50" s="1661"/>
      <c r="K50" s="1683"/>
    </row>
    <row r="51" spans="1:11" s="1315" customFormat="1" ht="15" customHeight="1">
      <c r="A51" s="299"/>
      <c r="B51" s="1564" t="s">
        <v>740</v>
      </c>
      <c r="C51" s="1565">
        <v>5000</v>
      </c>
      <c r="D51" s="1565"/>
      <c r="E51" s="1172">
        <f aca="true" t="shared" si="4" ref="E51:E56">SUM(C51:D51)</f>
        <v>5000</v>
      </c>
      <c r="F51" s="771"/>
      <c r="G51" s="770"/>
      <c r="H51" s="770"/>
      <c r="I51" s="1667"/>
      <c r="K51" s="1683"/>
    </row>
    <row r="52" spans="1:11" s="295" customFormat="1" ht="15" customHeight="1">
      <c r="A52" s="299"/>
      <c r="B52" s="1348" t="s">
        <v>660</v>
      </c>
      <c r="C52" s="1346">
        <v>4500</v>
      </c>
      <c r="D52" s="231">
        <v>-253</v>
      </c>
      <c r="E52" s="239">
        <f t="shared" si="4"/>
        <v>4247</v>
      </c>
      <c r="F52" s="1125"/>
      <c r="G52" s="772"/>
      <c r="H52" s="772"/>
      <c r="I52" s="1661">
        <v>4045</v>
      </c>
      <c r="K52" s="1683"/>
    </row>
    <row r="53" spans="1:11" s="295" customFormat="1" ht="15" customHeight="1">
      <c r="A53" s="299"/>
      <c r="B53" s="1348" t="s">
        <v>784</v>
      </c>
      <c r="C53" s="1346">
        <v>500</v>
      </c>
      <c r="D53" s="231">
        <v>-500</v>
      </c>
      <c r="E53" s="239">
        <f t="shared" si="4"/>
        <v>0</v>
      </c>
      <c r="F53" s="1125"/>
      <c r="G53" s="772"/>
      <c r="H53" s="772"/>
      <c r="I53" s="1661"/>
      <c r="K53" s="1683"/>
    </row>
    <row r="54" spans="1:11" s="295" customFormat="1" ht="15" customHeight="1">
      <c r="A54" s="299"/>
      <c r="B54" s="1682" t="s">
        <v>790</v>
      </c>
      <c r="C54" s="1346"/>
      <c r="D54" s="231">
        <v>1700</v>
      </c>
      <c r="E54" s="239">
        <f t="shared" si="4"/>
        <v>1700</v>
      </c>
      <c r="F54" s="1125"/>
      <c r="G54" s="772"/>
      <c r="H54" s="772"/>
      <c r="I54" s="1661"/>
      <c r="K54" s="1683"/>
    </row>
    <row r="55" spans="1:11" s="295" customFormat="1" ht="15" customHeight="1">
      <c r="A55" s="299"/>
      <c r="B55" s="1373" t="s">
        <v>649</v>
      </c>
      <c r="C55" s="1346"/>
      <c r="D55" s="231">
        <v>17000</v>
      </c>
      <c r="E55" s="239">
        <f t="shared" si="4"/>
        <v>17000</v>
      </c>
      <c r="F55" s="1125"/>
      <c r="G55" s="772"/>
      <c r="H55" s="772"/>
      <c r="I55" s="1661"/>
      <c r="K55" s="1683"/>
    </row>
    <row r="56" spans="1:11" s="295" customFormat="1" ht="15" customHeight="1" thickBot="1">
      <c r="A56" s="299"/>
      <c r="B56" s="1374" t="s">
        <v>640</v>
      </c>
      <c r="C56" s="1563"/>
      <c r="D56" s="241">
        <v>16500</v>
      </c>
      <c r="E56" s="239">
        <f t="shared" si="4"/>
        <v>16500</v>
      </c>
      <c r="F56" s="1125"/>
      <c r="G56" s="772"/>
      <c r="H56" s="772"/>
      <c r="I56" s="1661"/>
      <c r="K56" s="1683"/>
    </row>
    <row r="57" spans="1:11" s="295" customFormat="1" ht="15" customHeight="1" thickBot="1">
      <c r="A57" s="269" t="s">
        <v>110</v>
      </c>
      <c r="B57" s="288" t="s">
        <v>538</v>
      </c>
      <c r="C57" s="305">
        <f>SUM(C51:C56)</f>
        <v>10000</v>
      </c>
      <c r="D57" s="305">
        <f>SUM(D51:D56)</f>
        <v>34447</v>
      </c>
      <c r="E57" s="305">
        <f>SUM(E51:E56)</f>
        <v>44447</v>
      </c>
      <c r="F57" s="1125"/>
      <c r="G57" s="772"/>
      <c r="H57" s="772"/>
      <c r="I57" s="1661"/>
      <c r="K57" s="1683"/>
    </row>
    <row r="58" spans="1:11" s="1315" customFormat="1" ht="15" customHeight="1">
      <c r="A58" s="299"/>
      <c r="B58" s="1567" t="s">
        <v>741</v>
      </c>
      <c r="C58" s="1565">
        <v>5000</v>
      </c>
      <c r="D58" s="1565"/>
      <c r="E58" s="302">
        <f>SUM(C58:D58)</f>
        <v>5000</v>
      </c>
      <c r="F58" s="771"/>
      <c r="G58" s="770"/>
      <c r="H58" s="770"/>
      <c r="I58" s="1667"/>
      <c r="K58" s="1683"/>
    </row>
    <row r="59" spans="1:11" s="295" customFormat="1" ht="15" customHeight="1">
      <c r="A59" s="299"/>
      <c r="B59" s="1566" t="s">
        <v>656</v>
      </c>
      <c r="C59" s="286">
        <v>2000</v>
      </c>
      <c r="D59" s="301"/>
      <c r="E59" s="302">
        <f>SUM(C59:D59)</f>
        <v>2000</v>
      </c>
      <c r="F59" s="1125"/>
      <c r="G59" s="772"/>
      <c r="H59" s="772"/>
      <c r="I59" s="1661"/>
      <c r="K59" s="1683"/>
    </row>
    <row r="60" spans="1:11" s="295" customFormat="1" ht="27" customHeight="1" thickBot="1">
      <c r="A60" s="299"/>
      <c r="B60" s="1452" t="s">
        <v>657</v>
      </c>
      <c r="C60" s="1453">
        <v>5600</v>
      </c>
      <c r="D60" s="1454"/>
      <c r="E60" s="1455">
        <f>SUM(C60:D60)</f>
        <v>5600</v>
      </c>
      <c r="F60" s="1125"/>
      <c r="G60" s="772"/>
      <c r="H60" s="772"/>
      <c r="I60" s="1661"/>
      <c r="K60" s="1683"/>
    </row>
    <row r="61" spans="1:11" s="295" customFormat="1" ht="15" customHeight="1" thickBot="1">
      <c r="A61" s="269" t="s">
        <v>111</v>
      </c>
      <c r="B61" s="288" t="s">
        <v>539</v>
      </c>
      <c r="C61" s="305">
        <f>SUM(C58:C60)</f>
        <v>12600</v>
      </c>
      <c r="D61" s="305">
        <f>SUM(D58:D60)</f>
        <v>0</v>
      </c>
      <c r="E61" s="305">
        <f>SUM(E58:E60)</f>
        <v>12600</v>
      </c>
      <c r="F61" s="1125"/>
      <c r="G61" s="772"/>
      <c r="H61" s="772"/>
      <c r="I61" s="1661"/>
      <c r="K61" s="1683"/>
    </row>
    <row r="62" spans="1:11" s="295" customFormat="1" ht="15.75" customHeight="1" thickBot="1">
      <c r="A62" s="1039"/>
      <c r="B62" s="1160" t="s">
        <v>785</v>
      </c>
      <c r="C62" s="286">
        <v>2000</v>
      </c>
      <c r="D62" s="301"/>
      <c r="E62" s="304">
        <f>SUM(C62:D62)</f>
        <v>2000</v>
      </c>
      <c r="F62" s="1125"/>
      <c r="G62" s="772"/>
      <c r="H62" s="772"/>
      <c r="I62" s="1661"/>
      <c r="K62" s="1683"/>
    </row>
    <row r="63" spans="1:11" s="295" customFormat="1" ht="15" customHeight="1" thickBot="1">
      <c r="A63" s="269" t="s">
        <v>202</v>
      </c>
      <c r="B63" s="288" t="s">
        <v>540</v>
      </c>
      <c r="C63" s="305">
        <f>SUM(C62:C62)</f>
        <v>2000</v>
      </c>
      <c r="D63" s="305">
        <f>SUM(D62:D62)</f>
        <v>0</v>
      </c>
      <c r="E63" s="305">
        <f>SUM(E62:E62)</f>
        <v>2000</v>
      </c>
      <c r="F63" s="1125"/>
      <c r="G63" s="772"/>
      <c r="H63" s="772"/>
      <c r="I63" s="1661"/>
      <c r="K63" s="1683"/>
    </row>
    <row r="64" spans="1:11" s="295" customFormat="1" ht="15" customHeight="1" thickBot="1">
      <c r="A64" s="352"/>
      <c r="B64" s="1298"/>
      <c r="C64" s="286"/>
      <c r="D64" s="301"/>
      <c r="E64" s="304">
        <f>SUM(C64:D64)</f>
        <v>0</v>
      </c>
      <c r="F64" s="1125"/>
      <c r="G64" s="772"/>
      <c r="H64" s="772"/>
      <c r="I64" s="1661"/>
      <c r="K64" s="1683"/>
    </row>
    <row r="65" spans="1:11" s="295" customFormat="1" ht="15" customHeight="1" thickBot="1">
      <c r="A65" s="269" t="s">
        <v>359</v>
      </c>
      <c r="B65" s="288" t="s">
        <v>541</v>
      </c>
      <c r="C65" s="305">
        <f>SUM(C64)</f>
        <v>0</v>
      </c>
      <c r="D65" s="305">
        <f>SUM(D64)</f>
        <v>0</v>
      </c>
      <c r="E65" s="305">
        <f>SUM(E64)</f>
        <v>0</v>
      </c>
      <c r="F65" s="1125"/>
      <c r="G65" s="772"/>
      <c r="H65" s="772"/>
      <c r="I65" s="1661"/>
      <c r="K65" s="1683"/>
    </row>
    <row r="66" spans="1:11" s="295" customFormat="1" ht="15" customHeight="1" thickBot="1">
      <c r="A66" s="352"/>
      <c r="B66" s="1159" t="s">
        <v>742</v>
      </c>
      <c r="C66" s="286">
        <v>2600</v>
      </c>
      <c r="D66" s="301"/>
      <c r="E66" s="304">
        <f>SUM(C66:D66)</f>
        <v>2600</v>
      </c>
      <c r="F66" s="1125"/>
      <c r="G66" s="772"/>
      <c r="H66" s="772"/>
      <c r="I66" s="1661"/>
      <c r="K66" s="1683"/>
    </row>
    <row r="67" spans="1:11" s="295" customFormat="1" ht="15" customHeight="1" thickBot="1">
      <c r="A67" s="316" t="s">
        <v>361</v>
      </c>
      <c r="B67" s="288" t="s">
        <v>542</v>
      </c>
      <c r="C67" s="305">
        <f>SUM(C66:C66)</f>
        <v>2600</v>
      </c>
      <c r="D67" s="305">
        <f>SUM(D66:D66)</f>
        <v>0</v>
      </c>
      <c r="E67" s="305">
        <f>SUM(E66:E66)</f>
        <v>2600</v>
      </c>
      <c r="F67" s="1125"/>
      <c r="G67" s="772"/>
      <c r="H67" s="772"/>
      <c r="I67" s="1661"/>
      <c r="K67" s="1683"/>
    </row>
    <row r="68" spans="1:11" s="295" customFormat="1" ht="15" customHeight="1" thickBot="1">
      <c r="A68" s="352"/>
      <c r="B68" s="1159"/>
      <c r="C68" s="286"/>
      <c r="D68" s="301"/>
      <c r="E68" s="304"/>
      <c r="F68" s="1125"/>
      <c r="G68" s="772"/>
      <c r="H68" s="772"/>
      <c r="I68" s="1661"/>
      <c r="K68" s="1683"/>
    </row>
    <row r="69" spans="1:11" s="295" customFormat="1" ht="15" customHeight="1" thickBot="1">
      <c r="A69" s="316" t="s">
        <v>74</v>
      </c>
      <c r="B69" s="288" t="s">
        <v>543</v>
      </c>
      <c r="C69" s="305">
        <f>SUM(C68)</f>
        <v>0</v>
      </c>
      <c r="D69" s="305">
        <f>SUM(D68)</f>
        <v>0</v>
      </c>
      <c r="E69" s="305">
        <f>SUM(E68)</f>
        <v>0</v>
      </c>
      <c r="F69" s="1125"/>
      <c r="G69" s="772"/>
      <c r="H69" s="772"/>
      <c r="I69" s="1661"/>
      <c r="K69" s="1683"/>
    </row>
    <row r="70" spans="1:11" s="295" customFormat="1" ht="15" customHeight="1" thickBot="1">
      <c r="A70" s="352"/>
      <c r="B70" s="1159"/>
      <c r="C70" s="286"/>
      <c r="D70" s="301"/>
      <c r="E70" s="304"/>
      <c r="F70" s="1125"/>
      <c r="G70" s="772"/>
      <c r="H70" s="772"/>
      <c r="I70" s="1661"/>
      <c r="K70" s="1683"/>
    </row>
    <row r="71" spans="1:11" s="295" customFormat="1" ht="15" customHeight="1" thickBot="1">
      <c r="A71" s="122" t="s">
        <v>546</v>
      </c>
      <c r="B71" s="288" t="s">
        <v>544</v>
      </c>
      <c r="C71" s="305">
        <f>SUM(C70)</f>
        <v>0</v>
      </c>
      <c r="D71" s="305">
        <f>SUM(D70)</f>
        <v>0</v>
      </c>
      <c r="E71" s="305">
        <f>SUM(E70)</f>
        <v>0</v>
      </c>
      <c r="F71" s="1125"/>
      <c r="G71" s="772"/>
      <c r="H71" s="772"/>
      <c r="I71" s="1661"/>
      <c r="K71" s="1683"/>
    </row>
    <row r="72" spans="1:11" s="295" customFormat="1" ht="15" customHeight="1">
      <c r="A72" s="1344"/>
      <c r="B72" s="1347" t="s">
        <v>661</v>
      </c>
      <c r="C72" s="1345">
        <v>400</v>
      </c>
      <c r="D72" s="301"/>
      <c r="E72" s="304">
        <f aca="true" t="shared" si="5" ref="E72:E83">SUM(C72:D72)</f>
        <v>400</v>
      </c>
      <c r="F72" s="1125"/>
      <c r="G72" s="772"/>
      <c r="H72" s="772"/>
      <c r="I72" s="1661"/>
      <c r="K72" s="1683"/>
    </row>
    <row r="73" spans="1:11" s="295" customFormat="1" ht="15" customHeight="1">
      <c r="A73" s="310"/>
      <c r="B73" s="1644" t="s">
        <v>662</v>
      </c>
      <c r="C73" s="1343">
        <v>3000</v>
      </c>
      <c r="D73" s="301"/>
      <c r="E73" s="304">
        <f t="shared" si="5"/>
        <v>3000</v>
      </c>
      <c r="F73" s="1125"/>
      <c r="G73" s="772"/>
      <c r="H73" s="772"/>
      <c r="I73" s="1661"/>
      <c r="K73" s="1683"/>
    </row>
    <row r="74" spans="1:11" s="295" customFormat="1" ht="15" customHeight="1">
      <c r="A74" s="310"/>
      <c r="B74" s="1644" t="s">
        <v>663</v>
      </c>
      <c r="C74" s="1345">
        <v>600</v>
      </c>
      <c r="D74" s="301"/>
      <c r="E74" s="304">
        <f t="shared" si="5"/>
        <v>600</v>
      </c>
      <c r="F74" s="1125"/>
      <c r="G74" s="772"/>
      <c r="H74" s="772"/>
      <c r="I74" s="1661"/>
      <c r="K74" s="1683"/>
    </row>
    <row r="75" spans="1:11" s="295" customFormat="1" ht="15" customHeight="1">
      <c r="A75" s="310"/>
      <c r="B75" s="1568" t="s">
        <v>743</v>
      </c>
      <c r="C75" s="1345">
        <v>576</v>
      </c>
      <c r="D75" s="301"/>
      <c r="E75" s="304">
        <f t="shared" si="5"/>
        <v>576</v>
      </c>
      <c r="F75" s="1125"/>
      <c r="G75" s="772"/>
      <c r="H75" s="772"/>
      <c r="I75" s="1661"/>
      <c r="K75" s="1683"/>
    </row>
    <row r="76" spans="1:11" s="295" customFormat="1" ht="15" customHeight="1">
      <c r="A76" s="310"/>
      <c r="B76" s="1568" t="s">
        <v>786</v>
      </c>
      <c r="C76" s="1345">
        <v>1000</v>
      </c>
      <c r="D76" s="301"/>
      <c r="E76" s="304">
        <f t="shared" si="5"/>
        <v>1000</v>
      </c>
      <c r="F76" s="1125"/>
      <c r="G76" s="772"/>
      <c r="H76" s="772"/>
      <c r="I76" s="1661"/>
      <c r="K76" s="1683"/>
    </row>
    <row r="77" spans="1:11" s="295" customFormat="1" ht="15" customHeight="1">
      <c r="A77" s="310"/>
      <c r="B77" s="1568" t="s">
        <v>744</v>
      </c>
      <c r="C77" s="1345">
        <v>24873</v>
      </c>
      <c r="D77" s="301"/>
      <c r="E77" s="304">
        <f t="shared" si="5"/>
        <v>24873</v>
      </c>
      <c r="F77" s="1125"/>
      <c r="G77" s="772"/>
      <c r="H77" s="772"/>
      <c r="I77" s="1661">
        <v>22680</v>
      </c>
      <c r="K77" s="1683"/>
    </row>
    <row r="78" spans="1:11" s="295" customFormat="1" ht="15" customHeight="1">
      <c r="A78" s="310"/>
      <c r="B78" s="1568" t="s">
        <v>787</v>
      </c>
      <c r="C78" s="1345">
        <v>1000</v>
      </c>
      <c r="D78" s="301"/>
      <c r="E78" s="304">
        <f t="shared" si="5"/>
        <v>1000</v>
      </c>
      <c r="F78" s="1125"/>
      <c r="G78" s="772"/>
      <c r="H78" s="772"/>
      <c r="I78" s="1661"/>
      <c r="K78" s="1683"/>
    </row>
    <row r="79" spans="1:11" s="295" customFormat="1" ht="15" customHeight="1">
      <c r="A79" s="310"/>
      <c r="B79" s="1568" t="s">
        <v>788</v>
      </c>
      <c r="C79" s="1345">
        <v>1500</v>
      </c>
      <c r="D79" s="301"/>
      <c r="E79" s="304">
        <f t="shared" si="5"/>
        <v>1500</v>
      </c>
      <c r="F79" s="1125"/>
      <c r="G79" s="772"/>
      <c r="H79" s="772"/>
      <c r="I79" s="1661"/>
      <c r="K79" s="1683"/>
    </row>
    <row r="80" spans="1:11" s="295" customFormat="1" ht="15" customHeight="1">
      <c r="A80" s="310"/>
      <c r="B80" s="1347" t="s">
        <v>659</v>
      </c>
      <c r="C80" s="1346">
        <v>2500</v>
      </c>
      <c r="D80" s="301"/>
      <c r="E80" s="304">
        <f t="shared" si="5"/>
        <v>2500</v>
      </c>
      <c r="F80" s="1125"/>
      <c r="G80" s="772"/>
      <c r="H80" s="772"/>
      <c r="I80" s="1661"/>
      <c r="K80" s="1683"/>
    </row>
    <row r="81" spans="1:11" s="295" customFormat="1" ht="15" customHeight="1">
      <c r="A81" s="310"/>
      <c r="B81" s="1645" t="s">
        <v>658</v>
      </c>
      <c r="C81" s="1345">
        <v>10000</v>
      </c>
      <c r="D81" s="301"/>
      <c r="E81" s="304">
        <f t="shared" si="5"/>
        <v>10000</v>
      </c>
      <c r="F81" s="1125"/>
      <c r="G81" s="772"/>
      <c r="H81" s="772"/>
      <c r="I81" s="1661"/>
      <c r="K81" s="1683"/>
    </row>
    <row r="82" spans="1:11" s="295" customFormat="1" ht="15" customHeight="1">
      <c r="A82" s="310"/>
      <c r="B82" s="1568" t="s">
        <v>745</v>
      </c>
      <c r="C82" s="1570">
        <v>38000</v>
      </c>
      <c r="D82" s="1541"/>
      <c r="E82" s="304">
        <f t="shared" si="5"/>
        <v>38000</v>
      </c>
      <c r="F82" s="1125"/>
      <c r="G82" s="772"/>
      <c r="H82" s="772"/>
      <c r="I82" s="1661"/>
      <c r="K82" s="1683"/>
    </row>
    <row r="83" spans="1:11" s="295" customFormat="1" ht="15" customHeight="1" thickBot="1">
      <c r="A83" s="310"/>
      <c r="B83" s="1646" t="s">
        <v>746</v>
      </c>
      <c r="C83" s="1569">
        <v>40099</v>
      </c>
      <c r="D83" s="1540"/>
      <c r="E83" s="304">
        <f t="shared" si="5"/>
        <v>40099</v>
      </c>
      <c r="F83" s="1125"/>
      <c r="G83" s="772"/>
      <c r="H83" s="772"/>
      <c r="I83" s="1661"/>
      <c r="K83" s="1683"/>
    </row>
    <row r="84" spans="1:11" s="306" customFormat="1" ht="15" customHeight="1" thickBot="1">
      <c r="A84" s="287" t="s">
        <v>461</v>
      </c>
      <c r="B84" s="288" t="s">
        <v>545</v>
      </c>
      <c r="C84" s="305">
        <f>SUM(C68:C83)</f>
        <v>123548</v>
      </c>
      <c r="D84" s="305">
        <f>SUM(D68:D83)</f>
        <v>0</v>
      </c>
      <c r="E84" s="305">
        <f>SUM(E68:E83)</f>
        <v>123548</v>
      </c>
      <c r="F84" s="1125"/>
      <c r="G84" s="772"/>
      <c r="H84" s="772"/>
      <c r="I84" s="1661"/>
      <c r="K84" s="1683"/>
    </row>
    <row r="85" spans="1:11" s="306" customFormat="1" ht="15" customHeight="1" thickBot="1">
      <c r="A85" s="269" t="s">
        <v>518</v>
      </c>
      <c r="B85" s="288" t="s">
        <v>535</v>
      </c>
      <c r="C85" s="305">
        <v>2654</v>
      </c>
      <c r="D85" s="305">
        <v>991</v>
      </c>
      <c r="E85" s="1422">
        <f>SUM(C85:D85)</f>
        <v>3645</v>
      </c>
      <c r="F85" s="1125"/>
      <c r="G85" s="772"/>
      <c r="H85" s="772"/>
      <c r="I85" s="1661">
        <v>832</v>
      </c>
      <c r="K85" s="1683"/>
    </row>
    <row r="86" spans="1:11" s="306" customFormat="1" ht="15" customHeight="1">
      <c r="A86" s="1882"/>
      <c r="B86" s="1357" t="s">
        <v>627</v>
      </c>
      <c r="C86" s="1129">
        <v>3000</v>
      </c>
      <c r="D86" s="237">
        <v>-3000</v>
      </c>
      <c r="E86" s="302">
        <f>SUM(C86:D86)</f>
        <v>0</v>
      </c>
      <c r="F86" s="1125"/>
      <c r="G86" s="772"/>
      <c r="H86" s="772"/>
      <c r="I86" s="1661"/>
      <c r="K86" s="1683"/>
    </row>
    <row r="87" spans="1:11" s="306" customFormat="1" ht="15" customHeight="1">
      <c r="A87" s="1882"/>
      <c r="B87" s="1357" t="s">
        <v>628</v>
      </c>
      <c r="C87" s="231">
        <v>3000</v>
      </c>
      <c r="D87" s="231"/>
      <c r="E87" s="304">
        <f>SUM(C87:D87)</f>
        <v>3000</v>
      </c>
      <c r="F87" s="1125"/>
      <c r="G87" s="772"/>
      <c r="H87" s="772"/>
      <c r="I87" s="1661"/>
      <c r="K87" s="1683"/>
    </row>
    <row r="88" spans="1:11" s="306" customFormat="1" ht="15" customHeight="1">
      <c r="A88" s="1882"/>
      <c r="B88" s="1560" t="s">
        <v>629</v>
      </c>
      <c r="C88" s="231">
        <v>20000</v>
      </c>
      <c r="D88" s="231">
        <v>-12669</v>
      </c>
      <c r="E88" s="304">
        <f>SUM(C88:D88)</f>
        <v>7331</v>
      </c>
      <c r="F88" s="1125"/>
      <c r="G88" s="772"/>
      <c r="H88" s="772"/>
      <c r="I88" s="1661"/>
      <c r="K88" s="1683"/>
    </row>
    <row r="89" spans="1:11" s="306" customFormat="1" ht="15" customHeight="1">
      <c r="A89" s="299"/>
      <c r="B89" s="1575" t="s">
        <v>783</v>
      </c>
      <c r="C89" s="237">
        <v>5000</v>
      </c>
      <c r="D89" s="237"/>
      <c r="E89" s="304">
        <f>SUM(C89:D89)</f>
        <v>5000</v>
      </c>
      <c r="F89" s="1125"/>
      <c r="G89" s="772"/>
      <c r="H89" s="772"/>
      <c r="I89" s="1661"/>
      <c r="K89" s="1683"/>
    </row>
    <row r="90" spans="1:11" s="306" customFormat="1" ht="15" customHeight="1">
      <c r="A90" s="299"/>
      <c r="B90" s="1571" t="s">
        <v>747</v>
      </c>
      <c r="C90" s="1572">
        <v>4993</v>
      </c>
      <c r="D90" s="1572"/>
      <c r="E90" s="304">
        <f aca="true" t="shared" si="6" ref="E90:E99">SUM(C90:D90)</f>
        <v>4993</v>
      </c>
      <c r="F90" s="1125"/>
      <c r="G90" s="772"/>
      <c r="H90" s="772"/>
      <c r="I90" s="1661"/>
      <c r="K90" s="1683"/>
    </row>
    <row r="91" spans="1:11" s="306" customFormat="1" ht="15" customHeight="1">
      <c r="A91" s="299"/>
      <c r="B91" s="1574" t="s">
        <v>748</v>
      </c>
      <c r="C91" s="1573">
        <v>4993</v>
      </c>
      <c r="D91" s="1573"/>
      <c r="E91" s="1578">
        <f t="shared" si="6"/>
        <v>4993</v>
      </c>
      <c r="F91" s="1125"/>
      <c r="G91" s="772"/>
      <c r="H91" s="772"/>
      <c r="I91" s="1661">
        <v>4877</v>
      </c>
      <c r="K91" s="1683"/>
    </row>
    <row r="92" spans="1:11" s="306" customFormat="1" ht="15" customHeight="1">
      <c r="A92" s="299"/>
      <c r="B92" s="1575" t="s">
        <v>749</v>
      </c>
      <c r="C92" s="237">
        <v>10319</v>
      </c>
      <c r="D92" s="237"/>
      <c r="E92" s="302">
        <f t="shared" si="6"/>
        <v>10319</v>
      </c>
      <c r="F92" s="1125"/>
      <c r="G92" s="772"/>
      <c r="H92" s="772"/>
      <c r="I92" s="1661"/>
      <c r="K92" s="1683"/>
    </row>
    <row r="93" spans="1:11" s="306" customFormat="1" ht="15" customHeight="1">
      <c r="A93" s="299"/>
      <c r="B93" s="1574" t="s">
        <v>750</v>
      </c>
      <c r="C93" s="237">
        <v>5319</v>
      </c>
      <c r="D93" s="1576"/>
      <c r="E93" s="1577">
        <f t="shared" si="6"/>
        <v>5319</v>
      </c>
      <c r="F93" s="1125"/>
      <c r="G93" s="772"/>
      <c r="H93" s="772"/>
      <c r="I93" s="1661">
        <v>4836</v>
      </c>
      <c r="K93" s="1683"/>
    </row>
    <row r="94" spans="1:11" s="306" customFormat="1" ht="15" customHeight="1">
      <c r="A94" s="299"/>
      <c r="B94" s="1579" t="s">
        <v>751</v>
      </c>
      <c r="C94" s="237">
        <v>12275</v>
      </c>
      <c r="D94" s="237"/>
      <c r="E94" s="302">
        <f t="shared" si="6"/>
        <v>12275</v>
      </c>
      <c r="F94" s="1125"/>
      <c r="G94" s="772"/>
      <c r="H94" s="772"/>
      <c r="I94" s="1661"/>
      <c r="K94" s="1683"/>
    </row>
    <row r="95" spans="1:11" s="306" customFormat="1" ht="15" customHeight="1">
      <c r="A95" s="299"/>
      <c r="B95" s="1580" t="s">
        <v>752</v>
      </c>
      <c r="C95" s="237">
        <v>12275</v>
      </c>
      <c r="D95" s="1576"/>
      <c r="E95" s="1577">
        <f t="shared" si="6"/>
        <v>12275</v>
      </c>
      <c r="F95" s="1125"/>
      <c r="G95" s="772"/>
      <c r="H95" s="772"/>
      <c r="I95" s="1661">
        <v>12275</v>
      </c>
      <c r="K95" s="1683"/>
    </row>
    <row r="96" spans="1:11" s="306" customFormat="1" ht="15" customHeight="1">
      <c r="A96" s="299"/>
      <c r="B96" s="1560" t="s">
        <v>636</v>
      </c>
      <c r="C96" s="231">
        <f>SUM(C97:C99)</f>
        <v>0</v>
      </c>
      <c r="D96" s="231">
        <f>SUM(D97:D99)</f>
        <v>16452</v>
      </c>
      <c r="E96" s="304">
        <f>SUM(C96:D96)</f>
        <v>16452</v>
      </c>
      <c r="F96" s="1125"/>
      <c r="G96" s="772"/>
      <c r="H96" s="772"/>
      <c r="I96" s="1661"/>
      <c r="K96" s="1683"/>
    </row>
    <row r="97" spans="1:11" s="306" customFormat="1" ht="15" customHeight="1">
      <c r="A97" s="299"/>
      <c r="B97" s="1580" t="s">
        <v>829</v>
      </c>
      <c r="C97" s="231"/>
      <c r="D97" s="1617">
        <v>5312</v>
      </c>
      <c r="E97" s="1577">
        <f t="shared" si="6"/>
        <v>5312</v>
      </c>
      <c r="F97" s="1125"/>
      <c r="G97" s="772"/>
      <c r="H97" s="772"/>
      <c r="I97" s="1661"/>
      <c r="K97" s="1683"/>
    </row>
    <row r="98" spans="1:11" s="306" customFormat="1" ht="15" customHeight="1">
      <c r="A98" s="299"/>
      <c r="B98" s="1580" t="s">
        <v>830</v>
      </c>
      <c r="C98" s="231"/>
      <c r="D98" s="1617">
        <v>7779</v>
      </c>
      <c r="E98" s="1577">
        <f t="shared" si="6"/>
        <v>7779</v>
      </c>
      <c r="F98" s="1125"/>
      <c r="G98" s="772"/>
      <c r="H98" s="772"/>
      <c r="I98" s="1661"/>
      <c r="K98" s="1683"/>
    </row>
    <row r="99" spans="1:11" s="306" customFormat="1" ht="15" customHeight="1" thickBot="1">
      <c r="A99" s="299"/>
      <c r="B99" s="1580" t="s">
        <v>831</v>
      </c>
      <c r="C99" s="231"/>
      <c r="D99" s="1617">
        <v>3361</v>
      </c>
      <c r="E99" s="1577">
        <f t="shared" si="6"/>
        <v>3361</v>
      </c>
      <c r="F99" s="1125"/>
      <c r="G99" s="772"/>
      <c r="H99" s="772"/>
      <c r="I99" s="1661"/>
      <c r="K99" s="1683"/>
    </row>
    <row r="100" spans="1:11" s="306" customFormat="1" ht="15" customHeight="1" thickBot="1">
      <c r="A100" s="1421" t="s">
        <v>626</v>
      </c>
      <c r="B100" s="1423" t="s">
        <v>221</v>
      </c>
      <c r="C100" s="1422">
        <f>SUM(C86:C88)+C90+C92+C94+C89+C96</f>
        <v>58587</v>
      </c>
      <c r="D100" s="1422">
        <f>SUM(D86:D88)+D90+D92+D94+D89+D96</f>
        <v>783</v>
      </c>
      <c r="E100" s="1422">
        <f>SUM(E86:E88)+E90+E92+E94+E89+E96</f>
        <v>59370</v>
      </c>
      <c r="F100" s="1125"/>
      <c r="G100" s="772"/>
      <c r="H100" s="772"/>
      <c r="I100" s="1661"/>
      <c r="K100" s="1683"/>
    </row>
    <row r="101" spans="1:11" s="295" customFormat="1" ht="15" customHeight="1" thickBot="1">
      <c r="A101" s="270" t="s">
        <v>54</v>
      </c>
      <c r="B101" s="297" t="s">
        <v>651</v>
      </c>
      <c r="C101" s="235">
        <f>C48+C50+C57+C61+C63+C65+C67+C69+C71+C84+C85</f>
        <v>205781</v>
      </c>
      <c r="D101" s="235">
        <f>D48+D50+D57+D61+D63+D65+D67+D69+D71+D84+D85</f>
        <v>76438</v>
      </c>
      <c r="E101" s="235">
        <f>E48+E50+E57+E61+E63+E65+E67+E69+E71+E84+E85</f>
        <v>282219</v>
      </c>
      <c r="F101" s="1125">
        <f>SUM(C101:D101)</f>
        <v>282219</v>
      </c>
      <c r="G101" s="772"/>
      <c r="H101" s="772"/>
      <c r="I101" s="1661"/>
      <c r="K101" s="1683"/>
    </row>
    <row r="102" spans="1:11" s="1315" customFormat="1" ht="15" customHeight="1">
      <c r="A102" s="1883"/>
      <c r="B102" s="1548" t="s">
        <v>727</v>
      </c>
      <c r="C102" s="1549">
        <v>12011</v>
      </c>
      <c r="D102" s="1549"/>
      <c r="E102" s="1424">
        <f>SUM(C102:D102)</f>
        <v>12011</v>
      </c>
      <c r="F102" s="771"/>
      <c r="G102" s="770"/>
      <c r="H102" s="770"/>
      <c r="I102" s="1667"/>
      <c r="K102" s="1683"/>
    </row>
    <row r="103" spans="1:11" s="1315" customFormat="1" ht="15" customHeight="1" thickBot="1">
      <c r="A103" s="1884"/>
      <c r="B103" s="1550" t="s">
        <v>728</v>
      </c>
      <c r="C103" s="1419">
        <v>629881</v>
      </c>
      <c r="D103" s="1419"/>
      <c r="E103" s="1355">
        <f>SUM(C103:D103)</f>
        <v>629881</v>
      </c>
      <c r="F103" s="771"/>
      <c r="G103" s="770"/>
      <c r="H103" s="770"/>
      <c r="I103" s="1667">
        <v>193831</v>
      </c>
      <c r="K103" s="1683"/>
    </row>
    <row r="104" spans="1:11" s="1315" customFormat="1" ht="15" customHeight="1" thickBot="1">
      <c r="A104" s="1316" t="s">
        <v>128</v>
      </c>
      <c r="B104" s="1318" t="s">
        <v>561</v>
      </c>
      <c r="C104" s="1317">
        <f>SUM(C102:C103)</f>
        <v>641892</v>
      </c>
      <c r="D104" s="1317">
        <f>SUM(D102:D103)</f>
        <v>0</v>
      </c>
      <c r="E104" s="1317">
        <f>SUM(E102:E103)</f>
        <v>641892</v>
      </c>
      <c r="F104" s="771"/>
      <c r="G104" s="770"/>
      <c r="H104" s="770"/>
      <c r="I104" s="1667"/>
      <c r="K104" s="1683"/>
    </row>
    <row r="105" spans="1:11" s="295" customFormat="1" ht="19.5" customHeight="1" thickBot="1" thickTop="1">
      <c r="A105" s="307" t="s">
        <v>105</v>
      </c>
      <c r="B105" s="308" t="s">
        <v>828</v>
      </c>
      <c r="C105" s="248">
        <f>C17+C25+C36+C41+C101+C104+C100+C38</f>
        <v>1581891</v>
      </c>
      <c r="D105" s="248">
        <f>D17+D25+D36+D41+D101+D104+D100+D38</f>
        <v>-23618</v>
      </c>
      <c r="E105" s="248">
        <f>E17+E25+E36+E41+E101+E104+E100+E38</f>
        <v>1558273</v>
      </c>
      <c r="F105" s="1125">
        <f>SUM(C105:D105)</f>
        <v>1558273</v>
      </c>
      <c r="G105" s="1125">
        <f>'hivatal5 '!E25</f>
        <v>1558273</v>
      </c>
      <c r="H105" s="1125">
        <f>F105-G105</f>
        <v>0</v>
      </c>
      <c r="I105" s="1661"/>
      <c r="K105" s="1683"/>
    </row>
    <row r="106" spans="1:11" s="295" customFormat="1" ht="15" customHeight="1" thickTop="1">
      <c r="A106" s="1885"/>
      <c r="B106" s="300" t="s">
        <v>350</v>
      </c>
      <c r="C106" s="286">
        <v>153215</v>
      </c>
      <c r="D106" s="301">
        <f>-3303-5439</f>
        <v>-8742</v>
      </c>
      <c r="E106" s="302">
        <f>SUM(C106:D106)</f>
        <v>144473</v>
      </c>
      <c r="F106" s="1125"/>
      <c r="G106" s="772"/>
      <c r="H106" s="772"/>
      <c r="I106" s="1661">
        <v>16255</v>
      </c>
      <c r="K106" s="1683"/>
    </row>
    <row r="107" spans="1:11" s="295" customFormat="1" ht="15" customHeight="1" thickBot="1">
      <c r="A107" s="1884"/>
      <c r="B107" s="1675" t="s">
        <v>826</v>
      </c>
      <c r="C107" s="1674"/>
      <c r="D107" s="1540">
        <v>3979</v>
      </c>
      <c r="E107" s="302">
        <f>SUM(C107:D107)</f>
        <v>3979</v>
      </c>
      <c r="F107" s="1125"/>
      <c r="G107" s="772"/>
      <c r="H107" s="772"/>
      <c r="I107" s="1661"/>
      <c r="K107" s="1683"/>
    </row>
    <row r="108" spans="1:11" s="309" customFormat="1" ht="15" customHeight="1" thickBot="1">
      <c r="A108" s="269" t="s">
        <v>108</v>
      </c>
      <c r="B108" s="288" t="s">
        <v>352</v>
      </c>
      <c r="C108" s="305">
        <f>SUM(C106:C107)</f>
        <v>153215</v>
      </c>
      <c r="D108" s="305">
        <f>SUM(D106:D107)</f>
        <v>-4763</v>
      </c>
      <c r="E108" s="305">
        <f>SUM(E106:E107)</f>
        <v>148452</v>
      </c>
      <c r="F108" s="771">
        <f>SUM(C108:D108)</f>
        <v>148452</v>
      </c>
      <c r="G108" s="770"/>
      <c r="H108" s="770"/>
      <c r="I108" s="1667"/>
      <c r="K108" s="1683"/>
    </row>
    <row r="109" spans="1:11" s="295" customFormat="1" ht="15" customHeight="1">
      <c r="A109" s="310"/>
      <c r="B109" s="300" t="s">
        <v>211</v>
      </c>
      <c r="C109" s="303">
        <v>381267</v>
      </c>
      <c r="D109" s="301">
        <f>11168+17583-25000-24748-496+5935</f>
        <v>-15558</v>
      </c>
      <c r="E109" s="302">
        <f>SUM(C109:D109)</f>
        <v>365709</v>
      </c>
      <c r="F109" s="1125"/>
      <c r="G109" s="772"/>
      <c r="H109" s="772"/>
      <c r="I109" s="1661">
        <v>70443</v>
      </c>
      <c r="K109" s="1683"/>
    </row>
    <row r="110" spans="1:11" s="295" customFormat="1" ht="15" customHeight="1">
      <c r="A110" s="310"/>
      <c r="B110" s="300" t="s">
        <v>212</v>
      </c>
      <c r="C110" s="303">
        <v>29500</v>
      </c>
      <c r="D110" s="301">
        <f>-3756</f>
        <v>-3756</v>
      </c>
      <c r="E110" s="302">
        <f>SUM(C110:D110)</f>
        <v>25744</v>
      </c>
      <c r="F110" s="1125"/>
      <c r="G110" s="772"/>
      <c r="H110" s="772"/>
      <c r="I110" s="1661"/>
      <c r="K110" s="1683"/>
    </row>
    <row r="111" spans="1:11" s="295" customFormat="1" ht="15" customHeight="1" thickBot="1">
      <c r="A111" s="310"/>
      <c r="B111" s="1542" t="s">
        <v>724</v>
      </c>
      <c r="C111" s="303">
        <v>600</v>
      </c>
      <c r="D111" s="1541"/>
      <c r="E111" s="302">
        <f>SUM(C111:D111)</f>
        <v>600</v>
      </c>
      <c r="F111" s="1125"/>
      <c r="G111" s="772"/>
      <c r="H111" s="772"/>
      <c r="I111" s="1661">
        <v>536</v>
      </c>
      <c r="K111" s="1683"/>
    </row>
    <row r="112" spans="1:11" s="311" customFormat="1" ht="15" customHeight="1" thickBot="1">
      <c r="A112" s="287" t="s">
        <v>109</v>
      </c>
      <c r="B112" s="288" t="s">
        <v>353</v>
      </c>
      <c r="C112" s="1161">
        <f>SUM(C109:C111)</f>
        <v>411367</v>
      </c>
      <c r="D112" s="1161">
        <f>SUM(D109:D111)</f>
        <v>-19314</v>
      </c>
      <c r="E112" s="1161">
        <f>SUM(E109:E111)</f>
        <v>392053</v>
      </c>
      <c r="F112" s="1515">
        <f>SUM(C112:D112)</f>
        <v>392053</v>
      </c>
      <c r="G112" s="806"/>
      <c r="H112" s="806"/>
      <c r="I112" s="1659"/>
      <c r="K112" s="1683"/>
    </row>
    <row r="113" spans="1:11" s="311" customFormat="1" ht="15" customHeight="1" thickBot="1">
      <c r="A113" s="122" t="s">
        <v>110</v>
      </c>
      <c r="B113" s="1165" t="s">
        <v>800</v>
      </c>
      <c r="C113" s="1166">
        <v>20000</v>
      </c>
      <c r="D113" s="289">
        <f>-9595-10405</f>
        <v>-20000</v>
      </c>
      <c r="E113" s="1164">
        <f aca="true" t="shared" si="7" ref="E113:E119">SUM(C113:D113)</f>
        <v>0</v>
      </c>
      <c r="F113" s="1515"/>
      <c r="G113" s="806"/>
      <c r="H113" s="806"/>
      <c r="I113" s="1659"/>
      <c r="K113" s="1683"/>
    </row>
    <row r="114" spans="1:11" s="311" customFormat="1" ht="15" customHeight="1" thickBot="1">
      <c r="A114" s="1300" t="s">
        <v>111</v>
      </c>
      <c r="B114" s="1165" t="s">
        <v>555</v>
      </c>
      <c r="C114" s="1166">
        <v>8000</v>
      </c>
      <c r="D114" s="289"/>
      <c r="E114" s="1164">
        <f t="shared" si="7"/>
        <v>8000</v>
      </c>
      <c r="F114" s="1515"/>
      <c r="G114" s="806"/>
      <c r="H114" s="806"/>
      <c r="I114" s="1659"/>
      <c r="K114" s="1683"/>
    </row>
    <row r="115" spans="1:11" s="311" customFormat="1" ht="15" customHeight="1" thickBot="1">
      <c r="A115" s="1300" t="s">
        <v>202</v>
      </c>
      <c r="B115" s="1457" t="s">
        <v>593</v>
      </c>
      <c r="C115" s="1349">
        <v>4000</v>
      </c>
      <c r="D115" s="289"/>
      <c r="E115" s="1164">
        <f t="shared" si="7"/>
        <v>4000</v>
      </c>
      <c r="F115" s="1515"/>
      <c r="G115" s="806"/>
      <c r="H115" s="806"/>
      <c r="I115" s="1659"/>
      <c r="K115" s="1683"/>
    </row>
    <row r="116" spans="1:11" s="311" customFormat="1" ht="15" customHeight="1" thickBot="1">
      <c r="A116" s="1300" t="s">
        <v>359</v>
      </c>
      <c r="B116" s="1457" t="s">
        <v>594</v>
      </c>
      <c r="C116" s="1349">
        <v>25000</v>
      </c>
      <c r="D116" s="289">
        <v>-25000</v>
      </c>
      <c r="E116" s="1164">
        <f t="shared" si="7"/>
        <v>0</v>
      </c>
      <c r="F116" s="1515"/>
      <c r="G116" s="806"/>
      <c r="H116" s="806"/>
      <c r="I116" s="1659"/>
      <c r="K116" s="1683"/>
    </row>
    <row r="117" spans="1:11" s="311" customFormat="1" ht="15" customHeight="1" thickBot="1">
      <c r="A117" s="1300" t="s">
        <v>361</v>
      </c>
      <c r="B117" s="1457" t="s">
        <v>595</v>
      </c>
      <c r="C117" s="1349">
        <v>15000</v>
      </c>
      <c r="D117" s="289"/>
      <c r="E117" s="1164">
        <f t="shared" si="7"/>
        <v>15000</v>
      </c>
      <c r="F117" s="1515"/>
      <c r="G117" s="806"/>
      <c r="H117" s="806"/>
      <c r="I117" s="1659"/>
      <c r="K117" s="1683"/>
    </row>
    <row r="118" spans="1:11" s="311" customFormat="1" ht="15" customHeight="1" thickBot="1">
      <c r="A118" s="1300" t="s">
        <v>74</v>
      </c>
      <c r="B118" s="1458" t="s">
        <v>801</v>
      </c>
      <c r="C118" s="1349">
        <v>10000</v>
      </c>
      <c r="D118" s="289"/>
      <c r="E118" s="1164">
        <f t="shared" si="7"/>
        <v>10000</v>
      </c>
      <c r="F118" s="1515"/>
      <c r="G118" s="806"/>
      <c r="H118" s="806"/>
      <c r="I118" s="1659"/>
      <c r="K118" s="1683"/>
    </row>
    <row r="119" spans="1:11" s="311" customFormat="1" ht="15" customHeight="1" thickBot="1">
      <c r="A119" s="122" t="s">
        <v>546</v>
      </c>
      <c r="B119" s="1457" t="s">
        <v>596</v>
      </c>
      <c r="C119" s="1349">
        <v>5000</v>
      </c>
      <c r="D119" s="289"/>
      <c r="E119" s="1164">
        <f t="shared" si="7"/>
        <v>5000</v>
      </c>
      <c r="F119" s="1515"/>
      <c r="G119" s="806"/>
      <c r="H119" s="806"/>
      <c r="I119" s="1659"/>
      <c r="K119" s="1683"/>
    </row>
    <row r="120" spans="1:11" s="311" customFormat="1" ht="15" customHeight="1" thickBot="1">
      <c r="A120" s="1543" t="s">
        <v>461</v>
      </c>
      <c r="B120" s="1544" t="s">
        <v>725</v>
      </c>
      <c r="C120" s="1545">
        <v>1400</v>
      </c>
      <c r="D120" s="1546">
        <v>-650</v>
      </c>
      <c r="E120" s="1547">
        <f>SUM(C120:D120)</f>
        <v>750</v>
      </c>
      <c r="F120" s="1515"/>
      <c r="G120" s="806"/>
      <c r="H120" s="806"/>
      <c r="I120" s="1659">
        <v>750</v>
      </c>
      <c r="K120" s="1683"/>
    </row>
    <row r="121" spans="1:11" ht="15" customHeight="1" thickBot="1" thickTop="1">
      <c r="A121" s="1299" t="s">
        <v>112</v>
      </c>
      <c r="B121" s="1162" t="s">
        <v>726</v>
      </c>
      <c r="C121" s="1163">
        <f>C108+C112+C113+C114+C119+C115+C116+C117+C118+C120</f>
        <v>652982</v>
      </c>
      <c r="D121" s="1163">
        <f>D108+D112+D113+D114+D119+D115+D116+D117+D118+D120</f>
        <v>-69727</v>
      </c>
      <c r="E121" s="1163">
        <f>E108+E112+E113+E114+E119+E115+E116+E117+E118+E120</f>
        <v>583255</v>
      </c>
      <c r="F121" s="1515">
        <f>SUM(C121:D121)</f>
        <v>583255</v>
      </c>
      <c r="G121" s="1515">
        <f>hivatal4!N25</f>
        <v>583255</v>
      </c>
      <c r="H121" s="1515">
        <f>F121-G121</f>
        <v>0</v>
      </c>
      <c r="K121" s="1683"/>
    </row>
    <row r="122" spans="1:11" ht="15" customHeight="1" thickBot="1" thickTop="1">
      <c r="A122" s="1299" t="s">
        <v>115</v>
      </c>
      <c r="B122" s="1162" t="s">
        <v>722</v>
      </c>
      <c r="C122" s="1538">
        <f>hivatal1!I25</f>
        <v>26496</v>
      </c>
      <c r="D122" s="1538">
        <f>hivatal1!J25</f>
        <v>62998</v>
      </c>
      <c r="E122" s="1538">
        <f>SUM(C122:D122)</f>
        <v>89494</v>
      </c>
      <c r="F122" s="1515"/>
      <c r="G122" s="1515"/>
      <c r="H122" s="1515"/>
      <c r="I122" s="1659">
        <v>27978</v>
      </c>
      <c r="K122" s="1683"/>
    </row>
    <row r="123" spans="1:7" ht="18.75" customHeight="1" thickBot="1" thickTop="1">
      <c r="A123" s="290" t="s">
        <v>130</v>
      </c>
      <c r="B123" s="281" t="s">
        <v>723</v>
      </c>
      <c r="C123" s="291">
        <f>C105+C121+C122</f>
        <v>2261369</v>
      </c>
      <c r="D123" s="291">
        <f>D105+D121+D122</f>
        <v>-30347</v>
      </c>
      <c r="E123" s="291">
        <f>E105+E121+E122</f>
        <v>2231022</v>
      </c>
      <c r="F123" s="1515">
        <f>SUM(C123:D123)</f>
        <v>2231022</v>
      </c>
      <c r="G123" s="1515"/>
    </row>
    <row r="124" spans="1:5" ht="19.5" customHeight="1" thickBot="1" thickTop="1">
      <c r="A124" s="282" t="s">
        <v>131</v>
      </c>
      <c r="B124" s="283" t="s">
        <v>98</v>
      </c>
      <c r="C124" s="284">
        <f>'önállóan gazd.'!R25</f>
        <v>0</v>
      </c>
      <c r="D124" s="284">
        <f>'önállóan gazd.'!S25</f>
        <v>9900</v>
      </c>
      <c r="E124" s="284">
        <f>'önállóan gazd.'!T25</f>
        <v>9900</v>
      </c>
    </row>
    <row r="125" spans="1:9" ht="18" customHeight="1" thickBot="1" thickTop="1">
      <c r="A125" s="143"/>
      <c r="B125" s="233" t="s">
        <v>244</v>
      </c>
      <c r="C125" s="118">
        <f>SUM(C123:C124)</f>
        <v>2261369</v>
      </c>
      <c r="D125" s="118">
        <f>SUM(D123:D124)</f>
        <v>-20447</v>
      </c>
      <c r="E125" s="118">
        <f>SUM(E123:E124)</f>
        <v>2240922</v>
      </c>
      <c r="F125" s="1515">
        <f>SUM(C125:D125)</f>
        <v>2240922</v>
      </c>
      <c r="G125" s="1515">
        <f>hivatal9!K25</f>
        <v>2240922</v>
      </c>
      <c r="H125" s="1515">
        <f>E125-G125</f>
        <v>0</v>
      </c>
      <c r="I125" s="1659">
        <f>SUM(I7:I124)</f>
        <v>382785</v>
      </c>
    </row>
    <row r="126" ht="13.5" thickTop="1"/>
  </sheetData>
  <sheetProtection/>
  <mergeCells count="4">
    <mergeCell ref="A2:E2"/>
    <mergeCell ref="A86:A88"/>
    <mergeCell ref="A102:A103"/>
    <mergeCell ref="A106:A107"/>
  </mergeCells>
  <printOptions horizontalCentered="1" verticalCentered="1"/>
  <pageMargins left="0.7874015748031497" right="0.7874015748031497" top="0.4724409448818898" bottom="0.35433070866141736" header="0.1968503937007874" footer="0.15748031496062992"/>
  <pageSetup horizontalDpi="600" verticalDpi="600" orientation="portrait" paperSize="9" scale="60" r:id="rId1"/>
  <headerFooter>
    <oddHeader xml:space="preserve">&amp;R7. melléklet a 15/2018.(IX.18.) 
Önkormányzati rendelethez
&amp;P. oldal </oddHeader>
    <oddFooter>&amp;L&amp;F&amp;C&amp;D, &amp;T&amp;R&amp;A</oddFooter>
  </headerFooter>
  <rowBreaks count="1" manualBreakCount="1">
    <brk id="8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0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81" sqref="H81"/>
    </sheetView>
  </sheetViews>
  <sheetFormatPr defaultColWidth="9.00390625" defaultRowHeight="12.75"/>
  <cols>
    <col min="1" max="1" width="4.625" style="1083" customWidth="1"/>
    <col min="2" max="2" width="101.875" style="1083" customWidth="1"/>
    <col min="3" max="3" width="12.375" style="1083" customWidth="1"/>
    <col min="4" max="4" width="12.375" style="1084" customWidth="1"/>
    <col min="5" max="5" width="12.375" style="1085" customWidth="1"/>
    <col min="6" max="6" width="12.625" style="96" customWidth="1"/>
    <col min="7" max="7" width="11.375" style="96" bestFit="1" customWidth="1"/>
    <col min="8" max="8" width="9.375" style="806" customWidth="1"/>
    <col min="9" max="9" width="9.375" style="1659" customWidth="1"/>
    <col min="10" max="10" width="9.375" style="96" customWidth="1"/>
    <col min="11" max="11" width="11.00390625" style="96" customWidth="1"/>
    <col min="12" max="16384" width="9.375" style="96" customWidth="1"/>
  </cols>
  <sheetData>
    <row r="1" spans="1:6" ht="29.25" customHeight="1">
      <c r="A1" s="1049"/>
      <c r="B1" s="1050"/>
      <c r="C1" s="1051"/>
      <c r="D1" s="1052"/>
      <c r="E1" s="997"/>
      <c r="F1" s="1053"/>
    </row>
    <row r="2" spans="1:6" ht="17.25" customHeight="1">
      <c r="A2" s="1892" t="s">
        <v>210</v>
      </c>
      <c r="B2" s="1892"/>
      <c r="C2" s="1892"/>
      <c r="D2" s="1892"/>
      <c r="E2" s="1892"/>
      <c r="F2" s="1053"/>
    </row>
    <row r="3" spans="1:6" ht="15.75" customHeight="1">
      <c r="A3" s="1893" t="s">
        <v>576</v>
      </c>
      <c r="B3" s="1893"/>
      <c r="C3" s="1893"/>
      <c r="D3" s="1893"/>
      <c r="E3" s="1893"/>
      <c r="F3" s="1053"/>
    </row>
    <row r="4" spans="1:6" ht="22.5" customHeight="1" thickBot="1">
      <c r="A4" s="1049"/>
      <c r="B4" s="1050"/>
      <c r="C4" s="1051"/>
      <c r="D4" s="1052"/>
      <c r="E4" s="1275" t="s">
        <v>145</v>
      </c>
      <c r="F4" s="1053"/>
    </row>
    <row r="5" spans="1:9" ht="30" customHeight="1" thickBot="1">
      <c r="A5" s="113" t="s">
        <v>162</v>
      </c>
      <c r="B5" s="114"/>
      <c r="C5" s="73" t="s">
        <v>463</v>
      </c>
      <c r="D5" s="312" t="s">
        <v>141</v>
      </c>
      <c r="E5" s="73" t="s">
        <v>665</v>
      </c>
      <c r="F5" s="1053"/>
      <c r="I5" s="1660" t="s">
        <v>806</v>
      </c>
    </row>
    <row r="6" spans="1:6" ht="10.5" customHeight="1" thickBot="1" thickTop="1">
      <c r="A6" s="1054"/>
      <c r="B6" s="1431">
        <v>1</v>
      </c>
      <c r="C6" s="1433">
        <v>2</v>
      </c>
      <c r="D6" s="1434">
        <v>3</v>
      </c>
      <c r="E6" s="1435">
        <v>4</v>
      </c>
      <c r="F6" s="1053"/>
    </row>
    <row r="7" spans="1:11" s="772" customFormat="1" ht="12.75">
      <c r="A7" s="1430"/>
      <c r="B7" s="1587" t="s">
        <v>729</v>
      </c>
      <c r="C7" s="1354">
        <v>13633</v>
      </c>
      <c r="D7" s="1586"/>
      <c r="E7" s="1172">
        <f aca="true" t="shared" si="0" ref="E7:E17">SUM(C7:D7)</f>
        <v>13633</v>
      </c>
      <c r="F7" s="1125"/>
      <c r="I7" s="1661">
        <v>350</v>
      </c>
      <c r="K7" s="1125"/>
    </row>
    <row r="8" spans="1:11" s="772" customFormat="1" ht="12.75">
      <c r="A8" s="1430"/>
      <c r="B8" s="1593" t="s">
        <v>623</v>
      </c>
      <c r="C8" s="1129"/>
      <c r="D8" s="1588">
        <v>338</v>
      </c>
      <c r="E8" s="238">
        <f t="shared" si="0"/>
        <v>338</v>
      </c>
      <c r="F8" s="1125"/>
      <c r="I8" s="1661">
        <v>338</v>
      </c>
      <c r="K8" s="1125"/>
    </row>
    <row r="9" spans="1:11" s="772" customFormat="1" ht="12.75">
      <c r="A9" s="1430"/>
      <c r="B9" s="1585" t="s">
        <v>632</v>
      </c>
      <c r="C9" s="1129">
        <v>1000</v>
      </c>
      <c r="D9" s="1588"/>
      <c r="E9" s="238">
        <f t="shared" si="0"/>
        <v>1000</v>
      </c>
      <c r="F9" s="1125"/>
      <c r="I9" s="1661"/>
      <c r="K9" s="1125"/>
    </row>
    <row r="10" spans="1:11" s="772" customFormat="1" ht="12.75">
      <c r="A10" s="1430"/>
      <c r="B10" s="1335" t="s">
        <v>633</v>
      </c>
      <c r="C10" s="1416">
        <v>8230</v>
      </c>
      <c r="D10" s="1589">
        <v>-5000</v>
      </c>
      <c r="E10" s="238">
        <f t="shared" si="0"/>
        <v>3230</v>
      </c>
      <c r="F10" s="1125"/>
      <c r="I10" s="1661"/>
      <c r="K10" s="1125"/>
    </row>
    <row r="11" spans="1:11" s="772" customFormat="1" ht="12.75">
      <c r="A11" s="1430"/>
      <c r="B11" s="1415" t="s">
        <v>634</v>
      </c>
      <c r="C11" s="1416">
        <v>10000</v>
      </c>
      <c r="D11" s="1589">
        <v>-5000</v>
      </c>
      <c r="E11" s="239">
        <f t="shared" si="0"/>
        <v>5000</v>
      </c>
      <c r="F11" s="1125"/>
      <c r="I11" s="1661"/>
      <c r="K11" s="1125"/>
    </row>
    <row r="12" spans="1:11" s="772" customFormat="1" ht="12.75">
      <c r="A12" s="1430"/>
      <c r="B12" s="1415" t="s">
        <v>635</v>
      </c>
      <c r="C12" s="1416">
        <v>25000</v>
      </c>
      <c r="D12" s="1589"/>
      <c r="E12" s="239">
        <f t="shared" si="0"/>
        <v>25000</v>
      </c>
      <c r="F12" s="1125"/>
      <c r="I12" s="1661"/>
      <c r="K12" s="1125"/>
    </row>
    <row r="13" spans="1:11" s="772" customFormat="1" ht="12.75">
      <c r="A13" s="1430"/>
      <c r="B13" s="1592" t="s">
        <v>755</v>
      </c>
      <c r="C13" s="1416">
        <v>20000</v>
      </c>
      <c r="D13" s="1589"/>
      <c r="E13" s="239">
        <f t="shared" si="0"/>
        <v>20000</v>
      </c>
      <c r="F13" s="1125"/>
      <c r="I13" s="1661"/>
      <c r="K13" s="1125"/>
    </row>
    <row r="14" spans="1:11" s="772" customFormat="1" ht="12.75">
      <c r="A14" s="1430"/>
      <c r="B14" s="1335" t="s">
        <v>622</v>
      </c>
      <c r="C14" s="1129"/>
      <c r="D14" s="1588">
        <v>4462</v>
      </c>
      <c r="E14" s="239">
        <f t="shared" si="0"/>
        <v>4462</v>
      </c>
      <c r="F14" s="1125"/>
      <c r="I14" s="1661"/>
      <c r="K14" s="1125"/>
    </row>
    <row r="15" spans="1:11" s="772" customFormat="1" ht="12.75">
      <c r="A15" s="1430"/>
      <c r="B15" s="1415" t="s">
        <v>585</v>
      </c>
      <c r="C15" s="1129"/>
      <c r="D15" s="1588">
        <v>1201</v>
      </c>
      <c r="E15" s="239">
        <f t="shared" si="0"/>
        <v>1201</v>
      </c>
      <c r="F15" s="1125"/>
      <c r="I15" s="1661"/>
      <c r="K15" s="1125"/>
    </row>
    <row r="16" spans="1:11" s="772" customFormat="1" ht="12.75">
      <c r="A16" s="1430"/>
      <c r="B16" s="1334" t="s">
        <v>583</v>
      </c>
      <c r="C16" s="1129"/>
      <c r="D16" s="1588">
        <v>8354</v>
      </c>
      <c r="E16" s="239">
        <f t="shared" si="0"/>
        <v>8354</v>
      </c>
      <c r="F16" s="1125"/>
      <c r="I16" s="1661"/>
      <c r="K16" s="1125"/>
    </row>
    <row r="17" spans="1:11" s="772" customFormat="1" ht="13.5" thickBot="1">
      <c r="A17" s="1430"/>
      <c r="B17" s="1647" t="s">
        <v>789</v>
      </c>
      <c r="C17" s="1356">
        <v>5500</v>
      </c>
      <c r="D17" s="1590">
        <v>104</v>
      </c>
      <c r="E17" s="1371">
        <f t="shared" si="0"/>
        <v>5604</v>
      </c>
      <c r="F17" s="1125"/>
      <c r="I17" s="1661">
        <v>104</v>
      </c>
      <c r="K17" s="1125"/>
    </row>
    <row r="18" spans="1:11" ht="12.75" customHeight="1" thickBot="1">
      <c r="A18" s="1057">
        <v>1</v>
      </c>
      <c r="B18" s="1432" t="s">
        <v>208</v>
      </c>
      <c r="C18" s="1418">
        <f>SUM(C7:C17)</f>
        <v>83363</v>
      </c>
      <c r="D18" s="1418">
        <f>SUM(D7:D17)</f>
        <v>4459</v>
      </c>
      <c r="E18" s="1418">
        <f>SUM(E7:E17)</f>
        <v>87822</v>
      </c>
      <c r="F18" s="1058">
        <f>SUM(C18:D18)</f>
        <v>87822</v>
      </c>
      <c r="K18" s="1125"/>
    </row>
    <row r="19" spans="1:11" s="268" customFormat="1" ht="12.75">
      <c r="A19" s="1886"/>
      <c r="B19" s="1560" t="s">
        <v>556</v>
      </c>
      <c r="C19" s="1126">
        <v>2000</v>
      </c>
      <c r="D19" s="231"/>
      <c r="E19" s="234">
        <f>SUM(C19:D19)</f>
        <v>2000</v>
      </c>
      <c r="F19" s="1013"/>
      <c r="H19" s="810"/>
      <c r="I19" s="1662"/>
      <c r="K19" s="1125"/>
    </row>
    <row r="20" spans="1:11" s="268" customFormat="1" ht="12.75">
      <c r="A20" s="1891"/>
      <c r="B20" s="236" t="s">
        <v>758</v>
      </c>
      <c r="C20" s="1416">
        <v>12836</v>
      </c>
      <c r="D20" s="231"/>
      <c r="E20" s="234">
        <f>SUM(C20:D20)</f>
        <v>12836</v>
      </c>
      <c r="F20" s="1013"/>
      <c r="H20" s="810"/>
      <c r="I20" s="1662"/>
      <c r="K20" s="1125"/>
    </row>
    <row r="21" spans="1:11" s="268" customFormat="1" ht="13.5" thickBot="1">
      <c r="A21" s="1887"/>
      <c r="B21" s="1599" t="s">
        <v>759</v>
      </c>
      <c r="C21" s="1356">
        <v>29825</v>
      </c>
      <c r="D21" s="241"/>
      <c r="E21" s="234">
        <f>SUM(C21:D21)</f>
        <v>29825</v>
      </c>
      <c r="F21" s="1013"/>
      <c r="H21" s="810"/>
      <c r="I21" s="1662">
        <v>825</v>
      </c>
      <c r="K21" s="1125"/>
    </row>
    <row r="22" spans="1:11" s="311" customFormat="1" ht="12.75" customHeight="1" thickBot="1">
      <c r="A22" s="1059">
        <v>2</v>
      </c>
      <c r="B22" s="296" t="s">
        <v>560</v>
      </c>
      <c r="C22" s="235">
        <f>SUM(C19:C21)</f>
        <v>44661</v>
      </c>
      <c r="D22" s="235">
        <f>SUM(D19:D21)</f>
        <v>0</v>
      </c>
      <c r="E22" s="235">
        <f>SUM(E19:E21)</f>
        <v>44661</v>
      </c>
      <c r="F22" s="1056">
        <f>SUM(C22:D22)</f>
        <v>44661</v>
      </c>
      <c r="H22" s="806"/>
      <c r="I22" s="1659"/>
      <c r="K22" s="1125"/>
    </row>
    <row r="23" spans="1:11" s="311" customFormat="1" ht="12.75" customHeight="1">
      <c r="A23" s="1055"/>
      <c r="B23" s="1594" t="s">
        <v>598</v>
      </c>
      <c r="C23" s="1354">
        <v>5367</v>
      </c>
      <c r="D23" s="1171">
        <v>-1393</v>
      </c>
      <c r="E23" s="1172">
        <f>SUM(C23:D23)</f>
        <v>3974</v>
      </c>
      <c r="F23" s="1056"/>
      <c r="H23" s="806"/>
      <c r="I23" s="1659">
        <v>318</v>
      </c>
      <c r="K23" s="1125"/>
    </row>
    <row r="24" spans="1:11" s="311" customFormat="1" ht="12.75" customHeight="1" thickBot="1">
      <c r="A24" s="1055"/>
      <c r="B24" s="1595" t="s">
        <v>757</v>
      </c>
      <c r="C24" s="1131">
        <v>18040</v>
      </c>
      <c r="D24" s="241"/>
      <c r="E24" s="238">
        <f>SUM(C24:D24)</f>
        <v>18040</v>
      </c>
      <c r="F24" s="1056"/>
      <c r="H24" s="806"/>
      <c r="I24" s="1659"/>
      <c r="K24" s="1125"/>
    </row>
    <row r="25" spans="1:11" s="311" customFormat="1" ht="12.75" customHeight="1" thickBot="1">
      <c r="A25" s="1351">
        <v>3</v>
      </c>
      <c r="B25" s="1352" t="s">
        <v>597</v>
      </c>
      <c r="C25" s="1353">
        <f>SUM(C23:C24)</f>
        <v>23407</v>
      </c>
      <c r="D25" s="1353">
        <f>SUM(D23:D24)</f>
        <v>-1393</v>
      </c>
      <c r="E25" s="1596">
        <f>SUM(E23:E24)</f>
        <v>22014</v>
      </c>
      <c r="F25" s="1056">
        <f>SUM(C25:D25)</f>
        <v>22014</v>
      </c>
      <c r="H25" s="806"/>
      <c r="I25" s="1659"/>
      <c r="K25" s="1125"/>
    </row>
    <row r="26" spans="1:11" s="311" customFormat="1" ht="12.75" customHeight="1">
      <c r="A26" s="1055"/>
      <c r="B26" s="1597" t="s">
        <v>599</v>
      </c>
      <c r="C26" s="1354">
        <v>1771</v>
      </c>
      <c r="D26" s="1171"/>
      <c r="E26" s="1456">
        <f>SUM(C26:D26)</f>
        <v>1771</v>
      </c>
      <c r="F26" s="1056"/>
      <c r="H26" s="806"/>
      <c r="I26" s="1659"/>
      <c r="K26" s="1125"/>
    </row>
    <row r="27" spans="1:11" s="311" customFormat="1" ht="12.75" customHeight="1">
      <c r="A27" s="1055"/>
      <c r="B27" s="236" t="s">
        <v>600</v>
      </c>
      <c r="C27" s="1416">
        <v>500</v>
      </c>
      <c r="D27" s="231"/>
      <c r="E27" s="239">
        <f>SUM(C27:D27)</f>
        <v>500</v>
      </c>
      <c r="F27" s="1056"/>
      <c r="H27" s="806"/>
      <c r="I27" s="1659"/>
      <c r="K27" s="1125"/>
    </row>
    <row r="28" spans="1:11" s="311" customFormat="1" ht="12.75" customHeight="1" thickBot="1">
      <c r="A28" s="1055"/>
      <c r="B28" s="1600" t="s">
        <v>760</v>
      </c>
      <c r="C28" s="1131">
        <v>3229</v>
      </c>
      <c r="D28" s="241"/>
      <c r="E28" s="239">
        <f>SUM(C28:D28)</f>
        <v>3229</v>
      </c>
      <c r="F28" s="1056"/>
      <c r="H28" s="806"/>
      <c r="I28" s="1659"/>
      <c r="K28" s="1125"/>
    </row>
    <row r="29" spans="1:11" s="311" customFormat="1" ht="12.75" customHeight="1" thickBot="1">
      <c r="A29" s="1059">
        <v>4</v>
      </c>
      <c r="B29" s="210" t="s">
        <v>165</v>
      </c>
      <c r="C29" s="235">
        <f>SUM(C26:C28)</f>
        <v>5500</v>
      </c>
      <c r="D29" s="235">
        <f>SUM(D26:D28)</f>
        <v>0</v>
      </c>
      <c r="E29" s="235">
        <f>SUM(E26:E28)</f>
        <v>5500</v>
      </c>
      <c r="F29" s="1056">
        <f>SUM(C29:D29)</f>
        <v>5500</v>
      </c>
      <c r="H29" s="806"/>
      <c r="I29" s="1659"/>
      <c r="K29" s="1125"/>
    </row>
    <row r="30" spans="1:11" s="311" customFormat="1" ht="12.75" customHeight="1">
      <c r="A30" s="1894"/>
      <c r="B30" s="1048" t="s">
        <v>493</v>
      </c>
      <c r="C30" s="1358">
        <v>14949</v>
      </c>
      <c r="D30" s="231"/>
      <c r="E30" s="234">
        <f>SUM(C30:D30)</f>
        <v>14949</v>
      </c>
      <c r="F30" s="1056"/>
      <c r="H30" s="806"/>
      <c r="I30" s="1659">
        <v>10123</v>
      </c>
      <c r="K30" s="1125"/>
    </row>
    <row r="31" spans="1:11" s="311" customFormat="1" ht="12.75" customHeight="1">
      <c r="A31" s="1895"/>
      <c r="B31" s="1560" t="s">
        <v>601</v>
      </c>
      <c r="C31" s="1602">
        <v>8000</v>
      </c>
      <c r="D31" s="241">
        <v>-620</v>
      </c>
      <c r="E31" s="242">
        <f>SUM(C31:D31)</f>
        <v>7380</v>
      </c>
      <c r="F31" s="1056"/>
      <c r="H31" s="806"/>
      <c r="I31" s="1659"/>
      <c r="K31" s="1125"/>
    </row>
    <row r="32" spans="1:11" s="311" customFormat="1" ht="12.75" customHeight="1">
      <c r="A32" s="1895"/>
      <c r="B32" s="1357" t="s">
        <v>761</v>
      </c>
      <c r="C32" s="1603">
        <v>197</v>
      </c>
      <c r="D32" s="231"/>
      <c r="E32" s="242">
        <f>SUM(C32:D32)</f>
        <v>197</v>
      </c>
      <c r="F32" s="1056"/>
      <c r="H32" s="806"/>
      <c r="I32" s="1659"/>
      <c r="K32" s="1125"/>
    </row>
    <row r="33" spans="1:11" s="311" customFormat="1" ht="12.75" customHeight="1" thickBot="1">
      <c r="A33" s="1896"/>
      <c r="B33" s="1601" t="s">
        <v>762</v>
      </c>
      <c r="C33" s="1602">
        <v>174</v>
      </c>
      <c r="D33" s="241"/>
      <c r="E33" s="242">
        <f>SUM(C33:D33)</f>
        <v>174</v>
      </c>
      <c r="F33" s="1056"/>
      <c r="H33" s="806"/>
      <c r="I33" s="1659"/>
      <c r="K33" s="1125"/>
    </row>
    <row r="34" spans="1:11" s="311" customFormat="1" ht="12.75" customHeight="1" thickBot="1">
      <c r="A34" s="1059">
        <v>5</v>
      </c>
      <c r="B34" s="210" t="s">
        <v>356</v>
      </c>
      <c r="C34" s="235">
        <f>SUM(C30:C33)</f>
        <v>23320</v>
      </c>
      <c r="D34" s="235">
        <f>SUM(D30:D33)</f>
        <v>-620</v>
      </c>
      <c r="E34" s="235">
        <f>SUM(E30:E33)</f>
        <v>22700</v>
      </c>
      <c r="F34" s="1056">
        <f>SUM(C34:D34)</f>
        <v>22700</v>
      </c>
      <c r="H34" s="806"/>
      <c r="I34" s="1663"/>
      <c r="K34" s="1125"/>
    </row>
    <row r="35" spans="1:11" s="311" customFormat="1" ht="12.75" customHeight="1">
      <c r="A35" s="1891"/>
      <c r="B35" s="1594" t="s">
        <v>494</v>
      </c>
      <c r="C35" s="1604">
        <v>29148</v>
      </c>
      <c r="D35" s="1171"/>
      <c r="E35" s="243">
        <f aca="true" t="shared" si="1" ref="E35:E45">SUM(C35:D35)</f>
        <v>29148</v>
      </c>
      <c r="F35" s="1056"/>
      <c r="H35" s="806"/>
      <c r="I35" s="1663">
        <v>6874</v>
      </c>
      <c r="K35" s="1125"/>
    </row>
    <row r="36" spans="1:11" ht="12.75">
      <c r="A36" s="1891"/>
      <c r="B36" s="236" t="s">
        <v>602</v>
      </c>
      <c r="C36" s="1128">
        <v>65000</v>
      </c>
      <c r="D36" s="1589">
        <v>-12565</v>
      </c>
      <c r="E36" s="242">
        <f t="shared" si="1"/>
        <v>52435</v>
      </c>
      <c r="F36" s="112"/>
      <c r="K36" s="1125"/>
    </row>
    <row r="37" spans="1:11" ht="12.75">
      <c r="A37" s="1891"/>
      <c r="B37" s="236" t="s">
        <v>603</v>
      </c>
      <c r="C37" s="1128">
        <v>82250</v>
      </c>
      <c r="D37" s="1589">
        <v>-11193</v>
      </c>
      <c r="E37" s="242">
        <f t="shared" si="1"/>
        <v>71057</v>
      </c>
      <c r="F37" s="112"/>
      <c r="K37" s="1125"/>
    </row>
    <row r="38" spans="1:11" ht="12.75">
      <c r="A38" s="1891"/>
      <c r="B38" s="236" t="s">
        <v>604</v>
      </c>
      <c r="C38" s="1128">
        <v>18689</v>
      </c>
      <c r="D38" s="1589"/>
      <c r="E38" s="242">
        <f t="shared" si="1"/>
        <v>18689</v>
      </c>
      <c r="F38" s="112"/>
      <c r="K38" s="1125"/>
    </row>
    <row r="39" spans="1:11" ht="12.75">
      <c r="A39" s="1891"/>
      <c r="B39" s="236" t="s">
        <v>605</v>
      </c>
      <c r="C39" s="1128">
        <v>30894</v>
      </c>
      <c r="D39" s="1589">
        <v>-6568</v>
      </c>
      <c r="E39" s="242">
        <f t="shared" si="1"/>
        <v>24326</v>
      </c>
      <c r="F39" s="112"/>
      <c r="K39" s="1125"/>
    </row>
    <row r="40" spans="1:11" ht="12.75">
      <c r="A40" s="1891"/>
      <c r="B40" s="1606" t="s">
        <v>606</v>
      </c>
      <c r="C40" s="1602">
        <v>112000</v>
      </c>
      <c r="D40" s="1607">
        <v>19040</v>
      </c>
      <c r="E40" s="242">
        <f t="shared" si="1"/>
        <v>131040</v>
      </c>
      <c r="F40" s="112"/>
      <c r="K40" s="1125"/>
    </row>
    <row r="41" spans="1:11" ht="12.75">
      <c r="A41" s="1605"/>
      <c r="B41" s="1608" t="s">
        <v>763</v>
      </c>
      <c r="C41" s="1603">
        <v>34545</v>
      </c>
      <c r="D41" s="1589"/>
      <c r="E41" s="242">
        <f t="shared" si="1"/>
        <v>34545</v>
      </c>
      <c r="F41" s="112"/>
      <c r="K41" s="1125"/>
    </row>
    <row r="42" spans="1:11" ht="12.75">
      <c r="A42" s="1605"/>
      <c r="B42" s="1415" t="s">
        <v>764</v>
      </c>
      <c r="C42" s="1603">
        <v>27766</v>
      </c>
      <c r="D42" s="1589"/>
      <c r="E42" s="242">
        <f t="shared" si="1"/>
        <v>27766</v>
      </c>
      <c r="F42" s="112"/>
      <c r="K42" s="1125"/>
    </row>
    <row r="43" spans="1:11" ht="12.75">
      <c r="A43" s="1605"/>
      <c r="B43" s="1415" t="s">
        <v>765</v>
      </c>
      <c r="C43" s="1603">
        <v>52022</v>
      </c>
      <c r="D43" s="1589"/>
      <c r="E43" s="242">
        <f t="shared" si="1"/>
        <v>52022</v>
      </c>
      <c r="F43" s="112"/>
      <c r="I43" s="1659">
        <v>51940</v>
      </c>
      <c r="K43" s="1125"/>
    </row>
    <row r="44" spans="1:11" ht="12.75">
      <c r="A44" s="1605"/>
      <c r="B44" s="1415" t="s">
        <v>766</v>
      </c>
      <c r="C44" s="1603">
        <v>29918</v>
      </c>
      <c r="D44" s="1589"/>
      <c r="E44" s="242">
        <f t="shared" si="1"/>
        <v>29918</v>
      </c>
      <c r="F44" s="112"/>
      <c r="I44" s="1659">
        <v>29918</v>
      </c>
      <c r="K44" s="1125"/>
    </row>
    <row r="45" spans="1:11" ht="13.5" thickBot="1">
      <c r="A45" s="1605"/>
      <c r="B45" s="1415" t="s">
        <v>767</v>
      </c>
      <c r="C45" s="1602">
        <v>79</v>
      </c>
      <c r="D45" s="1590"/>
      <c r="E45" s="242">
        <f t="shared" si="1"/>
        <v>79</v>
      </c>
      <c r="F45" s="112"/>
      <c r="K45" s="1125"/>
    </row>
    <row r="46" spans="1:11" s="311" customFormat="1" ht="12.75" customHeight="1" thickBot="1">
      <c r="A46" s="1059">
        <v>6</v>
      </c>
      <c r="B46" s="1130" t="s">
        <v>200</v>
      </c>
      <c r="C46" s="235">
        <f>SUM(C35:C45)</f>
        <v>482311</v>
      </c>
      <c r="D46" s="235">
        <f>SUM(D35:D45)</f>
        <v>-11286</v>
      </c>
      <c r="E46" s="235">
        <f>SUM(E35:E45)</f>
        <v>471025</v>
      </c>
      <c r="F46" s="1056">
        <f>SUM(C46:D46)</f>
        <v>471025</v>
      </c>
      <c r="H46" s="806"/>
      <c r="I46" s="1663"/>
      <c r="K46" s="1125"/>
    </row>
    <row r="47" spans="1:11" ht="14.25" customHeight="1">
      <c r="A47" s="1886"/>
      <c r="B47" s="1338" t="s">
        <v>607</v>
      </c>
      <c r="C47" s="1129">
        <v>25193</v>
      </c>
      <c r="D47" s="1586"/>
      <c r="E47" s="242">
        <f>SUM(C47:D47)</f>
        <v>25193</v>
      </c>
      <c r="F47" s="112"/>
      <c r="K47" s="1125"/>
    </row>
    <row r="48" spans="1:11" ht="14.25" customHeight="1" thickBot="1">
      <c r="A48" s="1891"/>
      <c r="B48" s="1301" t="s">
        <v>608</v>
      </c>
      <c r="C48" s="1129">
        <v>2699</v>
      </c>
      <c r="D48" s="1589"/>
      <c r="E48" s="242">
        <f>SUM(C48:D48)</f>
        <v>2699</v>
      </c>
      <c r="F48" s="112"/>
      <c r="K48" s="1125"/>
    </row>
    <row r="49" spans="1:11" s="311" customFormat="1" ht="12.75" customHeight="1" thickBot="1">
      <c r="A49" s="1059">
        <v>7</v>
      </c>
      <c r="B49" s="210" t="s">
        <v>495</v>
      </c>
      <c r="C49" s="235">
        <f>SUM(C47:C48)</f>
        <v>27892</v>
      </c>
      <c r="D49" s="235">
        <f>SUM(D47:D48)</f>
        <v>0</v>
      </c>
      <c r="E49" s="235">
        <f>SUM(E47:E48)</f>
        <v>27892</v>
      </c>
      <c r="F49" s="1056">
        <f>SUM(C49:D49)</f>
        <v>27892</v>
      </c>
      <c r="H49" s="806"/>
      <c r="I49" s="1663"/>
      <c r="K49" s="1125"/>
    </row>
    <row r="50" spans="1:11" s="311" customFormat="1" ht="12.75" customHeight="1" thickBot="1">
      <c r="A50" s="1678"/>
      <c r="B50" s="1556" t="s">
        <v>733</v>
      </c>
      <c r="C50" s="1679"/>
      <c r="D50" s="1680">
        <v>10274</v>
      </c>
      <c r="E50" s="1679">
        <f>SUM(C50:D50)</f>
        <v>10274</v>
      </c>
      <c r="F50" s="1056"/>
      <c r="H50" s="806"/>
      <c r="I50" s="1663"/>
      <c r="K50" s="1125"/>
    </row>
    <row r="51" spans="1:11" s="311" customFormat="1" ht="12.75" customHeight="1" thickBot="1">
      <c r="A51" s="1677">
        <v>8</v>
      </c>
      <c r="B51" s="297" t="s">
        <v>497</v>
      </c>
      <c r="C51" s="1418">
        <f>SUM(C50)</f>
        <v>0</v>
      </c>
      <c r="D51" s="1418">
        <f>SUM(D50)</f>
        <v>10274</v>
      </c>
      <c r="E51" s="1418">
        <f>SUM(E50)</f>
        <v>10274</v>
      </c>
      <c r="F51" s="1056"/>
      <c r="H51" s="806"/>
      <c r="I51" s="1663"/>
      <c r="K51" s="1125"/>
    </row>
    <row r="52" spans="1:11" ht="12.75">
      <c r="A52" s="1061"/>
      <c r="B52" s="1339" t="s">
        <v>610</v>
      </c>
      <c r="C52" s="1359">
        <v>40000</v>
      </c>
      <c r="D52" s="1060"/>
      <c r="E52" s="242">
        <f>SUM(C52:D52)</f>
        <v>40000</v>
      </c>
      <c r="F52" s="112"/>
      <c r="K52" s="1125"/>
    </row>
    <row r="53" spans="1:11" ht="12.75">
      <c r="A53" s="1061"/>
      <c r="B53" s="1339" t="s">
        <v>611</v>
      </c>
      <c r="C53" s="1359">
        <v>12000</v>
      </c>
      <c r="D53" s="1589">
        <v>-12000</v>
      </c>
      <c r="E53" s="234">
        <f>SUM(C53:D53)</f>
        <v>0</v>
      </c>
      <c r="F53" s="112"/>
      <c r="K53" s="1125"/>
    </row>
    <row r="54" spans="1:11" ht="13.5" thickBot="1">
      <c r="A54" s="1061"/>
      <c r="B54" s="1598" t="s">
        <v>768</v>
      </c>
      <c r="C54" s="1610">
        <v>7000</v>
      </c>
      <c r="D54" s="1591"/>
      <c r="E54" s="234">
        <f>SUM(C54:D54)</f>
        <v>7000</v>
      </c>
      <c r="F54" s="112"/>
      <c r="K54" s="1125"/>
    </row>
    <row r="55" spans="1:11" s="311" customFormat="1" ht="12.75" customHeight="1" thickBot="1">
      <c r="A55" s="1425">
        <v>9</v>
      </c>
      <c r="B55" s="210" t="s">
        <v>609</v>
      </c>
      <c r="C55" s="1363">
        <f>SUM(C52:C54)</f>
        <v>59000</v>
      </c>
      <c r="D55" s="1363">
        <f>SUM(D52:D54)</f>
        <v>-12000</v>
      </c>
      <c r="E55" s="235">
        <f>SUM(E52:E54)</f>
        <v>47000</v>
      </c>
      <c r="F55" s="1056">
        <f>SUM(C55:D55)</f>
        <v>47000</v>
      </c>
      <c r="H55" s="806"/>
      <c r="I55" s="1663"/>
      <c r="K55" s="1125"/>
    </row>
    <row r="56" spans="1:11" s="311" customFormat="1" ht="12.75" customHeight="1">
      <c r="A56" s="1886"/>
      <c r="B56" s="1609" t="s">
        <v>631</v>
      </c>
      <c r="C56" s="1171">
        <v>24968</v>
      </c>
      <c r="D56" s="1171">
        <v>-4766</v>
      </c>
      <c r="E56" s="1172">
        <f>SUM(C56:D56)</f>
        <v>20202</v>
      </c>
      <c r="F56" s="1056"/>
      <c r="H56" s="806"/>
      <c r="I56" s="1663"/>
      <c r="K56" s="1125"/>
    </row>
    <row r="57" spans="1:11" s="311" customFormat="1" ht="12.75" customHeight="1" thickBot="1">
      <c r="A57" s="1887"/>
      <c r="B57" s="1611" t="s">
        <v>769</v>
      </c>
      <c r="C57" s="241">
        <v>99</v>
      </c>
      <c r="D57" s="241">
        <v>800</v>
      </c>
      <c r="E57" s="243">
        <f>SUM(C57:D57)</f>
        <v>899</v>
      </c>
      <c r="F57" s="1056"/>
      <c r="H57" s="806"/>
      <c r="I57" s="1663">
        <v>137</v>
      </c>
      <c r="K57" s="1125"/>
    </row>
    <row r="58" spans="1:11" s="311" customFormat="1" ht="12.75" customHeight="1" thickBot="1">
      <c r="A58" s="1057">
        <v>10</v>
      </c>
      <c r="B58" s="210" t="s">
        <v>630</v>
      </c>
      <c r="C58" s="235">
        <f>SUM(C56:C57)</f>
        <v>25067</v>
      </c>
      <c r="D58" s="235">
        <f>SUM(D56:D57)</f>
        <v>-3966</v>
      </c>
      <c r="E58" s="235">
        <f>SUM(E56:E57)</f>
        <v>21101</v>
      </c>
      <c r="F58" s="1056">
        <f>SUM(C58:D58)</f>
        <v>21101</v>
      </c>
      <c r="H58" s="806"/>
      <c r="I58" s="1663"/>
      <c r="K58" s="1125"/>
    </row>
    <row r="59" spans="1:11" ht="12.75">
      <c r="A59" s="1428"/>
      <c r="B59" s="1426" t="s">
        <v>645</v>
      </c>
      <c r="C59" s="1362">
        <v>6000</v>
      </c>
      <c r="D59" s="1684"/>
      <c r="E59" s="1172">
        <f>SUM(C59:D59)</f>
        <v>6000</v>
      </c>
      <c r="F59" s="112"/>
      <c r="K59" s="1125"/>
    </row>
    <row r="60" spans="1:11" ht="13.5" thickBot="1">
      <c r="A60" s="1429"/>
      <c r="B60" s="1427" t="s">
        <v>646</v>
      </c>
      <c r="C60" s="1365">
        <v>38000</v>
      </c>
      <c r="D60" s="1685">
        <v>-38000</v>
      </c>
      <c r="E60" s="1350">
        <f>SUM(C60:D60)</f>
        <v>0</v>
      </c>
      <c r="F60" s="112"/>
      <c r="K60" s="1125"/>
    </row>
    <row r="61" spans="1:11" ht="13.5" thickBot="1">
      <c r="A61" s="316" t="s">
        <v>108</v>
      </c>
      <c r="B61" s="353" t="s">
        <v>537</v>
      </c>
      <c r="C61" s="305">
        <f>SUM(C59:C60)</f>
        <v>44000</v>
      </c>
      <c r="D61" s="305">
        <f>SUM(D59:D60)</f>
        <v>-38000</v>
      </c>
      <c r="E61" s="305">
        <f>SUM(E59:E60)</f>
        <v>6000</v>
      </c>
      <c r="F61" s="112"/>
      <c r="K61" s="1125"/>
    </row>
    <row r="62" spans="1:11" ht="12.75">
      <c r="A62" s="1360"/>
      <c r="B62" s="1364" t="s">
        <v>647</v>
      </c>
      <c r="C62" s="1451">
        <v>3000</v>
      </c>
      <c r="D62" s="1684">
        <v>-3000</v>
      </c>
      <c r="E62" s="1172">
        <f>SUM(C62:D62)</f>
        <v>0</v>
      </c>
      <c r="F62" s="112"/>
      <c r="K62" s="1125"/>
    </row>
    <row r="63" spans="1:11" ht="13.5" thickBot="1">
      <c r="A63" s="1360"/>
      <c r="B63" s="1450" t="s">
        <v>648</v>
      </c>
      <c r="C63" s="1366">
        <v>300</v>
      </c>
      <c r="D63" s="1367"/>
      <c r="E63" s="238">
        <f>SUM(C63:D63)</f>
        <v>300</v>
      </c>
      <c r="F63" s="112"/>
      <c r="K63" s="1125"/>
    </row>
    <row r="64" spans="1:11" ht="13.5" thickBot="1">
      <c r="A64" s="269" t="s">
        <v>109</v>
      </c>
      <c r="B64" s="288" t="s">
        <v>536</v>
      </c>
      <c r="C64" s="305">
        <f>SUM(C62:C63)</f>
        <v>3300</v>
      </c>
      <c r="D64" s="305">
        <f>SUM(D62:D63)</f>
        <v>-3000</v>
      </c>
      <c r="E64" s="305">
        <f>SUM(E62:E63)</f>
        <v>300</v>
      </c>
      <c r="F64" s="112"/>
      <c r="K64" s="1125"/>
    </row>
    <row r="65" spans="1:11" ht="12.75">
      <c r="A65" s="1063"/>
      <c r="B65" s="1372" t="s">
        <v>639</v>
      </c>
      <c r="C65" s="1375">
        <v>1000</v>
      </c>
      <c r="D65" s="1588"/>
      <c r="E65" s="243">
        <f>SUM(C65:D65)</f>
        <v>1000</v>
      </c>
      <c r="F65" s="112"/>
      <c r="K65" s="1125"/>
    </row>
    <row r="66" spans="1:11" ht="12.75">
      <c r="A66" s="1360"/>
      <c r="B66" s="1648" t="s">
        <v>790</v>
      </c>
      <c r="C66" s="1447">
        <v>1000</v>
      </c>
      <c r="D66" s="1588">
        <v>-1000</v>
      </c>
      <c r="E66" s="243">
        <f>SUM(C66:D66)</f>
        <v>0</v>
      </c>
      <c r="F66" s="112"/>
      <c r="K66" s="1125"/>
    </row>
    <row r="67" spans="1:11" ht="12.75">
      <c r="A67" s="1360"/>
      <c r="B67" s="1373" t="s">
        <v>649</v>
      </c>
      <c r="C67" s="1376">
        <v>17000</v>
      </c>
      <c r="D67" s="1589">
        <v>-17000</v>
      </c>
      <c r="E67" s="243">
        <f>SUM(C67:D67)</f>
        <v>0</v>
      </c>
      <c r="F67" s="112"/>
      <c r="K67" s="1125"/>
    </row>
    <row r="68" spans="1:11" ht="13.5" thickBot="1">
      <c r="A68" s="1360"/>
      <c r="B68" s="1374" t="s">
        <v>640</v>
      </c>
      <c r="C68" s="1376">
        <v>16500</v>
      </c>
      <c r="D68" s="1591">
        <v>-16500</v>
      </c>
      <c r="E68" s="243">
        <f>SUM(C68:D68)</f>
        <v>0</v>
      </c>
      <c r="F68" s="112"/>
      <c r="K68" s="1125"/>
    </row>
    <row r="69" spans="1:11" ht="13.5" thickBot="1">
      <c r="A69" s="269" t="s">
        <v>110</v>
      </c>
      <c r="B69" s="288" t="s">
        <v>538</v>
      </c>
      <c r="C69" s="305">
        <f>SUM(C65:C68)</f>
        <v>35500</v>
      </c>
      <c r="D69" s="305">
        <f>SUM(D65:D68)</f>
        <v>-34500</v>
      </c>
      <c r="E69" s="305">
        <f>SUM(E65:E68)</f>
        <v>1000</v>
      </c>
      <c r="F69" s="112"/>
      <c r="K69" s="1125"/>
    </row>
    <row r="70" spans="1:11" ht="13.5" thickBot="1">
      <c r="A70" s="1063"/>
      <c r="B70" s="1159"/>
      <c r="C70" s="1132"/>
      <c r="D70" s="1134"/>
      <c r="E70" s="243">
        <f>SUM(C70:D70)</f>
        <v>0</v>
      </c>
      <c r="F70" s="112"/>
      <c r="K70" s="1125"/>
    </row>
    <row r="71" spans="1:11" ht="13.5" thickBot="1">
      <c r="A71" s="269" t="s">
        <v>111</v>
      </c>
      <c r="B71" s="1368" t="s">
        <v>539</v>
      </c>
      <c r="C71" s="305">
        <f>SUM(C70:C70)</f>
        <v>0</v>
      </c>
      <c r="D71" s="305">
        <f>SUM(D70:D70)</f>
        <v>0</v>
      </c>
      <c r="E71" s="305">
        <f>SUM(E70:E70)</f>
        <v>0</v>
      </c>
      <c r="F71" s="112"/>
      <c r="K71" s="1125"/>
    </row>
    <row r="72" spans="1:11" ht="13.5" thickBot="1">
      <c r="A72" s="1360"/>
      <c r="B72" s="1369" t="s">
        <v>650</v>
      </c>
      <c r="C72" s="1361">
        <v>2000</v>
      </c>
      <c r="D72" s="1370"/>
      <c r="E72" s="1371">
        <f>SUM(C72:D72)</f>
        <v>2000</v>
      </c>
      <c r="F72" s="112"/>
      <c r="K72" s="1125"/>
    </row>
    <row r="73" spans="1:11" ht="13.5" thickBot="1">
      <c r="A73" s="269" t="s">
        <v>202</v>
      </c>
      <c r="B73" s="1297" t="s">
        <v>540</v>
      </c>
      <c r="C73" s="305">
        <f>SUM(C72:C72)</f>
        <v>2000</v>
      </c>
      <c r="D73" s="305">
        <f>SUM(D72:D72)</f>
        <v>0</v>
      </c>
      <c r="E73" s="305">
        <f>SUM(E72:E72)</f>
        <v>2000</v>
      </c>
      <c r="F73" s="112"/>
      <c r="K73" s="1125"/>
    </row>
    <row r="74" spans="1:11" ht="13.5" thickBot="1">
      <c r="A74" s="1063"/>
      <c r="B74" s="1272"/>
      <c r="C74" s="1132"/>
      <c r="D74" s="1273"/>
      <c r="E74" s="243"/>
      <c r="F74" s="112"/>
      <c r="K74" s="1125"/>
    </row>
    <row r="75" spans="1:11" ht="13.5" thickBot="1">
      <c r="A75" s="269" t="s">
        <v>359</v>
      </c>
      <c r="B75" s="288" t="s">
        <v>541</v>
      </c>
      <c r="C75" s="305">
        <f>SUM(C74)</f>
        <v>0</v>
      </c>
      <c r="D75" s="305">
        <f>SUM(D74)</f>
        <v>0</v>
      </c>
      <c r="E75" s="305">
        <f>SUM(E74)</f>
        <v>0</v>
      </c>
      <c r="F75" s="112"/>
      <c r="K75" s="1125"/>
    </row>
    <row r="76" spans="1:11" ht="13.5" customHeight="1">
      <c r="A76" s="1063"/>
      <c r="B76" s="1159" t="s">
        <v>770</v>
      </c>
      <c r="C76" s="1062">
        <v>10000</v>
      </c>
      <c r="D76" s="1589">
        <v>75000</v>
      </c>
      <c r="E76" s="1172">
        <f>SUM(C76:D76)</f>
        <v>85000</v>
      </c>
      <c r="F76" s="112"/>
      <c r="K76" s="1125"/>
    </row>
    <row r="77" spans="1:11" ht="13.5" customHeight="1" thickBot="1">
      <c r="A77" s="1063"/>
      <c r="B77" s="1159" t="s">
        <v>742</v>
      </c>
      <c r="C77" s="1612">
        <v>53624</v>
      </c>
      <c r="D77" s="1591">
        <f>108383-75000</f>
        <v>33383</v>
      </c>
      <c r="E77" s="238">
        <f>SUM(C77:D77)</f>
        <v>87007</v>
      </c>
      <c r="F77" s="112"/>
      <c r="K77" s="1125"/>
    </row>
    <row r="78" spans="1:11" ht="13.5" thickBot="1">
      <c r="A78" s="316" t="s">
        <v>361</v>
      </c>
      <c r="B78" s="288" t="s">
        <v>542</v>
      </c>
      <c r="C78" s="305">
        <f>SUM(C76:C77)</f>
        <v>63624</v>
      </c>
      <c r="D78" s="305">
        <f>SUM(D76:D77)</f>
        <v>108383</v>
      </c>
      <c r="E78" s="305">
        <f>SUM(E76:E77)</f>
        <v>172007</v>
      </c>
      <c r="F78" s="112"/>
      <c r="K78" s="1125"/>
    </row>
    <row r="79" spans="1:11" ht="12.75">
      <c r="A79" s="352"/>
      <c r="B79" s="1159" t="s">
        <v>833</v>
      </c>
      <c r="C79" s="286"/>
      <c r="D79" s="301">
        <v>147</v>
      </c>
      <c r="E79" s="304">
        <f>SUM(C79:D79)</f>
        <v>147</v>
      </c>
      <c r="F79" s="112"/>
      <c r="K79" s="1125"/>
    </row>
    <row r="80" spans="1:11" ht="12.75">
      <c r="A80" s="352"/>
      <c r="B80" s="1687" t="s">
        <v>834</v>
      </c>
      <c r="C80" s="303"/>
      <c r="D80" s="1541">
        <v>201</v>
      </c>
      <c r="E80" s="304">
        <f aca="true" t="shared" si="2" ref="E80:E88">SUM(C80:D80)</f>
        <v>201</v>
      </c>
      <c r="F80" s="112"/>
      <c r="K80" s="1125"/>
    </row>
    <row r="81" spans="1:11" ht="12.75">
      <c r="A81" s="352"/>
      <c r="B81" s="1687" t="s">
        <v>835</v>
      </c>
      <c r="C81" s="303"/>
      <c r="D81" s="1541">
        <v>624</v>
      </c>
      <c r="E81" s="304">
        <f t="shared" si="2"/>
        <v>624</v>
      </c>
      <c r="F81" s="112"/>
      <c r="K81" s="1125"/>
    </row>
    <row r="82" spans="1:11" ht="12.75">
      <c r="A82" s="352"/>
      <c r="B82" s="1687" t="s">
        <v>836</v>
      </c>
      <c r="C82" s="303"/>
      <c r="D82" s="1541">
        <v>260</v>
      </c>
      <c r="E82" s="304">
        <f t="shared" si="2"/>
        <v>260</v>
      </c>
      <c r="F82" s="112"/>
      <c r="K82" s="1125"/>
    </row>
    <row r="83" spans="1:11" ht="12.75">
      <c r="A83" s="352"/>
      <c r="B83" s="1687" t="s">
        <v>837</v>
      </c>
      <c r="C83" s="303"/>
      <c r="D83" s="1541">
        <v>893</v>
      </c>
      <c r="E83" s="304">
        <f t="shared" si="2"/>
        <v>893</v>
      </c>
      <c r="F83" s="112"/>
      <c r="K83" s="1125"/>
    </row>
    <row r="84" spans="1:11" ht="12.75">
      <c r="A84" s="352"/>
      <c r="B84" s="1687" t="s">
        <v>838</v>
      </c>
      <c r="C84" s="303"/>
      <c r="D84" s="1541">
        <v>267</v>
      </c>
      <c r="E84" s="304">
        <f t="shared" si="2"/>
        <v>267</v>
      </c>
      <c r="F84" s="112"/>
      <c r="K84" s="1125"/>
    </row>
    <row r="85" spans="1:11" ht="12.75">
      <c r="A85" s="352"/>
      <c r="B85" s="1687" t="s">
        <v>839</v>
      </c>
      <c r="C85" s="303"/>
      <c r="D85" s="1541">
        <v>181</v>
      </c>
      <c r="E85" s="304">
        <f t="shared" si="2"/>
        <v>181</v>
      </c>
      <c r="F85" s="112"/>
      <c r="K85" s="1125"/>
    </row>
    <row r="86" spans="1:11" ht="12.75">
      <c r="A86" s="352"/>
      <c r="B86" s="1687" t="s">
        <v>840</v>
      </c>
      <c r="C86" s="303"/>
      <c r="D86" s="1541">
        <v>3811</v>
      </c>
      <c r="E86" s="304">
        <f t="shared" si="2"/>
        <v>3811</v>
      </c>
      <c r="F86" s="112"/>
      <c r="K86" s="1125"/>
    </row>
    <row r="87" spans="1:11" ht="12.75">
      <c r="A87" s="352"/>
      <c r="B87" s="1687" t="s">
        <v>841</v>
      </c>
      <c r="C87" s="303"/>
      <c r="D87" s="1541">
        <v>274</v>
      </c>
      <c r="E87" s="304">
        <f t="shared" si="2"/>
        <v>274</v>
      </c>
      <c r="F87" s="112"/>
      <c r="K87" s="1125"/>
    </row>
    <row r="88" spans="1:11" ht="13.5" thickBot="1">
      <c r="A88" s="352"/>
      <c r="B88" s="1686" t="s">
        <v>842</v>
      </c>
      <c r="C88" s="303"/>
      <c r="D88" s="1541">
        <v>267</v>
      </c>
      <c r="E88" s="304">
        <f t="shared" si="2"/>
        <v>267</v>
      </c>
      <c r="F88" s="112"/>
      <c r="K88" s="1125"/>
    </row>
    <row r="89" spans="1:11" ht="13.5" thickBot="1">
      <c r="A89" s="316" t="s">
        <v>74</v>
      </c>
      <c r="B89" s="288" t="s">
        <v>547</v>
      </c>
      <c r="C89" s="305">
        <f>SUM(C79:C88)</f>
        <v>0</v>
      </c>
      <c r="D89" s="305">
        <f>SUM(D79:D88)</f>
        <v>6925</v>
      </c>
      <c r="E89" s="305">
        <f>SUM(E79:E88)</f>
        <v>6925</v>
      </c>
      <c r="F89" s="112"/>
      <c r="K89" s="1125"/>
    </row>
    <row r="90" spans="1:11" ht="13.5" thickBot="1">
      <c r="A90" s="1063"/>
      <c r="B90" s="1159"/>
      <c r="C90" s="1062"/>
      <c r="D90" s="1060"/>
      <c r="E90" s="238"/>
      <c r="F90" s="112"/>
      <c r="K90" s="1125"/>
    </row>
    <row r="91" spans="1:11" ht="13.5" thickBot="1">
      <c r="A91" s="122" t="s">
        <v>546</v>
      </c>
      <c r="B91" s="288" t="s">
        <v>544</v>
      </c>
      <c r="C91" s="305">
        <f>SUM(C90)</f>
        <v>0</v>
      </c>
      <c r="D91" s="305">
        <f>SUM(D90)</f>
        <v>0</v>
      </c>
      <c r="E91" s="305">
        <f>SUM(E90)</f>
        <v>0</v>
      </c>
      <c r="F91" s="112"/>
      <c r="K91" s="1125"/>
    </row>
    <row r="92" spans="1:11" ht="12.75">
      <c r="A92" s="1061"/>
      <c r="B92" s="1446" t="s">
        <v>642</v>
      </c>
      <c r="C92" s="1447">
        <v>600</v>
      </c>
      <c r="D92" s="1588">
        <v>-200</v>
      </c>
      <c r="E92" s="238">
        <f aca="true" t="shared" si="3" ref="E92:E115">SUM(C92:D92)</f>
        <v>400</v>
      </c>
      <c r="F92" s="112"/>
      <c r="K92" s="1125"/>
    </row>
    <row r="93" spans="1:11" ht="25.5">
      <c r="A93" s="1061"/>
      <c r="B93" s="1374" t="s">
        <v>641</v>
      </c>
      <c r="C93" s="1376">
        <v>1000</v>
      </c>
      <c r="D93" s="1589"/>
      <c r="E93" s="239">
        <f t="shared" si="3"/>
        <v>1000</v>
      </c>
      <c r="F93" s="112"/>
      <c r="K93" s="1125"/>
    </row>
    <row r="94" spans="1:11" ht="12.75">
      <c r="A94" s="1061"/>
      <c r="B94" s="1649" t="s">
        <v>791</v>
      </c>
      <c r="C94" s="1650">
        <v>400</v>
      </c>
      <c r="D94" s="1607"/>
      <c r="E94" s="239">
        <f t="shared" si="3"/>
        <v>400</v>
      </c>
      <c r="F94" s="112"/>
      <c r="K94" s="1125"/>
    </row>
    <row r="95" spans="1:11" ht="13.5" customHeight="1">
      <c r="A95" s="1061"/>
      <c r="B95" s="1373" t="s">
        <v>643</v>
      </c>
      <c r="C95" s="1376">
        <v>1000</v>
      </c>
      <c r="D95" s="1589"/>
      <c r="E95" s="239">
        <f t="shared" si="3"/>
        <v>1000</v>
      </c>
      <c r="F95" s="112"/>
      <c r="K95" s="1125"/>
    </row>
    <row r="96" spans="1:11" ht="13.5" customHeight="1" thickBot="1">
      <c r="A96" s="1061"/>
      <c r="B96" s="1651" t="s">
        <v>792</v>
      </c>
      <c r="C96" s="1652">
        <v>2500</v>
      </c>
      <c r="D96" s="1590"/>
      <c r="E96" s="239">
        <f t="shared" si="3"/>
        <v>2500</v>
      </c>
      <c r="F96" s="112"/>
      <c r="K96" s="1125"/>
    </row>
    <row r="97" spans="1:11" ht="13.5" thickBot="1">
      <c r="A97" s="1436" t="s">
        <v>461</v>
      </c>
      <c r="B97" s="288" t="s">
        <v>545</v>
      </c>
      <c r="C97" s="305">
        <f>SUM(C92:C96)</f>
        <v>5500</v>
      </c>
      <c r="D97" s="305">
        <f>SUM(D92:D96)</f>
        <v>-200</v>
      </c>
      <c r="E97" s="305">
        <f>SUM(E92:E96)</f>
        <v>5300</v>
      </c>
      <c r="F97" s="112"/>
      <c r="K97" s="1125"/>
    </row>
    <row r="98" spans="1:11" ht="12.75">
      <c r="A98" s="1888"/>
      <c r="B98" s="1048" t="s">
        <v>644</v>
      </c>
      <c r="C98" s="1624">
        <v>15000</v>
      </c>
      <c r="D98" s="1565"/>
      <c r="E98" s="1172">
        <f t="shared" si="3"/>
        <v>15000</v>
      </c>
      <c r="F98" s="112"/>
      <c r="K98" s="1125"/>
    </row>
    <row r="99" spans="1:11" ht="12.75">
      <c r="A99" s="1889"/>
      <c r="B99" s="1560" t="s">
        <v>636</v>
      </c>
      <c r="C99" s="1625">
        <v>21000</v>
      </c>
      <c r="D99" s="1062">
        <v>-20181</v>
      </c>
      <c r="E99" s="239">
        <f t="shared" si="3"/>
        <v>819</v>
      </c>
      <c r="F99" s="112"/>
      <c r="K99" s="1125"/>
    </row>
    <row r="100" spans="1:11" ht="12.75">
      <c r="A100" s="1889"/>
      <c r="B100" s="1613" t="s">
        <v>747</v>
      </c>
      <c r="C100" s="1625">
        <f>SUM(C101:C103)</f>
        <v>674</v>
      </c>
      <c r="D100" s="1625">
        <f>SUM(D101:D103)</f>
        <v>179</v>
      </c>
      <c r="E100" s="1627">
        <f>SUM(E101:E103)</f>
        <v>853</v>
      </c>
      <c r="F100" s="112"/>
      <c r="K100" s="1125"/>
    </row>
    <row r="101" spans="1:11" s="785" customFormat="1" ht="13.5">
      <c r="A101" s="1889"/>
      <c r="B101" s="1615" t="s">
        <v>771</v>
      </c>
      <c r="C101" s="1623">
        <v>490</v>
      </c>
      <c r="D101" s="1616"/>
      <c r="E101" s="1617">
        <f t="shared" si="3"/>
        <v>490</v>
      </c>
      <c r="F101" s="1618"/>
      <c r="I101" s="1664">
        <v>445</v>
      </c>
      <c r="K101" s="1125"/>
    </row>
    <row r="102" spans="1:11" s="785" customFormat="1" ht="13.5">
      <c r="A102" s="1889"/>
      <c r="B102" s="1621" t="s">
        <v>772</v>
      </c>
      <c r="C102" s="1623">
        <v>184</v>
      </c>
      <c r="D102" s="1616"/>
      <c r="E102" s="1622">
        <f t="shared" si="3"/>
        <v>184</v>
      </c>
      <c r="F102" s="1618"/>
      <c r="I102" s="1664">
        <v>184</v>
      </c>
      <c r="K102" s="1125"/>
    </row>
    <row r="103" spans="1:11" s="785" customFormat="1" ht="13.5">
      <c r="A103" s="1889"/>
      <c r="B103" s="1615" t="s">
        <v>843</v>
      </c>
      <c r="C103" s="1626"/>
      <c r="D103" s="1626">
        <v>179</v>
      </c>
      <c r="E103" s="1622">
        <f t="shared" si="3"/>
        <v>179</v>
      </c>
      <c r="F103" s="1618"/>
      <c r="I103" s="1664"/>
      <c r="K103" s="1125"/>
    </row>
    <row r="104" spans="1:11" s="785" customFormat="1" ht="13.5">
      <c r="A104" s="1889"/>
      <c r="B104" s="1592" t="s">
        <v>773</v>
      </c>
      <c r="C104" s="1625">
        <f>SUM(C105:C113)</f>
        <v>3485</v>
      </c>
      <c r="D104" s="1625">
        <f>SUM(D105:D113)</f>
        <v>11186</v>
      </c>
      <c r="E104" s="1350">
        <f>SUM(E105:E113)</f>
        <v>14671</v>
      </c>
      <c r="F104" s="1618"/>
      <c r="I104" s="1664"/>
      <c r="K104" s="1125"/>
    </row>
    <row r="105" spans="1:11" s="785" customFormat="1" ht="13.5">
      <c r="A105" s="1889"/>
      <c r="B105" s="1614" t="s">
        <v>844</v>
      </c>
      <c r="C105" s="1623"/>
      <c r="D105" s="1623">
        <v>897</v>
      </c>
      <c r="E105" s="1622">
        <f t="shared" si="3"/>
        <v>897</v>
      </c>
      <c r="F105" s="1618"/>
      <c r="I105" s="1664"/>
      <c r="K105" s="1125"/>
    </row>
    <row r="106" spans="1:11" s="785" customFormat="1" ht="13.5">
      <c r="A106" s="1889"/>
      <c r="B106" s="1615" t="s">
        <v>845</v>
      </c>
      <c r="C106" s="1623"/>
      <c r="D106" s="1623">
        <v>1805</v>
      </c>
      <c r="E106" s="1622">
        <f t="shared" si="3"/>
        <v>1805</v>
      </c>
      <c r="F106" s="1618"/>
      <c r="I106" s="1664"/>
      <c r="K106" s="1125"/>
    </row>
    <row r="107" spans="1:11" s="785" customFormat="1" ht="13.5">
      <c r="A107" s="1889"/>
      <c r="B107" s="1615" t="s">
        <v>846</v>
      </c>
      <c r="C107" s="1623"/>
      <c r="D107" s="1623">
        <v>604</v>
      </c>
      <c r="E107" s="1622">
        <f t="shared" si="3"/>
        <v>604</v>
      </c>
      <c r="F107" s="1618"/>
      <c r="I107" s="1664"/>
      <c r="K107" s="1125"/>
    </row>
    <row r="108" spans="1:11" s="785" customFormat="1" ht="13.5">
      <c r="A108" s="1889"/>
      <c r="B108" s="1615" t="s">
        <v>847</v>
      </c>
      <c r="C108" s="1623"/>
      <c r="D108" s="1623">
        <v>1893</v>
      </c>
      <c r="E108" s="1622">
        <f t="shared" si="3"/>
        <v>1893</v>
      </c>
      <c r="F108" s="1618"/>
      <c r="I108" s="1664"/>
      <c r="K108" s="1125"/>
    </row>
    <row r="109" spans="1:11" s="785" customFormat="1" ht="13.5">
      <c r="A109" s="1889"/>
      <c r="B109" s="1615" t="s">
        <v>848</v>
      </c>
      <c r="C109" s="1623"/>
      <c r="D109" s="1623">
        <v>578</v>
      </c>
      <c r="E109" s="1622">
        <f t="shared" si="3"/>
        <v>578</v>
      </c>
      <c r="F109" s="1618"/>
      <c r="I109" s="1664"/>
      <c r="K109" s="1125"/>
    </row>
    <row r="110" spans="1:11" s="785" customFormat="1" ht="13.5">
      <c r="A110" s="1889"/>
      <c r="B110" s="1615" t="s">
        <v>849</v>
      </c>
      <c r="C110" s="1623"/>
      <c r="D110" s="1623">
        <v>409</v>
      </c>
      <c r="E110" s="1622">
        <f t="shared" si="3"/>
        <v>409</v>
      </c>
      <c r="F110" s="1618"/>
      <c r="I110" s="1664"/>
      <c r="K110" s="1125"/>
    </row>
    <row r="111" spans="1:11" s="785" customFormat="1" ht="13.5">
      <c r="A111" s="1889"/>
      <c r="B111" s="1615" t="s">
        <v>850</v>
      </c>
      <c r="C111" s="1623"/>
      <c r="D111" s="1623">
        <v>2351</v>
      </c>
      <c r="E111" s="1622">
        <f t="shared" si="3"/>
        <v>2351</v>
      </c>
      <c r="F111" s="1618"/>
      <c r="I111" s="1664"/>
      <c r="K111" s="1125"/>
    </row>
    <row r="112" spans="1:11" s="785" customFormat="1" ht="13.5">
      <c r="A112" s="1889"/>
      <c r="B112" s="1614" t="s">
        <v>851</v>
      </c>
      <c r="C112" s="1623">
        <v>3485</v>
      </c>
      <c r="D112" s="1623"/>
      <c r="E112" s="1622">
        <f t="shared" si="3"/>
        <v>3485</v>
      </c>
      <c r="F112" s="1618"/>
      <c r="I112" s="1664"/>
      <c r="K112" s="1125"/>
    </row>
    <row r="113" spans="1:11" s="785" customFormat="1" ht="13.5">
      <c r="A113" s="1889"/>
      <c r="B113" s="1615" t="s">
        <v>852</v>
      </c>
      <c r="C113" s="1623"/>
      <c r="D113" s="1623">
        <v>2649</v>
      </c>
      <c r="E113" s="1622">
        <f t="shared" si="3"/>
        <v>2649</v>
      </c>
      <c r="F113" s="1618"/>
      <c r="I113" s="1664"/>
      <c r="K113" s="1125"/>
    </row>
    <row r="114" spans="1:11" s="785" customFormat="1" ht="13.5">
      <c r="A114" s="1889"/>
      <c r="B114" s="1592" t="s">
        <v>774</v>
      </c>
      <c r="C114" s="1625">
        <f>SUM(C115)</f>
        <v>1031</v>
      </c>
      <c r="D114" s="1625">
        <f>SUM(D115)</f>
        <v>390</v>
      </c>
      <c r="E114" s="1627">
        <f>SUM(E115)</f>
        <v>1421</v>
      </c>
      <c r="F114" s="1618"/>
      <c r="I114" s="1664"/>
      <c r="K114" s="1125"/>
    </row>
    <row r="115" spans="1:11" s="785" customFormat="1" ht="14.25" thickBot="1">
      <c r="A115" s="1890"/>
      <c r="B115" s="1615" t="s">
        <v>775</v>
      </c>
      <c r="C115" s="1620">
        <v>1031</v>
      </c>
      <c r="D115" s="1619">
        <v>390</v>
      </c>
      <c r="E115" s="1628">
        <f t="shared" si="3"/>
        <v>1421</v>
      </c>
      <c r="F115" s="1618"/>
      <c r="I115" s="1664"/>
      <c r="K115" s="1125"/>
    </row>
    <row r="116" spans="1:11" s="311" customFormat="1" ht="12.75" customHeight="1" thickBot="1">
      <c r="A116" s="1437" t="s">
        <v>518</v>
      </c>
      <c r="B116" s="1448" t="s">
        <v>221</v>
      </c>
      <c r="C116" s="1449">
        <f>SUM(C98:C99)+C100+C104+C114</f>
        <v>41190</v>
      </c>
      <c r="D116" s="1449">
        <f>SUM(D98:D99)+D100+D104+D114</f>
        <v>-8426</v>
      </c>
      <c r="E116" s="1422">
        <f>SUM(E98:E99)+E100+E104+E114</f>
        <v>32764</v>
      </c>
      <c r="F116" s="1056"/>
      <c r="H116" s="806"/>
      <c r="I116" s="1663"/>
      <c r="K116" s="1125"/>
    </row>
    <row r="117" spans="1:11" s="311" customFormat="1" ht="14.25" customHeight="1" thickBot="1">
      <c r="A117" s="1057">
        <v>11</v>
      </c>
      <c r="B117" s="244" t="s">
        <v>548</v>
      </c>
      <c r="C117" s="240">
        <f>C61+C64+C69+C71+C73+C75+C78+C89+C91+C97+C116</f>
        <v>195114</v>
      </c>
      <c r="D117" s="240">
        <f>D61+D64+D69+D71+D73+D75+D78+D89+D91+D97+D116</f>
        <v>31182</v>
      </c>
      <c r="E117" s="235">
        <f>E61+E64+E69+E71+E73+E75+E78+E89+E91+E97+E116</f>
        <v>226296</v>
      </c>
      <c r="F117" s="1056">
        <f>SUM(C117:D117)</f>
        <v>226296</v>
      </c>
      <c r="H117" s="1515"/>
      <c r="I117" s="1663"/>
      <c r="K117" s="1125"/>
    </row>
    <row r="118" spans="1:11" s="311" customFormat="1" ht="21" customHeight="1" thickBot="1">
      <c r="A118" s="1064" t="s">
        <v>105</v>
      </c>
      <c r="B118" s="245" t="s">
        <v>832</v>
      </c>
      <c r="C118" s="246">
        <f>C117+C55+C49+C46+C34+C29+C22+C18+C25+C58+C51</f>
        <v>969635</v>
      </c>
      <c r="D118" s="246">
        <f>D117+D55+D49+D46+D34+D29+D22+D18+D25+D58+D51</f>
        <v>16650</v>
      </c>
      <c r="E118" s="246">
        <f>E117+E55+E49+E46+E34+E29+E22+E18+E25+E58+E51</f>
        <v>986285</v>
      </c>
      <c r="F118" s="115">
        <f>C118+D118</f>
        <v>986285</v>
      </c>
      <c r="G118" s="285">
        <f>'hivatal5 '!E24</f>
        <v>986285</v>
      </c>
      <c r="H118" s="1515">
        <f>F118-G118</f>
        <v>0</v>
      </c>
      <c r="I118" s="1665"/>
      <c r="K118" s="1125"/>
    </row>
    <row r="119" spans="1:11" s="973" customFormat="1" ht="12.75" customHeight="1">
      <c r="A119" s="1065" t="s">
        <v>112</v>
      </c>
      <c r="B119" s="1584" t="s">
        <v>807</v>
      </c>
      <c r="C119" s="1171">
        <f>hivatal1!C24</f>
        <v>0</v>
      </c>
      <c r="D119" s="1171">
        <f>hivatal1!D24</f>
        <v>180</v>
      </c>
      <c r="E119" s="243">
        <f aca="true" t="shared" si="4" ref="E119:E131">SUM(C119:D119)</f>
        <v>180</v>
      </c>
      <c r="F119" s="115"/>
      <c r="G119" s="1668"/>
      <c r="H119" s="1516"/>
      <c r="I119" s="1665">
        <v>180</v>
      </c>
      <c r="K119" s="1125"/>
    </row>
    <row r="120" spans="1:11" s="810" customFormat="1" ht="12.75" customHeight="1">
      <c r="A120" s="1133" t="s">
        <v>115</v>
      </c>
      <c r="B120" s="247" t="s">
        <v>722</v>
      </c>
      <c r="C120" s="237">
        <f>hivatal1!I24</f>
        <v>80635</v>
      </c>
      <c r="D120" s="237">
        <f>hivatal1!J24</f>
        <v>18688</v>
      </c>
      <c r="E120" s="243">
        <f t="shared" si="4"/>
        <v>99323</v>
      </c>
      <c r="F120" s="115"/>
      <c r="G120" s="1516"/>
      <c r="H120" s="1516"/>
      <c r="I120" s="1665">
        <v>57709</v>
      </c>
      <c r="K120" s="1125"/>
    </row>
    <row r="121" spans="1:11" s="311" customFormat="1" ht="12.75" customHeight="1">
      <c r="A121" s="1133" t="s">
        <v>116</v>
      </c>
      <c r="B121" s="247" t="s">
        <v>550</v>
      </c>
      <c r="C121" s="237">
        <f>hivatal2!O24</f>
        <v>2000</v>
      </c>
      <c r="D121" s="237">
        <f>hivatal2!P24</f>
        <v>0</v>
      </c>
      <c r="E121" s="243">
        <f t="shared" si="4"/>
        <v>2000</v>
      </c>
      <c r="F121" s="116"/>
      <c r="H121" s="806"/>
      <c r="I121" s="1663"/>
      <c r="K121" s="1125"/>
    </row>
    <row r="122" spans="1:11" s="311" customFormat="1" ht="12.75" customHeight="1">
      <c r="A122" s="1065" t="s">
        <v>117</v>
      </c>
      <c r="B122" s="247" t="s">
        <v>612</v>
      </c>
      <c r="C122" s="231">
        <f>'hivatal5 '!O24</f>
        <v>3500</v>
      </c>
      <c r="D122" s="231">
        <f>'hivatal5 '!P24</f>
        <v>0</v>
      </c>
      <c r="E122" s="234">
        <f t="shared" si="4"/>
        <v>3500</v>
      </c>
      <c r="F122" s="116"/>
      <c r="H122" s="806"/>
      <c r="I122" s="1663"/>
      <c r="K122" s="1125"/>
    </row>
    <row r="123" spans="1:11" s="311" customFormat="1" ht="12.75" customHeight="1">
      <c r="A123" s="1065" t="s">
        <v>344</v>
      </c>
      <c r="B123" s="247" t="s">
        <v>551</v>
      </c>
      <c r="C123" s="231">
        <f>hivatal4!I24</f>
        <v>182526</v>
      </c>
      <c r="D123" s="231">
        <f>hivatal4!J24</f>
        <v>-3851</v>
      </c>
      <c r="E123" s="234">
        <f t="shared" si="4"/>
        <v>178675</v>
      </c>
      <c r="F123" s="116"/>
      <c r="H123" s="806"/>
      <c r="I123" s="1663">
        <v>17049</v>
      </c>
      <c r="K123" s="1125"/>
    </row>
    <row r="124" spans="1:11" s="311" customFormat="1" ht="12.75" customHeight="1">
      <c r="A124" s="1133" t="s">
        <v>345</v>
      </c>
      <c r="B124" s="247" t="s">
        <v>795</v>
      </c>
      <c r="C124" s="231">
        <f>'hivatal5 '!I24</f>
        <v>50000</v>
      </c>
      <c r="D124" s="231">
        <f>'hivatal5 '!J24</f>
        <v>-13</v>
      </c>
      <c r="E124" s="234">
        <f t="shared" si="4"/>
        <v>49987</v>
      </c>
      <c r="F124" s="116"/>
      <c r="H124" s="806"/>
      <c r="I124" s="1663"/>
      <c r="K124" s="1125"/>
    </row>
    <row r="125" spans="1:11" s="311" customFormat="1" ht="13.5" customHeight="1">
      <c r="A125" s="1642" t="s">
        <v>120</v>
      </c>
      <c r="B125" s="1274" t="s">
        <v>549</v>
      </c>
      <c r="C125" s="231">
        <f>hivatal4!L24</f>
        <v>173690</v>
      </c>
      <c r="D125" s="231">
        <f>hivatal4!M24</f>
        <v>52112</v>
      </c>
      <c r="E125" s="234">
        <f t="shared" si="4"/>
        <v>225802</v>
      </c>
      <c r="F125" s="116"/>
      <c r="H125" s="806"/>
      <c r="I125" s="1663">
        <v>77983</v>
      </c>
      <c r="K125" s="1125"/>
    </row>
    <row r="126" spans="1:11" s="311" customFormat="1" ht="13.5" customHeight="1">
      <c r="A126" s="1133" t="s">
        <v>132</v>
      </c>
      <c r="B126" s="1274" t="s">
        <v>793</v>
      </c>
      <c r="C126" s="231">
        <f>hivatal4!C24</f>
        <v>5000</v>
      </c>
      <c r="D126" s="231">
        <f>hivatal4!D24</f>
        <v>7904</v>
      </c>
      <c r="E126" s="234">
        <f t="shared" si="4"/>
        <v>12904</v>
      </c>
      <c r="F126" s="116"/>
      <c r="H126" s="806"/>
      <c r="I126" s="1663">
        <v>1280</v>
      </c>
      <c r="K126" s="1125"/>
    </row>
    <row r="127" spans="1:11" s="311" customFormat="1" ht="13.5" customHeight="1">
      <c r="A127" s="1133" t="s">
        <v>354</v>
      </c>
      <c r="B127" s="1583" t="s">
        <v>778</v>
      </c>
      <c r="C127" s="241">
        <f>hivatal4!F24</f>
        <v>59471</v>
      </c>
      <c r="D127" s="241">
        <f>hivatal4!G24</f>
        <v>0</v>
      </c>
      <c r="E127" s="242">
        <f t="shared" si="4"/>
        <v>59471</v>
      </c>
      <c r="F127" s="116"/>
      <c r="H127" s="806"/>
      <c r="I127" s="1663">
        <v>33887</v>
      </c>
      <c r="K127" s="1125"/>
    </row>
    <row r="128" spans="1:11" s="311" customFormat="1" ht="13.5" customHeight="1">
      <c r="A128" s="1133" t="s">
        <v>776</v>
      </c>
      <c r="B128" s="1274" t="s">
        <v>753</v>
      </c>
      <c r="C128" s="231">
        <f>hivatal6!C24</f>
        <v>12</v>
      </c>
      <c r="D128" s="231">
        <f>hivatal6!D24</f>
        <v>0</v>
      </c>
      <c r="E128" s="242">
        <f t="shared" si="4"/>
        <v>12</v>
      </c>
      <c r="F128" s="116"/>
      <c r="H128" s="806"/>
      <c r="I128" s="1663"/>
      <c r="K128" s="1125"/>
    </row>
    <row r="129" spans="1:11" s="311" customFormat="1" ht="13.5" customHeight="1">
      <c r="A129" s="1133" t="s">
        <v>781</v>
      </c>
      <c r="B129" s="1274" t="s">
        <v>754</v>
      </c>
      <c r="C129" s="231">
        <f>hivatal6!F24</f>
        <v>174988</v>
      </c>
      <c r="D129" s="231">
        <f>hivatal6!G24</f>
        <v>199779</v>
      </c>
      <c r="E129" s="242">
        <f t="shared" si="4"/>
        <v>374767</v>
      </c>
      <c r="F129" s="116"/>
      <c r="H129" s="806"/>
      <c r="I129" s="1663"/>
      <c r="K129" s="1125"/>
    </row>
    <row r="130" spans="1:11" s="311" customFormat="1" ht="13.5" customHeight="1">
      <c r="A130" s="1133" t="s">
        <v>794</v>
      </c>
      <c r="B130" s="1274" t="s">
        <v>777</v>
      </c>
      <c r="C130" s="231">
        <f>hivatal6!I24</f>
        <v>105178</v>
      </c>
      <c r="D130" s="231">
        <f>hivatal6!J24</f>
        <v>84817</v>
      </c>
      <c r="E130" s="239">
        <f t="shared" si="4"/>
        <v>189995</v>
      </c>
      <c r="F130" s="116"/>
      <c r="H130" s="806"/>
      <c r="I130" s="1663">
        <v>10728</v>
      </c>
      <c r="K130" s="1125"/>
    </row>
    <row r="131" spans="1:11" s="311" customFormat="1" ht="13.5" customHeight="1" thickBot="1">
      <c r="A131" s="1581" t="s">
        <v>853</v>
      </c>
      <c r="B131" s="1311" t="s">
        <v>782</v>
      </c>
      <c r="C131" s="1582">
        <f>hivatal6!L24</f>
        <v>75342</v>
      </c>
      <c r="D131" s="1582">
        <f>hivatal6!M24</f>
        <v>43006</v>
      </c>
      <c r="E131" s="1641">
        <f t="shared" si="4"/>
        <v>118348</v>
      </c>
      <c r="F131" s="116"/>
      <c r="H131" s="806"/>
      <c r="I131" s="1663">
        <v>66235</v>
      </c>
      <c r="K131" s="1125"/>
    </row>
    <row r="132" spans="1:11" s="311" customFormat="1" ht="17.25" customHeight="1" thickBot="1" thickTop="1">
      <c r="A132" s="1309" t="s">
        <v>130</v>
      </c>
      <c r="B132" s="1310" t="s">
        <v>854</v>
      </c>
      <c r="C132" s="1302">
        <f>SUM(C118:C131)</f>
        <v>1881977</v>
      </c>
      <c r="D132" s="1302">
        <f>SUM(D118:D131)</f>
        <v>419272</v>
      </c>
      <c r="E132" s="1302">
        <f>SUM(E118:E131)</f>
        <v>2301249</v>
      </c>
      <c r="F132" s="505">
        <f>SUM(C132:D132)</f>
        <v>2301249</v>
      </c>
      <c r="G132" s="1066"/>
      <c r="H132" s="806"/>
      <c r="I132" s="1663"/>
      <c r="K132" s="1125"/>
    </row>
    <row r="133" spans="1:11" s="311" customFormat="1" ht="15.75" customHeight="1" thickBot="1" thickTop="1">
      <c r="A133" s="1067" t="s">
        <v>131</v>
      </c>
      <c r="B133" s="249" t="s">
        <v>209</v>
      </c>
      <c r="C133" s="250">
        <f>hivatal9!F24</f>
        <v>116497</v>
      </c>
      <c r="D133" s="251">
        <f>hivatal9!G24</f>
        <v>-10503</v>
      </c>
      <c r="E133" s="252">
        <f>SUM(C133:D133)</f>
        <v>105994</v>
      </c>
      <c r="F133" s="505">
        <f>SUM(C133:D133)</f>
        <v>105994</v>
      </c>
      <c r="G133" s="1066"/>
      <c r="H133" s="806"/>
      <c r="I133" s="1663"/>
      <c r="K133" s="1125"/>
    </row>
    <row r="134" spans="1:11" s="116" customFormat="1" ht="18.75" customHeight="1" thickBot="1" thickTop="1">
      <c r="A134" s="212"/>
      <c r="B134" s="253" t="s">
        <v>243</v>
      </c>
      <c r="C134" s="254">
        <f>SUM(C132:C133)</f>
        <v>1998474</v>
      </c>
      <c r="D134" s="254">
        <f>SUM(D132:D133)</f>
        <v>408769</v>
      </c>
      <c r="E134" s="254">
        <f>SUM(E132:E133)</f>
        <v>2407243</v>
      </c>
      <c r="F134" s="505">
        <f>SUM(E132:E133)</f>
        <v>2407243</v>
      </c>
      <c r="G134" s="505">
        <f>hivatal9!K24</f>
        <v>2407243</v>
      </c>
      <c r="H134" s="1056">
        <f>F134-G134</f>
        <v>0</v>
      </c>
      <c r="I134" s="1666">
        <f>SUM(I7:I133)</f>
        <v>366607</v>
      </c>
      <c r="K134" s="1125"/>
    </row>
    <row r="135" spans="1:9" s="311" customFormat="1" ht="10.5" customHeight="1">
      <c r="A135" s="1068"/>
      <c r="B135" s="1069"/>
      <c r="C135" s="1069"/>
      <c r="D135" s="1070"/>
      <c r="E135" s="30"/>
      <c r="F135" s="1053"/>
      <c r="H135" s="806"/>
      <c r="I135" s="1659"/>
    </row>
    <row r="136" spans="1:9" s="311" customFormat="1" ht="10.5" customHeight="1">
      <c r="A136" s="1068"/>
      <c r="B136" s="1069"/>
      <c r="C136" s="1069"/>
      <c r="D136" s="1070"/>
      <c r="E136" s="30"/>
      <c r="F136" s="1053"/>
      <c r="H136" s="806"/>
      <c r="I136" s="1659"/>
    </row>
    <row r="137" spans="1:9" s="311" customFormat="1" ht="10.5" customHeight="1">
      <c r="A137" s="1068"/>
      <c r="B137" s="29"/>
      <c r="C137" s="1071"/>
      <c r="D137" s="1070"/>
      <c r="E137" s="30"/>
      <c r="F137" s="1053"/>
      <c r="H137" s="806"/>
      <c r="I137" s="1659"/>
    </row>
    <row r="138" spans="1:9" s="311" customFormat="1" ht="12.75">
      <c r="A138" s="1068"/>
      <c r="B138" s="29"/>
      <c r="C138" s="1071"/>
      <c r="D138" s="1070"/>
      <c r="E138" s="30"/>
      <c r="F138" s="1053"/>
      <c r="H138" s="806"/>
      <c r="I138" s="1659"/>
    </row>
    <row r="139" spans="1:9" s="311" customFormat="1" ht="12.75">
      <c r="A139" s="1072"/>
      <c r="B139" s="1072"/>
      <c r="C139" s="1072"/>
      <c r="D139" s="1073"/>
      <c r="E139" s="1074"/>
      <c r="F139" s="1053"/>
      <c r="H139" s="806"/>
      <c r="I139" s="1659"/>
    </row>
    <row r="140" spans="1:9" s="311" customFormat="1" ht="14.25">
      <c r="A140" s="1075"/>
      <c r="B140" s="56"/>
      <c r="C140" s="1072"/>
      <c r="D140" s="1076"/>
      <c r="E140" s="1072"/>
      <c r="F140" s="1053"/>
      <c r="H140" s="806"/>
      <c r="I140" s="1659"/>
    </row>
    <row r="141" spans="1:9" s="311" customFormat="1" ht="12" customHeight="1">
      <c r="A141" s="1077"/>
      <c r="B141" s="30"/>
      <c r="C141" s="70"/>
      <c r="D141" s="70"/>
      <c r="E141" s="70"/>
      <c r="F141" s="1053"/>
      <c r="H141" s="806"/>
      <c r="I141" s="1659"/>
    </row>
    <row r="142" spans="1:9" s="311" customFormat="1" ht="12" customHeight="1">
      <c r="A142" s="1077"/>
      <c r="B142" s="30"/>
      <c r="C142" s="70"/>
      <c r="D142" s="70"/>
      <c r="E142" s="70"/>
      <c r="F142" s="1053"/>
      <c r="H142" s="806"/>
      <c r="I142" s="1659"/>
    </row>
    <row r="143" spans="1:9" s="588" customFormat="1" ht="10.5" customHeight="1">
      <c r="A143" s="1078"/>
      <c r="B143" s="56"/>
      <c r="C143" s="31"/>
      <c r="D143" s="31"/>
      <c r="E143" s="31"/>
      <c r="F143" s="1079"/>
      <c r="I143" s="1658"/>
    </row>
    <row r="144" spans="1:6" ht="12" customHeight="1">
      <c r="A144" s="1068"/>
      <c r="B144" s="29"/>
      <c r="C144" s="57"/>
      <c r="D144" s="57"/>
      <c r="E144" s="31"/>
      <c r="F144" s="1053"/>
    </row>
    <row r="145" spans="1:6" ht="12" customHeight="1">
      <c r="A145" s="1077"/>
      <c r="B145" s="56"/>
      <c r="C145" s="31"/>
      <c r="D145" s="31"/>
      <c r="E145" s="31"/>
      <c r="F145" s="1053"/>
    </row>
    <row r="146" spans="1:6" ht="12" customHeight="1">
      <c r="A146" s="1077"/>
      <c r="B146" s="29"/>
      <c r="C146" s="31"/>
      <c r="D146" s="31"/>
      <c r="E146" s="31"/>
      <c r="F146" s="1053"/>
    </row>
    <row r="147" spans="1:6" ht="12" customHeight="1">
      <c r="A147" s="1077"/>
      <c r="B147" s="30"/>
      <c r="C147" s="31"/>
      <c r="D147" s="31"/>
      <c r="E147" s="31"/>
      <c r="F147" s="1053"/>
    </row>
    <row r="148" spans="1:6" ht="12" customHeight="1">
      <c r="A148" s="1077"/>
      <c r="B148" s="29"/>
      <c r="C148" s="31"/>
      <c r="D148" s="31"/>
      <c r="E148" s="31"/>
      <c r="F148" s="1053"/>
    </row>
    <row r="149" spans="1:6" ht="12" customHeight="1">
      <c r="A149" s="1077"/>
      <c r="B149" s="29"/>
      <c r="C149" s="31"/>
      <c r="D149" s="31"/>
      <c r="E149" s="31"/>
      <c r="F149" s="1053"/>
    </row>
    <row r="150" spans="1:6" ht="12" customHeight="1">
      <c r="A150" s="1077"/>
      <c r="B150" s="30"/>
      <c r="C150" s="31"/>
      <c r="D150" s="31"/>
      <c r="E150" s="31"/>
      <c r="F150" s="1053"/>
    </row>
    <row r="151" spans="1:6" ht="12" customHeight="1">
      <c r="A151" s="1077"/>
      <c r="B151" s="30"/>
      <c r="C151" s="31"/>
      <c r="D151" s="31"/>
      <c r="E151" s="31"/>
      <c r="F151" s="1058"/>
    </row>
    <row r="152" spans="1:6" ht="12" customHeight="1">
      <c r="A152" s="1068"/>
      <c r="B152" s="29"/>
      <c r="C152" s="57"/>
      <c r="D152" s="57"/>
      <c r="E152" s="31"/>
      <c r="F152" s="1058"/>
    </row>
    <row r="153" spans="1:6" ht="12" customHeight="1">
      <c r="A153" s="1068"/>
      <c r="B153" s="29"/>
      <c r="C153" s="57"/>
      <c r="D153" s="57"/>
      <c r="E153" s="31"/>
      <c r="F153" s="1058"/>
    </row>
    <row r="154" spans="1:6" ht="12" customHeight="1">
      <c r="A154" s="1068"/>
      <c r="B154" s="29"/>
      <c r="C154" s="57"/>
      <c r="D154" s="57"/>
      <c r="E154" s="31"/>
      <c r="F154" s="1058"/>
    </row>
    <row r="155" spans="1:6" ht="12" customHeight="1">
      <c r="A155" s="1068"/>
      <c r="B155" s="29"/>
      <c r="C155" s="57"/>
      <c r="D155" s="57"/>
      <c r="E155" s="31"/>
      <c r="F155" s="1058"/>
    </row>
    <row r="156" spans="1:6" ht="12" customHeight="1">
      <c r="A156" s="1068"/>
      <c r="B156" s="29"/>
      <c r="C156" s="57"/>
      <c r="D156" s="57"/>
      <c r="E156" s="31"/>
      <c r="F156" s="1058"/>
    </row>
    <row r="157" spans="1:6" ht="12" customHeight="1">
      <c r="A157" s="1068"/>
      <c r="B157" s="29"/>
      <c r="C157" s="57"/>
      <c r="D157" s="57"/>
      <c r="E157" s="31"/>
      <c r="F157" s="1058"/>
    </row>
    <row r="158" spans="1:6" ht="12" customHeight="1">
      <c r="A158" s="1068"/>
      <c r="B158" s="29"/>
      <c r="C158" s="57"/>
      <c r="D158" s="57"/>
      <c r="E158" s="31"/>
      <c r="F158" s="1058"/>
    </row>
    <row r="159" spans="1:6" ht="12" customHeight="1">
      <c r="A159" s="1068"/>
      <c r="B159" s="29"/>
      <c r="C159" s="57"/>
      <c r="D159" s="57"/>
      <c r="E159" s="31"/>
      <c r="F159" s="1058"/>
    </row>
    <row r="160" spans="1:6" ht="12" customHeight="1">
      <c r="A160" s="1068"/>
      <c r="B160" s="29"/>
      <c r="C160" s="57"/>
      <c r="D160" s="57"/>
      <c r="E160" s="31"/>
      <c r="F160" s="1058"/>
    </row>
    <row r="161" spans="1:6" ht="12" customHeight="1">
      <c r="A161" s="1077"/>
      <c r="B161" s="30"/>
      <c r="C161" s="31"/>
      <c r="D161" s="31"/>
      <c r="E161" s="31"/>
      <c r="F161" s="1058"/>
    </row>
    <row r="162" spans="1:6" ht="12" customHeight="1">
      <c r="A162" s="1068"/>
      <c r="B162" s="29"/>
      <c r="C162" s="58"/>
      <c r="D162" s="57"/>
      <c r="E162" s="59"/>
      <c r="F162" s="1058"/>
    </row>
    <row r="163" spans="1:6" ht="12" customHeight="1">
      <c r="A163" s="1077"/>
      <c r="B163" s="30"/>
      <c r="C163" s="31"/>
      <c r="D163" s="31"/>
      <c r="E163" s="31"/>
      <c r="F163" s="1053"/>
    </row>
    <row r="164" spans="1:6" ht="12.75">
      <c r="A164" s="1080"/>
      <c r="B164" s="1080"/>
      <c r="C164" s="1080"/>
      <c r="D164" s="1081"/>
      <c r="E164" s="1082"/>
      <c r="F164" s="1053"/>
    </row>
    <row r="165" spans="1:6" ht="12.75">
      <c r="A165" s="1080"/>
      <c r="B165" s="1080"/>
      <c r="C165" s="1080"/>
      <c r="D165" s="1081"/>
      <c r="E165" s="1082"/>
      <c r="F165" s="1053"/>
    </row>
    <row r="166" ht="12.75">
      <c r="F166" s="1053"/>
    </row>
    <row r="167" ht="12.75">
      <c r="F167" s="1053"/>
    </row>
    <row r="168" ht="12.75">
      <c r="F168" s="1053"/>
    </row>
    <row r="169" ht="12.75">
      <c r="F169" s="1053"/>
    </row>
    <row r="170" ht="12.75">
      <c r="F170" s="1053"/>
    </row>
  </sheetData>
  <sheetProtection/>
  <mergeCells count="8">
    <mergeCell ref="A56:A57"/>
    <mergeCell ref="A98:A115"/>
    <mergeCell ref="A47:A48"/>
    <mergeCell ref="A2:E2"/>
    <mergeCell ref="A3:E3"/>
    <mergeCell ref="A35:A40"/>
    <mergeCell ref="A19:A21"/>
    <mergeCell ref="A30:A33"/>
  </mergeCells>
  <printOptions horizontalCentered="1" verticalCentered="1"/>
  <pageMargins left="0.5118110236220472" right="0.35433070866141736" top="0.15748031496062992" bottom="0.31496062992125984" header="0.1968503937007874" footer="0.15748031496062992"/>
  <pageSetup horizontalDpi="600" verticalDpi="600" orientation="portrait" paperSize="9" scale="70" r:id="rId1"/>
  <headerFooter alignWithMargins="0">
    <oddHeader>&amp;R8. melléklet  a 15/2018.(IX.18.) 
Önkormányzati rendelethez
&amp;P. oldal</oddHeader>
    <oddFooter>&amp;L&amp;F&amp;C&amp;D, &amp;T&amp;R&amp;A</oddFooter>
  </headerFooter>
  <rowBreaks count="1" manualBreakCount="1">
    <brk id="9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A59"/>
  <sheetViews>
    <sheetView showGridLines="0" view="pageLayout" zoomScaleNormal="80" workbookViewId="0" topLeftCell="A1">
      <selection activeCell="F1" sqref="F1"/>
    </sheetView>
  </sheetViews>
  <sheetFormatPr defaultColWidth="9.00390625" defaultRowHeight="12.75"/>
  <cols>
    <col min="1" max="1" width="7.125" style="0" customWidth="1"/>
    <col min="2" max="2" width="2.625" style="0" customWidth="1"/>
    <col min="3" max="3" width="99.125" style="0" customWidth="1"/>
    <col min="4" max="4" width="14.625" style="0" customWidth="1"/>
    <col min="5" max="5" width="15.50390625" style="18" customWidth="1"/>
    <col min="6" max="6" width="16.00390625" style="0" customWidth="1"/>
    <col min="7" max="7" width="13.125" style="0" customWidth="1"/>
    <col min="9" max="9" width="11.00390625" style="0" customWidth="1"/>
    <col min="11" max="11" width="10.50390625" style="0" customWidth="1"/>
  </cols>
  <sheetData>
    <row r="1" spans="1:6" ht="30.75" customHeight="1">
      <c r="A1" s="1"/>
      <c r="E1" s="27"/>
      <c r="F1" s="110" t="s">
        <v>874</v>
      </c>
    </row>
    <row r="2" spans="1:6" ht="12.75">
      <c r="A2" s="1"/>
      <c r="E2" s="27"/>
      <c r="F2" s="110" t="s">
        <v>102</v>
      </c>
    </row>
    <row r="3" spans="1:4" ht="12" customHeight="1">
      <c r="A3" s="1"/>
      <c r="D3" s="17"/>
    </row>
    <row r="4" spans="1:6" ht="45.75" customHeight="1">
      <c r="A4" s="19" t="s">
        <v>351</v>
      </c>
      <c r="B4" s="19"/>
      <c r="C4" s="6"/>
      <c r="D4" s="19"/>
      <c r="E4" s="51"/>
      <c r="F4" s="52"/>
    </row>
    <row r="5" spans="1:6" ht="15.75">
      <c r="A5" s="19" t="s">
        <v>577</v>
      </c>
      <c r="B5" s="19"/>
      <c r="C5" s="12"/>
      <c r="D5" s="19"/>
      <c r="E5" s="51"/>
      <c r="F5" s="52"/>
    </row>
    <row r="6" spans="1:6" ht="56.25" customHeight="1" thickBot="1">
      <c r="A6" s="1"/>
      <c r="D6" s="17"/>
      <c r="F6" s="13" t="s">
        <v>145</v>
      </c>
    </row>
    <row r="7" spans="1:6" s="96" customFormat="1" ht="33" customHeight="1" thickBot="1">
      <c r="A7" s="20" t="s">
        <v>193</v>
      </c>
      <c r="B7" s="21"/>
      <c r="C7" s="71" t="s">
        <v>194</v>
      </c>
      <c r="D7" s="1656" t="s">
        <v>463</v>
      </c>
      <c r="E7" s="1657" t="s">
        <v>141</v>
      </c>
      <c r="F7" s="139" t="s">
        <v>665</v>
      </c>
    </row>
    <row r="8" spans="1:6" ht="13.5" thickBot="1">
      <c r="A8" s="45">
        <v>1</v>
      </c>
      <c r="B8" s="46">
        <v>2</v>
      </c>
      <c r="C8" s="47"/>
      <c r="D8" s="142">
        <v>3</v>
      </c>
      <c r="E8" s="141">
        <v>4</v>
      </c>
      <c r="F8" s="140">
        <v>5</v>
      </c>
    </row>
    <row r="9" spans="1:11" s="585" customFormat="1" ht="24.75" customHeight="1" thickBot="1">
      <c r="A9" s="354" t="s">
        <v>105</v>
      </c>
      <c r="B9" s="1897" t="s">
        <v>195</v>
      </c>
      <c r="C9" s="1898"/>
      <c r="D9" s="616">
        <v>150000</v>
      </c>
      <c r="E9" s="617">
        <f>F9-D9</f>
        <v>7806</v>
      </c>
      <c r="F9" s="618">
        <v>157806</v>
      </c>
      <c r="G9" s="586" t="s">
        <v>518</v>
      </c>
      <c r="I9" s="731">
        <f>F9+F11+F14+F15</f>
        <v>258580</v>
      </c>
      <c r="K9" s="586"/>
    </row>
    <row r="10" spans="1:11" s="590" customFormat="1" ht="18.75" customHeight="1">
      <c r="A10" s="587"/>
      <c r="B10" s="588" t="s">
        <v>196</v>
      </c>
      <c r="C10" s="589"/>
      <c r="D10" s="1303"/>
      <c r="E10" s="1304"/>
      <c r="F10" s="1305"/>
      <c r="I10" s="96"/>
      <c r="J10" s="591"/>
      <c r="K10" s="592"/>
    </row>
    <row r="11" spans="1:11" s="590" customFormat="1" ht="18.75" customHeight="1">
      <c r="A11" s="587"/>
      <c r="B11" s="595"/>
      <c r="C11" s="147" t="s">
        <v>71</v>
      </c>
      <c r="D11" s="194">
        <v>26665</v>
      </c>
      <c r="E11" s="596"/>
      <c r="F11" s="593">
        <f>SUM(D11:E11)</f>
        <v>26665</v>
      </c>
      <c r="G11" s="594" t="s">
        <v>518</v>
      </c>
      <c r="I11" s="96"/>
      <c r="J11" s="591"/>
      <c r="K11" s="592"/>
    </row>
    <row r="12" spans="1:11" s="590" customFormat="1" ht="18.75" customHeight="1">
      <c r="A12" s="587"/>
      <c r="B12" s="595"/>
      <c r="C12" s="597" t="s">
        <v>152</v>
      </c>
      <c r="D12" s="193">
        <v>19196</v>
      </c>
      <c r="E12" s="596">
        <f>-5418-150</f>
        <v>-5568</v>
      </c>
      <c r="F12" s="593">
        <f aca="true" t="shared" si="0" ref="F12:F17">SUM(D12:E12)</f>
        <v>13628</v>
      </c>
      <c r="G12" s="594"/>
      <c r="I12" s="96"/>
      <c r="K12" s="592"/>
    </row>
    <row r="13" spans="1:11" s="612" customFormat="1" ht="18.75" customHeight="1">
      <c r="A13" s="587"/>
      <c r="B13" s="1276"/>
      <c r="C13" s="1277" t="s">
        <v>172</v>
      </c>
      <c r="D13" s="193">
        <v>218552</v>
      </c>
      <c r="E13" s="1278">
        <f>-4630-1014-152-4947-2451-23-55296-412+19726-5730-17000-299+2134-2900-2921</f>
        <v>-75915</v>
      </c>
      <c r="F13" s="1279">
        <f t="shared" si="0"/>
        <v>142637</v>
      </c>
      <c r="G13" s="1113"/>
      <c r="I13" s="220"/>
      <c r="K13" s="1114"/>
    </row>
    <row r="14" spans="1:7" s="590" customFormat="1" ht="18.75" customHeight="1">
      <c r="A14" s="587"/>
      <c r="B14" s="595"/>
      <c r="C14" s="147" t="s">
        <v>161</v>
      </c>
      <c r="D14" s="193">
        <v>72995</v>
      </c>
      <c r="E14" s="596">
        <f>802+17+388+285-378</f>
        <v>1114</v>
      </c>
      <c r="F14" s="593">
        <f t="shared" si="0"/>
        <v>74109</v>
      </c>
      <c r="G14" s="594" t="s">
        <v>518</v>
      </c>
    </row>
    <row r="15" spans="1:11" s="590" customFormat="1" ht="18.75" customHeight="1">
      <c r="A15" s="587"/>
      <c r="B15" s="595"/>
      <c r="C15" s="147" t="s">
        <v>342</v>
      </c>
      <c r="D15" s="195">
        <v>2000</v>
      </c>
      <c r="E15" s="596">
        <v>-2000</v>
      </c>
      <c r="F15" s="593">
        <f t="shared" si="0"/>
        <v>0</v>
      </c>
      <c r="G15" s="594" t="s">
        <v>518</v>
      </c>
      <c r="I15" s="96"/>
      <c r="J15" s="96"/>
      <c r="K15" s="96"/>
    </row>
    <row r="16" spans="1:7" s="590" customFormat="1" ht="18.75" customHeight="1">
      <c r="A16" s="587"/>
      <c r="B16" s="595"/>
      <c r="C16" s="147" t="s">
        <v>346</v>
      </c>
      <c r="D16" s="195">
        <v>6000</v>
      </c>
      <c r="E16" s="596">
        <v>-6000</v>
      </c>
      <c r="F16" s="593">
        <f t="shared" si="0"/>
        <v>0</v>
      </c>
      <c r="G16" s="594"/>
    </row>
    <row r="17" spans="1:7" s="590" customFormat="1" ht="29.25" customHeight="1">
      <c r="A17" s="587"/>
      <c r="B17" s="595"/>
      <c r="C17" s="1157" t="s">
        <v>664</v>
      </c>
      <c r="D17" s="195">
        <v>5899</v>
      </c>
      <c r="E17" s="596"/>
      <c r="F17" s="593">
        <f t="shared" si="0"/>
        <v>5899</v>
      </c>
      <c r="G17" s="594" t="s">
        <v>518</v>
      </c>
    </row>
    <row r="18" spans="1:7" s="590" customFormat="1" ht="33" customHeight="1">
      <c r="A18" s="587"/>
      <c r="B18" s="595"/>
      <c r="C18" s="1157" t="s">
        <v>669</v>
      </c>
      <c r="D18" s="195">
        <v>4372</v>
      </c>
      <c r="E18" s="596"/>
      <c r="F18" s="593">
        <f>SUM(D18:E18)</f>
        <v>4372</v>
      </c>
      <c r="G18" s="594" t="s">
        <v>518</v>
      </c>
    </row>
    <row r="19" spans="1:7" s="590" customFormat="1" ht="18.75" customHeight="1">
      <c r="A19" s="587"/>
      <c r="B19" s="595"/>
      <c r="C19" s="1507" t="s">
        <v>670</v>
      </c>
      <c r="D19" s="195">
        <v>10776</v>
      </c>
      <c r="E19" s="596"/>
      <c r="F19" s="593">
        <f aca="true" t="shared" si="1" ref="F19:F27">SUM(D19:E19)</f>
        <v>10776</v>
      </c>
      <c r="G19" s="594"/>
    </row>
    <row r="20" spans="1:7" s="590" customFormat="1" ht="18.75" customHeight="1">
      <c r="A20" s="587"/>
      <c r="B20" s="595"/>
      <c r="C20" s="1508" t="s">
        <v>671</v>
      </c>
      <c r="D20" s="195">
        <v>2000</v>
      </c>
      <c r="E20" s="596"/>
      <c r="F20" s="593">
        <f t="shared" si="1"/>
        <v>2000</v>
      </c>
      <c r="G20" s="594"/>
    </row>
    <row r="21" spans="1:7" s="590" customFormat="1" ht="18.75" customHeight="1">
      <c r="A21" s="587"/>
      <c r="B21" s="595"/>
      <c r="C21" s="1510" t="s">
        <v>673</v>
      </c>
      <c r="D21" s="195">
        <v>3504</v>
      </c>
      <c r="E21" s="596"/>
      <c r="F21" s="593">
        <f t="shared" si="1"/>
        <v>3504</v>
      </c>
      <c r="G21" s="594"/>
    </row>
    <row r="22" spans="1:7" s="590" customFormat="1" ht="18.75" customHeight="1">
      <c r="A22" s="587"/>
      <c r="B22" s="595"/>
      <c r="C22" s="147" t="s">
        <v>674</v>
      </c>
      <c r="D22" s="195">
        <v>8940</v>
      </c>
      <c r="E22" s="596"/>
      <c r="F22" s="593">
        <f t="shared" si="1"/>
        <v>8940</v>
      </c>
      <c r="G22" s="594" t="s">
        <v>518</v>
      </c>
    </row>
    <row r="23" spans="1:7" s="590" customFormat="1" ht="18.75" customHeight="1">
      <c r="A23" s="587"/>
      <c r="B23" s="595"/>
      <c r="C23" s="147" t="s">
        <v>675</v>
      </c>
      <c r="D23" s="195">
        <v>210</v>
      </c>
      <c r="E23" s="596"/>
      <c r="F23" s="593">
        <f t="shared" si="1"/>
        <v>210</v>
      </c>
      <c r="G23" s="594"/>
    </row>
    <row r="24" spans="1:7" s="590" customFormat="1" ht="18.75" customHeight="1">
      <c r="A24" s="587"/>
      <c r="B24" s="595"/>
      <c r="C24" s="147" t="s">
        <v>84</v>
      </c>
      <c r="D24" s="195">
        <v>600</v>
      </c>
      <c r="E24" s="596"/>
      <c r="F24" s="593">
        <f t="shared" si="1"/>
        <v>600</v>
      </c>
      <c r="G24" s="594"/>
    </row>
    <row r="25" spans="1:7" s="590" customFormat="1" ht="18.75" customHeight="1">
      <c r="A25" s="587"/>
      <c r="B25" s="595"/>
      <c r="C25" s="147" t="s">
        <v>676</v>
      </c>
      <c r="D25" s="195">
        <v>1759</v>
      </c>
      <c r="E25" s="596"/>
      <c r="F25" s="593">
        <f t="shared" si="1"/>
        <v>1759</v>
      </c>
      <c r="G25" s="594"/>
    </row>
    <row r="26" spans="1:7" s="590" customFormat="1" ht="18.75" customHeight="1">
      <c r="A26" s="587"/>
      <c r="B26" s="595"/>
      <c r="C26" s="147" t="s">
        <v>808</v>
      </c>
      <c r="D26" s="195"/>
      <c r="E26" s="596">
        <v>838</v>
      </c>
      <c r="F26" s="593">
        <f t="shared" si="1"/>
        <v>838</v>
      </c>
      <c r="G26" s="594"/>
    </row>
    <row r="27" spans="1:7" s="590" customFormat="1" ht="18.75" customHeight="1" thickBot="1">
      <c r="A27" s="587"/>
      <c r="B27" s="595"/>
      <c r="C27" s="1509" t="s">
        <v>672</v>
      </c>
      <c r="D27" s="195">
        <v>1400000</v>
      </c>
      <c r="E27" s="596"/>
      <c r="F27" s="1503">
        <f t="shared" si="1"/>
        <v>1400000</v>
      </c>
      <c r="G27" s="594"/>
    </row>
    <row r="28" spans="1:7" s="612" customFormat="1" ht="18.75" customHeight="1" thickBot="1">
      <c r="A28" s="613" t="s">
        <v>57</v>
      </c>
      <c r="B28" s="1899" t="s">
        <v>348</v>
      </c>
      <c r="C28" s="1900"/>
      <c r="D28" s="1504">
        <f>SUM(D11:D27)</f>
        <v>1783468</v>
      </c>
      <c r="E28" s="1505">
        <f>SUM(E11:E27)</f>
        <v>-87531</v>
      </c>
      <c r="F28" s="1506">
        <f>SUM(F11:F27)</f>
        <v>1695937</v>
      </c>
      <c r="G28" s="615">
        <f>SUM(D28:E28)</f>
        <v>1695937</v>
      </c>
    </row>
    <row r="29" spans="1:11" s="590" customFormat="1" ht="18.75" customHeight="1">
      <c r="A29" s="587"/>
      <c r="B29" s="595"/>
      <c r="C29" s="597" t="s">
        <v>677</v>
      </c>
      <c r="D29" s="1502">
        <v>545000</v>
      </c>
      <c r="E29" s="596">
        <f>-30325+24351-4500-24-57000</f>
        <v>-67498</v>
      </c>
      <c r="F29" s="593">
        <f aca="true" t="shared" si="2" ref="F29:F51">SUM(D29:E29)</f>
        <v>477502</v>
      </c>
      <c r="G29" s="594"/>
      <c r="I29" s="96"/>
      <c r="K29" s="592"/>
    </row>
    <row r="30" spans="1:11" s="590" customFormat="1" ht="18.75" customHeight="1">
      <c r="A30" s="587"/>
      <c r="B30" s="595"/>
      <c r="C30" s="597" t="s">
        <v>678</v>
      </c>
      <c r="D30" s="1502">
        <v>140000</v>
      </c>
      <c r="E30" s="596">
        <f>-11168-17583-5000-5000-27465</f>
        <v>-66216</v>
      </c>
      <c r="F30" s="593">
        <f t="shared" si="2"/>
        <v>73784</v>
      </c>
      <c r="G30" s="594"/>
      <c r="I30" s="96"/>
      <c r="K30" s="592"/>
    </row>
    <row r="31" spans="1:11" s="590" customFormat="1" ht="18.75" customHeight="1">
      <c r="A31" s="587"/>
      <c r="B31" s="595"/>
      <c r="C31" s="597" t="s">
        <v>552</v>
      </c>
      <c r="D31" s="1502">
        <v>30700</v>
      </c>
      <c r="E31" s="596"/>
      <c r="F31" s="593">
        <f t="shared" si="2"/>
        <v>30700</v>
      </c>
      <c r="G31" s="594"/>
      <c r="I31" s="96"/>
      <c r="K31" s="592"/>
    </row>
    <row r="32" spans="1:11" s="590" customFormat="1" ht="18.75" customHeight="1">
      <c r="A32" s="587"/>
      <c r="B32" s="595"/>
      <c r="C32" s="1507" t="s">
        <v>475</v>
      </c>
      <c r="D32" s="1502">
        <v>240000</v>
      </c>
      <c r="E32" s="596"/>
      <c r="F32" s="593">
        <f t="shared" si="2"/>
        <v>240000</v>
      </c>
      <c r="G32" s="594"/>
      <c r="I32" s="96"/>
      <c r="K32" s="592"/>
    </row>
    <row r="33" spans="1:11" s="590" customFormat="1" ht="18.75" customHeight="1">
      <c r="A33" s="587"/>
      <c r="B33" s="595"/>
      <c r="C33" s="1507" t="s">
        <v>679</v>
      </c>
      <c r="D33" s="1502">
        <v>10000</v>
      </c>
      <c r="E33" s="596"/>
      <c r="F33" s="593">
        <f t="shared" si="2"/>
        <v>10000</v>
      </c>
      <c r="G33" s="594"/>
      <c r="I33" s="96"/>
      <c r="K33" s="592"/>
    </row>
    <row r="34" spans="1:11" s="590" customFormat="1" ht="18.75" customHeight="1">
      <c r="A34" s="587"/>
      <c r="B34" s="595"/>
      <c r="C34" s="1507" t="s">
        <v>680</v>
      </c>
      <c r="D34" s="1502">
        <v>103140</v>
      </c>
      <c r="E34" s="596"/>
      <c r="F34" s="593">
        <f t="shared" si="2"/>
        <v>103140</v>
      </c>
      <c r="G34" s="594"/>
      <c r="I34" s="96"/>
      <c r="K34" s="592"/>
    </row>
    <row r="35" spans="1:11" s="590" customFormat="1" ht="18.75" customHeight="1">
      <c r="A35" s="587"/>
      <c r="B35" s="595"/>
      <c r="C35" s="1507" t="s">
        <v>681</v>
      </c>
      <c r="D35" s="1502">
        <v>46901</v>
      </c>
      <c r="E35" s="596">
        <v>-46901</v>
      </c>
      <c r="F35" s="593">
        <f t="shared" si="2"/>
        <v>0</v>
      </c>
      <c r="G35" s="594"/>
      <c r="I35" s="96"/>
      <c r="K35" s="592"/>
    </row>
    <row r="36" spans="1:11" s="590" customFormat="1" ht="18.75" customHeight="1">
      <c r="A36" s="587"/>
      <c r="B36" s="595"/>
      <c r="C36" s="1512" t="s">
        <v>685</v>
      </c>
      <c r="D36" s="1502">
        <v>10000</v>
      </c>
      <c r="E36" s="596"/>
      <c r="F36" s="593">
        <f t="shared" si="2"/>
        <v>10000</v>
      </c>
      <c r="G36" s="594"/>
      <c r="I36" s="96"/>
      <c r="K36" s="592"/>
    </row>
    <row r="37" spans="1:11" s="590" customFormat="1" ht="18.75" customHeight="1">
      <c r="A37" s="587"/>
      <c r="B37" s="595"/>
      <c r="C37" s="1512" t="s">
        <v>686</v>
      </c>
      <c r="D37" s="1502">
        <v>8000</v>
      </c>
      <c r="E37" s="596"/>
      <c r="F37" s="593">
        <f t="shared" si="2"/>
        <v>8000</v>
      </c>
      <c r="G37" s="594"/>
      <c r="I37" s="96"/>
      <c r="K37" s="592"/>
    </row>
    <row r="38" spans="1:11" s="590" customFormat="1" ht="18.75" customHeight="1">
      <c r="A38" s="587"/>
      <c r="B38" s="595"/>
      <c r="C38" s="597" t="s">
        <v>691</v>
      </c>
      <c r="D38" s="1502">
        <v>3000</v>
      </c>
      <c r="E38" s="596"/>
      <c r="F38" s="593">
        <f t="shared" si="2"/>
        <v>3000</v>
      </c>
      <c r="G38" s="594"/>
      <c r="I38" s="96"/>
      <c r="K38" s="592"/>
    </row>
    <row r="39" spans="1:11" s="590" customFormat="1" ht="18.75" customHeight="1">
      <c r="A39" s="587"/>
      <c r="B39" s="595"/>
      <c r="C39" s="597" t="s">
        <v>692</v>
      </c>
      <c r="D39" s="1502">
        <v>46161</v>
      </c>
      <c r="E39" s="596">
        <v>-18605</v>
      </c>
      <c r="F39" s="593">
        <f t="shared" si="2"/>
        <v>27556</v>
      </c>
      <c r="G39" s="594"/>
      <c r="I39" s="96"/>
      <c r="K39" s="592"/>
    </row>
    <row r="40" spans="1:11" s="590" customFormat="1" ht="18.75" customHeight="1">
      <c r="A40" s="587"/>
      <c r="B40" s="595"/>
      <c r="C40" s="1512" t="s">
        <v>683</v>
      </c>
      <c r="D40" s="1502">
        <v>20000</v>
      </c>
      <c r="E40" s="596"/>
      <c r="F40" s="593">
        <f t="shared" si="2"/>
        <v>20000</v>
      </c>
      <c r="G40" s="594"/>
      <c r="I40" s="96"/>
      <c r="K40" s="592"/>
    </row>
    <row r="41" spans="1:11" s="590" customFormat="1" ht="18.75" customHeight="1">
      <c r="A41" s="587"/>
      <c r="B41" s="595"/>
      <c r="C41" s="1512" t="s">
        <v>684</v>
      </c>
      <c r="D41" s="1502">
        <v>30000</v>
      </c>
      <c r="E41" s="596"/>
      <c r="F41" s="593">
        <f t="shared" si="2"/>
        <v>30000</v>
      </c>
      <c r="G41" s="594"/>
      <c r="I41" s="96"/>
      <c r="K41" s="592"/>
    </row>
    <row r="42" spans="1:11" s="590" customFormat="1" ht="18.75" customHeight="1">
      <c r="A42" s="587"/>
      <c r="B42" s="595"/>
      <c r="C42" s="1512" t="s">
        <v>687</v>
      </c>
      <c r="D42" s="1502">
        <v>21000</v>
      </c>
      <c r="E42" s="596"/>
      <c r="F42" s="593">
        <f t="shared" si="2"/>
        <v>21000</v>
      </c>
      <c r="G42" s="594"/>
      <c r="I42" s="96"/>
      <c r="K42" s="592"/>
    </row>
    <row r="43" spans="1:11" s="590" customFormat="1" ht="18.75" customHeight="1">
      <c r="A43" s="587"/>
      <c r="B43" s="595"/>
      <c r="C43" s="1512" t="s">
        <v>688</v>
      </c>
      <c r="D43" s="1502">
        <v>40000</v>
      </c>
      <c r="E43" s="596"/>
      <c r="F43" s="593">
        <f t="shared" si="2"/>
        <v>40000</v>
      </c>
      <c r="G43" s="594"/>
      <c r="I43" s="96"/>
      <c r="K43" s="592"/>
    </row>
    <row r="44" spans="1:11" s="590" customFormat="1" ht="18.75" customHeight="1">
      <c r="A44" s="587"/>
      <c r="B44" s="595"/>
      <c r="C44" s="1512" t="s">
        <v>866</v>
      </c>
      <c r="D44" s="1502"/>
      <c r="E44" s="596">
        <v>16200</v>
      </c>
      <c r="F44" s="593">
        <f t="shared" si="2"/>
        <v>16200</v>
      </c>
      <c r="G44" s="594"/>
      <c r="I44" s="96"/>
      <c r="K44" s="592"/>
    </row>
    <row r="45" spans="1:11" s="590" customFormat="1" ht="18.75" customHeight="1">
      <c r="A45" s="587"/>
      <c r="B45" s="595"/>
      <c r="C45" s="1512" t="s">
        <v>809</v>
      </c>
      <c r="D45" s="1502"/>
      <c r="E45" s="596">
        <v>31000</v>
      </c>
      <c r="F45" s="593">
        <f t="shared" si="2"/>
        <v>31000</v>
      </c>
      <c r="G45" s="594"/>
      <c r="I45" s="96"/>
      <c r="K45" s="592"/>
    </row>
    <row r="46" spans="1:11" s="590" customFormat="1" ht="18.75" customHeight="1">
      <c r="A46" s="587"/>
      <c r="B46" s="595"/>
      <c r="C46" s="1512" t="s">
        <v>810</v>
      </c>
      <c r="D46" s="1502"/>
      <c r="E46" s="596">
        <v>5000</v>
      </c>
      <c r="F46" s="593">
        <f t="shared" si="2"/>
        <v>5000</v>
      </c>
      <c r="G46" s="594"/>
      <c r="I46" s="96"/>
      <c r="K46" s="592"/>
    </row>
    <row r="47" spans="1:11" s="590" customFormat="1" ht="18.75" customHeight="1">
      <c r="A47" s="587"/>
      <c r="B47" s="595"/>
      <c r="C47" s="1512" t="s">
        <v>865</v>
      </c>
      <c r="D47" s="1502"/>
      <c r="E47" s="596">
        <v>150000</v>
      </c>
      <c r="F47" s="593">
        <f t="shared" si="2"/>
        <v>150000</v>
      </c>
      <c r="G47" s="594"/>
      <c r="I47" s="96"/>
      <c r="K47" s="592"/>
    </row>
    <row r="48" spans="1:11" s="590" customFormat="1" ht="18.75" customHeight="1">
      <c r="A48" s="587"/>
      <c r="B48" s="595"/>
      <c r="C48" s="1511" t="s">
        <v>682</v>
      </c>
      <c r="D48" s="1502">
        <v>300000</v>
      </c>
      <c r="E48" s="596"/>
      <c r="F48" s="593">
        <f t="shared" si="2"/>
        <v>300000</v>
      </c>
      <c r="G48" s="594"/>
      <c r="I48" s="96"/>
      <c r="K48" s="592"/>
    </row>
    <row r="49" spans="1:11" s="590" customFormat="1" ht="18.75" customHeight="1">
      <c r="A49" s="587"/>
      <c r="B49" s="595"/>
      <c r="C49" s="1512" t="s">
        <v>689</v>
      </c>
      <c r="D49" s="1502">
        <v>133000</v>
      </c>
      <c r="E49" s="596">
        <v>-1132</v>
      </c>
      <c r="F49" s="593">
        <f t="shared" si="2"/>
        <v>131868</v>
      </c>
      <c r="G49" s="594"/>
      <c r="I49" s="96"/>
      <c r="K49" s="592"/>
    </row>
    <row r="50" spans="1:11" s="590" customFormat="1" ht="18.75" customHeight="1">
      <c r="A50" s="587"/>
      <c r="B50" s="595"/>
      <c r="C50" s="1512" t="s">
        <v>797</v>
      </c>
      <c r="D50" s="1502">
        <v>48160</v>
      </c>
      <c r="E50" s="596"/>
      <c r="F50" s="593">
        <f t="shared" si="2"/>
        <v>48160</v>
      </c>
      <c r="G50" s="594"/>
      <c r="I50" s="96"/>
      <c r="K50" s="592"/>
    </row>
    <row r="51" spans="1:11" s="590" customFormat="1" ht="18.75" customHeight="1" thickBot="1">
      <c r="A51" s="587"/>
      <c r="B51" s="595"/>
      <c r="C51" s="1513" t="s">
        <v>690</v>
      </c>
      <c r="D51" s="1499">
        <v>122109</v>
      </c>
      <c r="E51" s="1500">
        <f>76840</f>
        <v>76840</v>
      </c>
      <c r="F51" s="1501">
        <f t="shared" si="2"/>
        <v>198949</v>
      </c>
      <c r="G51" s="594"/>
      <c r="I51" s="96"/>
      <c r="K51" s="592"/>
    </row>
    <row r="52" spans="1:7" s="590" customFormat="1" ht="18.75" customHeight="1" thickBot="1">
      <c r="A52" s="613" t="s">
        <v>58</v>
      </c>
      <c r="B52" s="1901" t="s">
        <v>349</v>
      </c>
      <c r="C52" s="1902"/>
      <c r="D52" s="1306">
        <f>SUM(D29:D51)</f>
        <v>1897171</v>
      </c>
      <c r="E52" s="1281">
        <f>SUM(E29:E51)</f>
        <v>78688</v>
      </c>
      <c r="F52" s="614">
        <f>SUM(F29:F51)</f>
        <v>1975859</v>
      </c>
      <c r="G52" s="615">
        <f>SUM(D52:E52)</f>
        <v>1975859</v>
      </c>
    </row>
    <row r="53" spans="1:11" s="96" customFormat="1" ht="24.75" customHeight="1" thickBot="1" thickTop="1">
      <c r="A53" s="598" t="s">
        <v>112</v>
      </c>
      <c r="B53" s="1903" t="s">
        <v>197</v>
      </c>
      <c r="C53" s="1904"/>
      <c r="D53" s="1280">
        <f>D28+D52</f>
        <v>3680639</v>
      </c>
      <c r="E53" s="1000">
        <f>E28+E52</f>
        <v>-8843</v>
      </c>
      <c r="F53" s="999">
        <f>F28+F52</f>
        <v>3671796</v>
      </c>
      <c r="G53" s="112">
        <f>SUM(D53:E53)</f>
        <v>3671796</v>
      </c>
      <c r="I53" s="590"/>
      <c r="J53" s="590"/>
      <c r="K53" s="590"/>
    </row>
    <row r="54" spans="1:157" s="96" customFormat="1" ht="23.25" customHeight="1" thickBot="1" thickTop="1">
      <c r="A54" s="599" t="s">
        <v>198</v>
      </c>
      <c r="B54" s="600"/>
      <c r="C54" s="600"/>
      <c r="D54" s="601">
        <f>SUM(D9+D53)</f>
        <v>3830639</v>
      </c>
      <c r="E54" s="602">
        <f>SUM(E9,E53)</f>
        <v>-1037</v>
      </c>
      <c r="F54" s="603">
        <f>SUM(F9,F53)</f>
        <v>3829602</v>
      </c>
      <c r="G54" s="268"/>
      <c r="H54" s="268"/>
      <c r="I54" s="590"/>
      <c r="J54" s="590"/>
      <c r="K54" s="590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68"/>
      <c r="DD54" s="268"/>
      <c r="DE54" s="268"/>
      <c r="DF54" s="268"/>
      <c r="DG54" s="268"/>
      <c r="DH54" s="268"/>
      <c r="DI54" s="268"/>
      <c r="DJ54" s="268"/>
      <c r="DK54" s="268"/>
      <c r="DL54" s="268"/>
      <c r="DM54" s="268"/>
      <c r="DN54" s="268"/>
      <c r="DO54" s="268"/>
      <c r="DP54" s="268"/>
      <c r="DQ54" s="268"/>
      <c r="DR54" s="268"/>
      <c r="DS54" s="268"/>
      <c r="DT54" s="268"/>
      <c r="DU54" s="268"/>
      <c r="DV54" s="268"/>
      <c r="DW54" s="268"/>
      <c r="DX54" s="268"/>
      <c r="DY54" s="268"/>
      <c r="DZ54" s="268"/>
      <c r="EA54" s="268"/>
      <c r="EB54" s="268"/>
      <c r="EC54" s="268"/>
      <c r="ED54" s="268"/>
      <c r="EE54" s="268"/>
      <c r="EF54" s="268"/>
      <c r="EG54" s="268"/>
      <c r="EH54" s="268"/>
      <c r="EI54" s="268"/>
      <c r="EJ54" s="268"/>
      <c r="EK54" s="268"/>
      <c r="EL54" s="268"/>
      <c r="EM54" s="268"/>
      <c r="EN54" s="268"/>
      <c r="EO54" s="268"/>
      <c r="EP54" s="268"/>
      <c r="EQ54" s="268"/>
      <c r="ER54" s="268"/>
      <c r="ES54" s="268"/>
      <c r="ET54" s="268"/>
      <c r="EU54" s="268"/>
      <c r="EV54" s="268"/>
      <c r="EW54" s="268"/>
      <c r="EX54" s="268"/>
      <c r="EY54" s="268"/>
      <c r="EZ54" s="268"/>
      <c r="FA54" s="268"/>
    </row>
    <row r="55" spans="9:11" ht="15">
      <c r="I55" s="72"/>
      <c r="J55" s="72"/>
      <c r="K55" s="72"/>
    </row>
    <row r="56" spans="9:11" ht="15">
      <c r="I56" s="72"/>
      <c r="J56" s="72"/>
      <c r="K56" s="72"/>
    </row>
    <row r="57" spans="6:11" ht="15">
      <c r="F57" s="18"/>
      <c r="I57" s="119"/>
      <c r="J57" s="72"/>
      <c r="K57" s="72"/>
    </row>
    <row r="58" spans="9:11" ht="12.75">
      <c r="I58" s="18"/>
      <c r="K58" s="18"/>
    </row>
    <row r="59" spans="9:11" ht="12.75">
      <c r="I59" s="32"/>
      <c r="J59" s="32"/>
      <c r="K59" s="32"/>
    </row>
  </sheetData>
  <sheetProtection/>
  <mergeCells count="4">
    <mergeCell ref="B9:C9"/>
    <mergeCell ref="B28:C28"/>
    <mergeCell ref="B52:C52"/>
    <mergeCell ref="B53:C53"/>
  </mergeCells>
  <printOptions horizontalCentered="1" verticalCentered="1"/>
  <pageMargins left="0.15748031496062992" right="0.2362204724409449" top="0.5905511811023623" bottom="0.9055118110236221" header="0.5118110236220472" footer="0.5118110236220472"/>
  <pageSetup horizontalDpi="600" verticalDpi="600" orientation="portrait" paperSize="9" scale="60" r:id="rId1"/>
  <headerFooter alignWithMargins="0">
    <oddFooter>&amp;L&amp;F&amp;C&amp;D,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2"/>
  <sheetViews>
    <sheetView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" sqref="L1"/>
    </sheetView>
  </sheetViews>
  <sheetFormatPr defaultColWidth="10.625" defaultRowHeight="12.75"/>
  <cols>
    <col min="1" max="1" width="6.50390625" style="196" customWidth="1"/>
    <col min="2" max="2" width="41.375" style="209" customWidth="1"/>
    <col min="3" max="3" width="37.625" style="197" customWidth="1"/>
    <col min="4" max="5" width="14.125" style="197" customWidth="1"/>
    <col min="6" max="6" width="12.625" style="197" customWidth="1"/>
    <col min="7" max="7" width="15.00390625" style="196" customWidth="1"/>
    <col min="8" max="8" width="12.875" style="196" customWidth="1"/>
    <col min="9" max="9" width="13.875" style="196" customWidth="1"/>
    <col min="10" max="10" width="12.875" style="196" customWidth="1"/>
    <col min="11" max="11" width="12.00390625" style="196" customWidth="1"/>
    <col min="12" max="12" width="13.00390625" style="196" customWidth="1"/>
    <col min="13" max="16384" width="10.625" style="196" customWidth="1"/>
  </cols>
  <sheetData>
    <row r="1" spans="2:12" s="148" customFormat="1" ht="15.75">
      <c r="B1" s="198"/>
      <c r="C1" s="199"/>
      <c r="D1" s="200"/>
      <c r="E1" s="201"/>
      <c r="F1" s="202"/>
      <c r="H1" s="202"/>
      <c r="I1" s="203"/>
      <c r="K1" s="202"/>
      <c r="L1" s="203" t="s">
        <v>875</v>
      </c>
    </row>
    <row r="2" spans="2:12" s="148" customFormat="1" ht="12.75">
      <c r="B2" s="198"/>
      <c r="C2" s="199"/>
      <c r="D2" s="200"/>
      <c r="E2" s="201"/>
      <c r="F2" s="211"/>
      <c r="G2" s="211"/>
      <c r="H2" s="211"/>
      <c r="I2" s="211"/>
      <c r="K2" s="211"/>
      <c r="L2" s="211" t="s">
        <v>102</v>
      </c>
    </row>
    <row r="3" spans="2:7" s="148" customFormat="1" ht="12.75">
      <c r="B3" s="198"/>
      <c r="C3" s="204"/>
      <c r="D3" s="205"/>
      <c r="E3" s="206"/>
      <c r="F3" s="207"/>
      <c r="G3" s="149"/>
    </row>
    <row r="4" spans="1:12" s="148" customFormat="1" ht="20.25">
      <c r="A4" s="1911" t="s">
        <v>103</v>
      </c>
      <c r="B4" s="1911"/>
      <c r="C4" s="1911"/>
      <c r="D4" s="1911"/>
      <c r="E4" s="1911"/>
      <c r="F4" s="1911"/>
      <c r="G4" s="1911"/>
      <c r="H4" s="1911"/>
      <c r="I4" s="1911"/>
      <c r="J4" s="1911"/>
      <c r="K4" s="1911"/>
      <c r="L4" s="1911"/>
    </row>
    <row r="5" spans="1:12" s="151" customFormat="1" ht="23.25" customHeight="1">
      <c r="A5" s="1912" t="s">
        <v>578</v>
      </c>
      <c r="B5" s="1912"/>
      <c r="C5" s="1912"/>
      <c r="D5" s="1912"/>
      <c r="E5" s="1912"/>
      <c r="F5" s="1912"/>
      <c r="G5" s="1912"/>
      <c r="H5" s="1912"/>
      <c r="I5" s="1912"/>
      <c r="J5" s="1912"/>
      <c r="K5" s="1912"/>
      <c r="L5" s="1912"/>
    </row>
    <row r="6" spans="2:12" s="151" customFormat="1" ht="25.5" customHeight="1" thickBot="1">
      <c r="B6" s="208"/>
      <c r="C6" s="1382"/>
      <c r="D6" s="1382"/>
      <c r="E6" s="1382"/>
      <c r="F6" s="1382"/>
      <c r="G6" s="150"/>
      <c r="L6" s="134" t="s">
        <v>145</v>
      </c>
    </row>
    <row r="7" spans="1:12" s="222" customFormat="1" ht="26.25" thickBot="1">
      <c r="A7" s="1383" t="s">
        <v>193</v>
      </c>
      <c r="B7" s="1385" t="s">
        <v>363</v>
      </c>
      <c r="C7" s="1386" t="s">
        <v>364</v>
      </c>
      <c r="D7" s="1905" t="s">
        <v>476</v>
      </c>
      <c r="E7" s="1906"/>
      <c r="F7" s="1907"/>
      <c r="G7" s="1908" t="s">
        <v>566</v>
      </c>
      <c r="H7" s="1909"/>
      <c r="I7" s="1910"/>
      <c r="J7" s="1908" t="s">
        <v>613</v>
      </c>
      <c r="K7" s="1909"/>
      <c r="L7" s="1910"/>
    </row>
    <row r="8" spans="1:12" s="222" customFormat="1" ht="39" thickBot="1">
      <c r="A8" s="1384"/>
      <c r="B8" s="1118"/>
      <c r="C8" s="1387"/>
      <c r="D8" s="1115" t="s">
        <v>477</v>
      </c>
      <c r="E8" s="1116" t="s">
        <v>365</v>
      </c>
      <c r="F8" s="1117" t="s">
        <v>366</v>
      </c>
      <c r="G8" s="1118" t="s">
        <v>367</v>
      </c>
      <c r="H8" s="1117" t="s">
        <v>366</v>
      </c>
      <c r="I8" s="1119" t="s">
        <v>368</v>
      </c>
      <c r="J8" s="1118" t="s">
        <v>367</v>
      </c>
      <c r="K8" s="1117" t="s">
        <v>366</v>
      </c>
      <c r="L8" s="1119" t="s">
        <v>368</v>
      </c>
    </row>
    <row r="9" spans="1:12" s="223" customFormat="1" ht="13.5" thickBot="1">
      <c r="A9" s="1120" t="s">
        <v>122</v>
      </c>
      <c r="B9" s="1121" t="s">
        <v>124</v>
      </c>
      <c r="C9" s="1122" t="s">
        <v>125</v>
      </c>
      <c r="D9" s="1120" t="s">
        <v>127</v>
      </c>
      <c r="E9" s="1121" t="s">
        <v>53</v>
      </c>
      <c r="F9" s="1122" t="s">
        <v>54</v>
      </c>
      <c r="G9" s="1123" t="s">
        <v>128</v>
      </c>
      <c r="H9" s="1122" t="s">
        <v>129</v>
      </c>
      <c r="I9" s="1120" t="s">
        <v>56</v>
      </c>
      <c r="J9" s="1123" t="s">
        <v>478</v>
      </c>
      <c r="K9" s="1122" t="s">
        <v>479</v>
      </c>
      <c r="L9" s="1120" t="s">
        <v>480</v>
      </c>
    </row>
    <row r="10" spans="1:12" s="223" customFormat="1" ht="19.5" customHeight="1">
      <c r="A10" s="224">
        <v>1</v>
      </c>
      <c r="B10" s="338" t="s">
        <v>564</v>
      </c>
      <c r="C10" s="774" t="s">
        <v>565</v>
      </c>
      <c r="D10" s="225">
        <f>SUM(E10:F10)</f>
        <v>142981</v>
      </c>
      <c r="E10" s="339">
        <v>135038</v>
      </c>
      <c r="F10" s="778">
        <v>7943</v>
      </c>
      <c r="G10" s="775">
        <v>45900</v>
      </c>
      <c r="H10" s="779">
        <v>8100</v>
      </c>
      <c r="I10" s="225">
        <f>SUM(G10:H10)</f>
        <v>54000</v>
      </c>
      <c r="J10" s="775">
        <v>27200</v>
      </c>
      <c r="K10" s="779">
        <v>4800</v>
      </c>
      <c r="L10" s="225">
        <f>SUM(J10:K10)</f>
        <v>32000</v>
      </c>
    </row>
    <row r="11" spans="1:12" s="223" customFormat="1" ht="51.75" customHeight="1">
      <c r="A11" s="224">
        <f>A10+1</f>
        <v>2</v>
      </c>
      <c r="B11" s="1388" t="s">
        <v>614</v>
      </c>
      <c r="C11" s="1389" t="s">
        <v>615</v>
      </c>
      <c r="D11" s="225">
        <f>SUM(E11:F11)</f>
        <v>6202</v>
      </c>
      <c r="E11" s="339">
        <v>6202</v>
      </c>
      <c r="F11" s="341">
        <v>0</v>
      </c>
      <c r="G11" s="340">
        <v>6202</v>
      </c>
      <c r="H11" s="341">
        <v>0</v>
      </c>
      <c r="I11" s="225">
        <f>SUM(G11:H11)</f>
        <v>6202</v>
      </c>
      <c r="J11" s="340"/>
      <c r="K11" s="341"/>
      <c r="L11" s="225">
        <f>SUM(J11:K11)</f>
        <v>0</v>
      </c>
    </row>
    <row r="12" spans="1:12" s="223" customFormat="1" ht="51.75" customHeight="1" thickBot="1">
      <c r="A12" s="1708">
        <v>3</v>
      </c>
      <c r="B12" s="1406" t="s">
        <v>616</v>
      </c>
      <c r="C12" s="1407" t="s">
        <v>617</v>
      </c>
      <c r="D12" s="225">
        <f>SUM(E12:F12)</f>
        <v>172007</v>
      </c>
      <c r="E12" s="232">
        <v>108383</v>
      </c>
      <c r="F12" s="776">
        <v>63624</v>
      </c>
      <c r="G12" s="226">
        <v>108383</v>
      </c>
      <c r="H12" s="777">
        <v>63624</v>
      </c>
      <c r="I12" s="225">
        <f>SUM(G12:H12)</f>
        <v>172007</v>
      </c>
      <c r="J12" s="340"/>
      <c r="K12" s="1710"/>
      <c r="L12" s="1709"/>
    </row>
    <row r="13" spans="1:12" s="222" customFormat="1" ht="21" customHeight="1" thickBot="1">
      <c r="A13" s="227" t="s">
        <v>105</v>
      </c>
      <c r="B13" s="228" t="s">
        <v>369</v>
      </c>
      <c r="C13" s="228"/>
      <c r="D13" s="229">
        <f>SUM(D10:D12)</f>
        <v>321190</v>
      </c>
      <c r="E13" s="229">
        <f aca="true" t="shared" si="0" ref="E13:L13">SUM(E10:E12)</f>
        <v>249623</v>
      </c>
      <c r="F13" s="229">
        <f t="shared" si="0"/>
        <v>71567</v>
      </c>
      <c r="G13" s="229">
        <f t="shared" si="0"/>
        <v>160485</v>
      </c>
      <c r="H13" s="229">
        <f t="shared" si="0"/>
        <v>71724</v>
      </c>
      <c r="I13" s="229">
        <f t="shared" si="0"/>
        <v>232209</v>
      </c>
      <c r="J13" s="229">
        <f t="shared" si="0"/>
        <v>27200</v>
      </c>
      <c r="K13" s="229">
        <f t="shared" si="0"/>
        <v>4800</v>
      </c>
      <c r="L13" s="229">
        <f t="shared" si="0"/>
        <v>32000</v>
      </c>
    </row>
    <row r="14" spans="1:12" s="222" customFormat="1" ht="20.25" customHeight="1" thickBot="1">
      <c r="A14" s="227" t="s">
        <v>112</v>
      </c>
      <c r="B14" s="228" t="s">
        <v>370</v>
      </c>
      <c r="C14" s="228"/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</row>
    <row r="15" spans="1:12" s="222" customFormat="1" ht="38.25">
      <c r="A15" s="317">
        <v>1</v>
      </c>
      <c r="B15" s="1408" t="s">
        <v>618</v>
      </c>
      <c r="C15" s="1409" t="s">
        <v>619</v>
      </c>
      <c r="D15" s="225">
        <f aca="true" t="shared" si="1" ref="D15:D20">SUM(E15:F15)</f>
        <v>46099</v>
      </c>
      <c r="E15" s="232">
        <v>20000</v>
      </c>
      <c r="F15" s="776">
        <v>26099</v>
      </c>
      <c r="G15" s="226">
        <v>20000</v>
      </c>
      <c r="H15" s="777">
        <v>26009</v>
      </c>
      <c r="I15" s="225">
        <f aca="true" t="shared" si="2" ref="I15:I20">SUM(G15:H15)</f>
        <v>46009</v>
      </c>
      <c r="J15" s="226"/>
      <c r="K15" s="777"/>
      <c r="L15" s="225">
        <f aca="true" t="shared" si="3" ref="L15:L20">SUM(J15:K15)</f>
        <v>0</v>
      </c>
    </row>
    <row r="16" spans="1:12" s="222" customFormat="1" ht="51">
      <c r="A16" s="1689">
        <v>2</v>
      </c>
      <c r="B16" s="1406" t="s">
        <v>855</v>
      </c>
      <c r="C16" s="1690" t="s">
        <v>856</v>
      </c>
      <c r="D16" s="225">
        <f t="shared" si="1"/>
        <v>374988</v>
      </c>
      <c r="E16" s="1694">
        <v>200000</v>
      </c>
      <c r="F16" s="1695">
        <v>174988</v>
      </c>
      <c r="G16" s="1694">
        <v>200000</v>
      </c>
      <c r="H16" s="1695">
        <v>174988</v>
      </c>
      <c r="I16" s="225">
        <f t="shared" si="2"/>
        <v>374988</v>
      </c>
      <c r="J16" s="226"/>
      <c r="K16" s="777"/>
      <c r="L16" s="225">
        <f t="shared" si="3"/>
        <v>0</v>
      </c>
    </row>
    <row r="17" spans="1:12" s="222" customFormat="1" ht="38.25">
      <c r="A17" s="1689">
        <v>3</v>
      </c>
      <c r="B17" s="1406" t="s">
        <v>857</v>
      </c>
      <c r="C17" s="1690" t="s">
        <v>856</v>
      </c>
      <c r="D17" s="225">
        <f t="shared" si="1"/>
        <v>191127</v>
      </c>
      <c r="E17" s="1694">
        <v>60000</v>
      </c>
      <c r="F17" s="1695">
        <v>131127</v>
      </c>
      <c r="G17" s="1694">
        <v>60000</v>
      </c>
      <c r="H17" s="1695">
        <v>131127</v>
      </c>
      <c r="I17" s="225">
        <f t="shared" si="2"/>
        <v>191127</v>
      </c>
      <c r="J17" s="226"/>
      <c r="K17" s="777"/>
      <c r="L17" s="225">
        <f t="shared" si="3"/>
        <v>0</v>
      </c>
    </row>
    <row r="18" spans="1:12" s="222" customFormat="1" ht="25.5">
      <c r="A18" s="1689">
        <v>4</v>
      </c>
      <c r="B18" s="1691" t="s">
        <v>858</v>
      </c>
      <c r="C18" s="1692" t="s">
        <v>859</v>
      </c>
      <c r="D18" s="225">
        <f t="shared" si="1"/>
        <v>128000</v>
      </c>
      <c r="E18" s="232">
        <v>128000</v>
      </c>
      <c r="F18" s="1696">
        <v>0</v>
      </c>
      <c r="G18" s="232">
        <v>128000</v>
      </c>
      <c r="H18" s="1696">
        <v>0</v>
      </c>
      <c r="I18" s="225">
        <f t="shared" si="2"/>
        <v>128000</v>
      </c>
      <c r="J18" s="226"/>
      <c r="K18" s="777"/>
      <c r="L18" s="225">
        <f t="shared" si="3"/>
        <v>0</v>
      </c>
    </row>
    <row r="19" spans="1:12" s="222" customFormat="1" ht="54" customHeight="1">
      <c r="A19" s="1693">
        <v>5</v>
      </c>
      <c r="B19" s="1691" t="s">
        <v>863</v>
      </c>
      <c r="C19" s="1688" t="s">
        <v>860</v>
      </c>
      <c r="D19" s="225">
        <f t="shared" si="1"/>
        <v>3072</v>
      </c>
      <c r="E19" s="232">
        <v>1072</v>
      </c>
      <c r="F19" s="1696">
        <v>2000</v>
      </c>
      <c r="G19" s="232">
        <v>1072</v>
      </c>
      <c r="H19" s="1696">
        <v>2000</v>
      </c>
      <c r="I19" s="225">
        <f t="shared" si="2"/>
        <v>3072</v>
      </c>
      <c r="J19" s="226"/>
      <c r="K19" s="777"/>
      <c r="L19" s="225">
        <f t="shared" si="3"/>
        <v>0</v>
      </c>
    </row>
    <row r="20" spans="1:12" s="222" customFormat="1" ht="39" thickBot="1">
      <c r="A20" s="317">
        <v>6</v>
      </c>
      <c r="B20" s="1408" t="s">
        <v>861</v>
      </c>
      <c r="C20" s="1409" t="s">
        <v>862</v>
      </c>
      <c r="D20" s="225">
        <f t="shared" si="1"/>
        <v>1400</v>
      </c>
      <c r="E20" s="1697">
        <v>1400</v>
      </c>
      <c r="F20" s="776">
        <v>0</v>
      </c>
      <c r="G20" s="1698">
        <v>1400</v>
      </c>
      <c r="H20" s="777">
        <v>0</v>
      </c>
      <c r="I20" s="225">
        <f t="shared" si="2"/>
        <v>1400</v>
      </c>
      <c r="J20" s="226"/>
      <c r="K20" s="777"/>
      <c r="L20" s="225">
        <f t="shared" si="3"/>
        <v>0</v>
      </c>
    </row>
    <row r="21" spans="1:12" ht="20.25" customHeight="1" thickBot="1">
      <c r="A21" s="227" t="s">
        <v>115</v>
      </c>
      <c r="B21" s="228" t="s">
        <v>240</v>
      </c>
      <c r="C21" s="228"/>
      <c r="D21" s="229">
        <f aca="true" t="shared" si="4" ref="D21:L21">SUM(D15:D20)</f>
        <v>744686</v>
      </c>
      <c r="E21" s="320">
        <f t="shared" si="4"/>
        <v>410472</v>
      </c>
      <c r="F21" s="318">
        <f t="shared" si="4"/>
        <v>334214</v>
      </c>
      <c r="G21" s="1699">
        <f t="shared" si="4"/>
        <v>410472</v>
      </c>
      <c r="H21" s="1701">
        <f t="shared" si="4"/>
        <v>334124</v>
      </c>
      <c r="I21" s="229">
        <f t="shared" si="4"/>
        <v>744596</v>
      </c>
      <c r="J21" s="1699">
        <f t="shared" si="4"/>
        <v>0</v>
      </c>
      <c r="K21" s="1701">
        <f t="shared" si="4"/>
        <v>0</v>
      </c>
      <c r="L21" s="229">
        <f t="shared" si="4"/>
        <v>0</v>
      </c>
    </row>
    <row r="22" spans="1:12" ht="20.25" customHeight="1" thickBot="1">
      <c r="A22" s="1459" t="s">
        <v>371</v>
      </c>
      <c r="B22" s="1380"/>
      <c r="C22" s="1381"/>
      <c r="D22" s="230">
        <f aca="true" t="shared" si="5" ref="D22:L22">D21+D14+D13</f>
        <v>1065876</v>
      </c>
      <c r="E22" s="321">
        <f t="shared" si="5"/>
        <v>660095</v>
      </c>
      <c r="F22" s="319">
        <f t="shared" si="5"/>
        <v>405781</v>
      </c>
      <c r="G22" s="1700">
        <f t="shared" si="5"/>
        <v>570957</v>
      </c>
      <c r="H22" s="1702">
        <f t="shared" si="5"/>
        <v>405848</v>
      </c>
      <c r="I22" s="319">
        <f t="shared" si="5"/>
        <v>976805</v>
      </c>
      <c r="J22" s="1700">
        <f t="shared" si="5"/>
        <v>27200</v>
      </c>
      <c r="K22" s="1702">
        <f t="shared" si="5"/>
        <v>4800</v>
      </c>
      <c r="L22" s="319">
        <f t="shared" si="5"/>
        <v>32000</v>
      </c>
    </row>
  </sheetData>
  <sheetProtection/>
  <mergeCells count="5">
    <mergeCell ref="D7:F7"/>
    <mergeCell ref="G7:I7"/>
    <mergeCell ref="J7:L7"/>
    <mergeCell ref="A4:L4"/>
    <mergeCell ref="A5:L5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19"/>
  <sheetViews>
    <sheetView showGridLines="0" zoomScale="90" zoomScaleNormal="90" zoomScalePageLayoutView="0" workbookViewId="0" topLeftCell="A1">
      <pane xSplit="5" ySplit="8" topLeftCell="F6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00390625" defaultRowHeight="12.75"/>
  <cols>
    <col min="1" max="1" width="7.625" style="32" customWidth="1"/>
    <col min="2" max="2" width="7.875" style="32" customWidth="1"/>
    <col min="3" max="3" width="11.50390625" style="32" customWidth="1"/>
    <col min="4" max="4" width="86.875" style="0" customWidth="1"/>
    <col min="5" max="5" width="8.875" style="0" customWidth="1"/>
    <col min="6" max="6" width="16.375" style="767" customWidth="1"/>
    <col min="7" max="7" width="17.375" style="767" customWidth="1"/>
    <col min="8" max="8" width="16.125" style="767" customWidth="1"/>
    <col min="9" max="9" width="12.125" style="1514" customWidth="1"/>
    <col min="10" max="10" width="15.00390625" style="808" customWidth="1"/>
  </cols>
  <sheetData>
    <row r="1" spans="1:8" ht="15.75">
      <c r="A1" s="48"/>
      <c r="B1" s="48"/>
      <c r="H1" s="765" t="s">
        <v>868</v>
      </c>
    </row>
    <row r="2" spans="1:8" ht="15.75">
      <c r="A2" s="48"/>
      <c r="B2" s="48"/>
      <c r="H2" s="765" t="s">
        <v>102</v>
      </c>
    </row>
    <row r="3" spans="1:3" ht="21.75" customHeight="1">
      <c r="A3" s="48"/>
      <c r="B3" s="48"/>
      <c r="C3" s="49"/>
    </row>
    <row r="4" spans="1:9" ht="20.25">
      <c r="A4" s="1743" t="s">
        <v>334</v>
      </c>
      <c r="B4" s="1743"/>
      <c r="C4" s="1743"/>
      <c r="D4" s="1743"/>
      <c r="E4" s="1743"/>
      <c r="F4" s="1743"/>
      <c r="G4" s="1743"/>
      <c r="H4" s="1743"/>
      <c r="I4" s="1519"/>
    </row>
    <row r="5" spans="1:9" ht="18">
      <c r="A5" s="1766" t="s">
        <v>571</v>
      </c>
      <c r="B5" s="1766"/>
      <c r="C5" s="1766"/>
      <c r="D5" s="1766"/>
      <c r="E5" s="1766"/>
      <c r="F5" s="1766"/>
      <c r="G5" s="1766"/>
      <c r="H5" s="1766"/>
      <c r="I5" s="1520"/>
    </row>
    <row r="6" spans="1:8" ht="21" customHeight="1" thickBot="1">
      <c r="A6" s="50"/>
      <c r="B6" s="50"/>
      <c r="H6" s="766" t="s">
        <v>145</v>
      </c>
    </row>
    <row r="7" spans="1:8" ht="62.25" customHeight="1" thickBot="1">
      <c r="A7" s="637" t="s">
        <v>332</v>
      </c>
      <c r="B7" s="1823" t="s">
        <v>333</v>
      </c>
      <c r="C7" s="1824"/>
      <c r="D7" s="1825"/>
      <c r="E7" s="665" t="s">
        <v>245</v>
      </c>
      <c r="F7" s="1100" t="s">
        <v>802</v>
      </c>
      <c r="G7" s="1101" t="s">
        <v>467</v>
      </c>
      <c r="H7" s="660" t="s">
        <v>665</v>
      </c>
    </row>
    <row r="8" spans="1:10" s="1093" customFormat="1" ht="12" customHeight="1" thickBot="1">
      <c r="A8" s="1087">
        <v>1</v>
      </c>
      <c r="B8" s="1826">
        <v>2</v>
      </c>
      <c r="C8" s="1827"/>
      <c r="D8" s="1828"/>
      <c r="E8" s="1088">
        <v>3</v>
      </c>
      <c r="F8" s="1092">
        <v>4</v>
      </c>
      <c r="G8" s="1090">
        <v>5</v>
      </c>
      <c r="H8" s="1091">
        <v>6</v>
      </c>
      <c r="I8" s="1514"/>
      <c r="J8" s="808"/>
    </row>
    <row r="9" spans="1:10" s="220" customFormat="1" ht="16.5" customHeight="1" thickBot="1">
      <c r="A9" s="790" t="s">
        <v>105</v>
      </c>
      <c r="B9" s="1736" t="s">
        <v>123</v>
      </c>
      <c r="C9" s="1737"/>
      <c r="D9" s="1796"/>
      <c r="E9" s="791" t="s">
        <v>376</v>
      </c>
      <c r="F9" s="907">
        <f>hivatal9!I11</f>
        <v>3133116</v>
      </c>
      <c r="G9" s="928">
        <f>hivatal9!J11</f>
        <v>93526</v>
      </c>
      <c r="H9" s="928">
        <f>SUM(F9:G9)</f>
        <v>3226642</v>
      </c>
      <c r="I9" s="810"/>
      <c r="J9" s="1515">
        <f>hivatal9!K11</f>
        <v>3226642</v>
      </c>
    </row>
    <row r="10" spans="1:10" s="220" customFormat="1" ht="16.5" customHeight="1" thickBot="1">
      <c r="A10" s="792" t="s">
        <v>112</v>
      </c>
      <c r="B10" s="1736" t="s">
        <v>377</v>
      </c>
      <c r="C10" s="1737"/>
      <c r="D10" s="1796"/>
      <c r="E10" s="793" t="s">
        <v>378</v>
      </c>
      <c r="F10" s="907">
        <f>hivatal9!I12</f>
        <v>713912</v>
      </c>
      <c r="G10" s="928">
        <f>hivatal9!J12</f>
        <v>27896</v>
      </c>
      <c r="H10" s="928">
        <f aca="true" t="shared" si="0" ref="H10:H15">SUM(F10:G10)</f>
        <v>741808</v>
      </c>
      <c r="I10" s="810"/>
      <c r="J10" s="1515">
        <f>hivatal9!K12</f>
        <v>741808</v>
      </c>
    </row>
    <row r="11" spans="1:10" s="220" customFormat="1" ht="16.5" customHeight="1" thickBot="1">
      <c r="A11" s="790" t="s">
        <v>115</v>
      </c>
      <c r="B11" s="1736" t="s">
        <v>126</v>
      </c>
      <c r="C11" s="1737"/>
      <c r="D11" s="1796"/>
      <c r="E11" s="791" t="s">
        <v>379</v>
      </c>
      <c r="F11" s="907">
        <f>hivatal9!I13</f>
        <v>3848842</v>
      </c>
      <c r="G11" s="928">
        <f>hivatal9!J13</f>
        <v>302407</v>
      </c>
      <c r="H11" s="928">
        <f t="shared" si="0"/>
        <v>4151249</v>
      </c>
      <c r="I11" s="810"/>
      <c r="J11" s="1515">
        <f>hivatal9!K13</f>
        <v>4151249</v>
      </c>
    </row>
    <row r="12" spans="1:10" s="322" customFormat="1" ht="16.5" customHeight="1" thickBot="1">
      <c r="A12" s="790" t="s">
        <v>116</v>
      </c>
      <c r="B12" s="1736" t="s">
        <v>180</v>
      </c>
      <c r="C12" s="1737"/>
      <c r="D12" s="1796"/>
      <c r="E12" s="791" t="s">
        <v>380</v>
      </c>
      <c r="F12" s="907">
        <f>hivatal9!I14</f>
        <v>113503</v>
      </c>
      <c r="G12" s="928">
        <f>hivatal9!J14</f>
        <v>107</v>
      </c>
      <c r="H12" s="928">
        <f t="shared" si="0"/>
        <v>113610</v>
      </c>
      <c r="I12" s="810"/>
      <c r="J12" s="1515">
        <f>hivatal9!K14</f>
        <v>113610</v>
      </c>
    </row>
    <row r="13" spans="1:10" s="220" customFormat="1" ht="16.5" customHeight="1">
      <c r="A13" s="1782"/>
      <c r="B13" s="716">
        <v>1</v>
      </c>
      <c r="C13" s="1763" t="s">
        <v>382</v>
      </c>
      <c r="D13" s="1814"/>
      <c r="E13" s="840" t="s">
        <v>383</v>
      </c>
      <c r="F13" s="908">
        <f>hivatal9!I15</f>
        <v>129520</v>
      </c>
      <c r="G13" s="1019">
        <f>hivatal9!J15</f>
        <v>2290</v>
      </c>
      <c r="H13" s="1109">
        <f t="shared" si="0"/>
        <v>131810</v>
      </c>
      <c r="I13" s="810"/>
      <c r="J13" s="1515">
        <f>hivatal9!K15</f>
        <v>131810</v>
      </c>
    </row>
    <row r="14" spans="1:10" s="220" customFormat="1" ht="16.5" customHeight="1">
      <c r="A14" s="1783"/>
      <c r="B14" s="720">
        <v>2</v>
      </c>
      <c r="C14" s="1732" t="s">
        <v>0</v>
      </c>
      <c r="D14" s="1815"/>
      <c r="E14" s="836" t="s">
        <v>1</v>
      </c>
      <c r="F14" s="908">
        <f>hivatal9!K16</f>
        <v>0</v>
      </c>
      <c r="G14" s="718"/>
      <c r="H14" s="1110">
        <f t="shared" si="0"/>
        <v>0</v>
      </c>
      <c r="I14" s="810"/>
      <c r="J14" s="806"/>
    </row>
    <row r="15" spans="1:10" s="220" customFormat="1" ht="16.5" customHeight="1">
      <c r="A15" s="1783"/>
      <c r="B15" s="720">
        <v>3</v>
      </c>
      <c r="C15" s="1732" t="s">
        <v>2</v>
      </c>
      <c r="D15" s="1815"/>
      <c r="E15" s="836" t="s">
        <v>3</v>
      </c>
      <c r="F15" s="908">
        <f>hivatal9!K17</f>
        <v>0</v>
      </c>
      <c r="G15" s="718"/>
      <c r="H15" s="1110">
        <f t="shared" si="0"/>
        <v>0</v>
      </c>
      <c r="I15" s="810"/>
      <c r="J15" s="806"/>
    </row>
    <row r="16" spans="1:10" s="220" customFormat="1" ht="16.5" customHeight="1">
      <c r="A16" s="1783"/>
      <c r="B16" s="1789">
        <v>4</v>
      </c>
      <c r="C16" s="1732" t="s">
        <v>4</v>
      </c>
      <c r="D16" s="1815"/>
      <c r="E16" s="836" t="s">
        <v>5</v>
      </c>
      <c r="F16" s="837">
        <f>SUM(F17:F20)</f>
        <v>30399</v>
      </c>
      <c r="G16" s="838">
        <f>SUM(G17:G20)</f>
        <v>7891</v>
      </c>
      <c r="H16" s="921">
        <f>SUM(H17:H20)</f>
        <v>38290</v>
      </c>
      <c r="I16" s="1516">
        <f>SUM(F16:G16)</f>
        <v>38290</v>
      </c>
      <c r="J16" s="1515">
        <f>hivatal9!K18</f>
        <v>38290</v>
      </c>
    </row>
    <row r="17" spans="1:10" s="220" customFormat="1" ht="16.5" customHeight="1">
      <c r="A17" s="1783"/>
      <c r="B17" s="1790"/>
      <c r="C17" s="782" t="s">
        <v>267</v>
      </c>
      <c r="D17" s="783" t="s">
        <v>431</v>
      </c>
      <c r="E17" s="784" t="str">
        <f>E16</f>
        <v>K506</v>
      </c>
      <c r="F17" s="909">
        <v>27827</v>
      </c>
      <c r="G17" s="929">
        <v>81</v>
      </c>
      <c r="H17" s="1016">
        <f>SUM(F17:G17)</f>
        <v>27908</v>
      </c>
      <c r="I17" s="810"/>
      <c r="J17" s="806"/>
    </row>
    <row r="18" spans="1:9" s="785" customFormat="1" ht="16.5" customHeight="1">
      <c r="A18" s="1783"/>
      <c r="B18" s="1790"/>
      <c r="C18" s="782" t="s">
        <v>267</v>
      </c>
      <c r="D18" s="783" t="s">
        <v>472</v>
      </c>
      <c r="E18" s="784" t="str">
        <f>E16</f>
        <v>K506</v>
      </c>
      <c r="F18" s="909">
        <v>2572</v>
      </c>
      <c r="G18" s="929">
        <v>1345</v>
      </c>
      <c r="H18" s="1016">
        <f>SUM(F18:G18)</f>
        <v>3917</v>
      </c>
      <c r="I18" s="1102"/>
    </row>
    <row r="19" spans="1:9" s="785" customFormat="1" ht="16.5" customHeight="1">
      <c r="A19" s="1783"/>
      <c r="B19" s="1790"/>
      <c r="C19" s="782" t="s">
        <v>267</v>
      </c>
      <c r="D19" s="783" t="s">
        <v>466</v>
      </c>
      <c r="E19" s="784" t="str">
        <f>E16</f>
        <v>K506</v>
      </c>
      <c r="F19" s="909"/>
      <c r="G19" s="929">
        <v>315</v>
      </c>
      <c r="H19" s="1016">
        <f>SUM(F19:G19)</f>
        <v>315</v>
      </c>
      <c r="I19" s="1102"/>
    </row>
    <row r="20" spans="1:9" s="785" customFormat="1" ht="16.5" customHeight="1">
      <c r="A20" s="1783"/>
      <c r="B20" s="1791"/>
      <c r="C20" s="782" t="s">
        <v>267</v>
      </c>
      <c r="D20" s="783" t="s">
        <v>473</v>
      </c>
      <c r="E20" s="784" t="str">
        <f>E19</f>
        <v>K506</v>
      </c>
      <c r="F20" s="909"/>
      <c r="G20" s="929">
        <v>6150</v>
      </c>
      <c r="H20" s="1016">
        <f>SUM(F20:G20)</f>
        <v>6150</v>
      </c>
      <c r="I20" s="1102"/>
    </row>
    <row r="21" spans="1:10" s="220" customFormat="1" ht="16.5" customHeight="1">
      <c r="A21" s="1783"/>
      <c r="B21" s="1792">
        <v>5</v>
      </c>
      <c r="C21" s="1732" t="s">
        <v>6</v>
      </c>
      <c r="D21" s="1815"/>
      <c r="E21" s="836" t="s">
        <v>7</v>
      </c>
      <c r="F21" s="837">
        <f>SUM(F22:F26)</f>
        <v>0</v>
      </c>
      <c r="G21" s="838">
        <f>SUM(G22:G26)</f>
        <v>0</v>
      </c>
      <c r="H21" s="921">
        <f>SUM(H22:H26)</f>
        <v>0</v>
      </c>
      <c r="I21" s="1516">
        <f>hivatal9!K19</f>
        <v>0</v>
      </c>
      <c r="J21" s="806"/>
    </row>
    <row r="22" spans="1:9" s="785" customFormat="1" ht="16.5" customHeight="1">
      <c r="A22" s="1783"/>
      <c r="B22" s="1793"/>
      <c r="C22" s="782" t="s">
        <v>267</v>
      </c>
      <c r="D22" s="628" t="s">
        <v>389</v>
      </c>
      <c r="E22" s="630" t="str">
        <f>E21</f>
        <v>K508</v>
      </c>
      <c r="F22" s="910"/>
      <c r="G22" s="650"/>
      <c r="H22" s="1017">
        <f>SUM(F22:G22)</f>
        <v>0</v>
      </c>
      <c r="I22" s="1102"/>
    </row>
    <row r="23" spans="1:9" s="785" customFormat="1" ht="16.5" customHeight="1">
      <c r="A23" s="1783"/>
      <c r="B23" s="1793"/>
      <c r="C23" s="782" t="s">
        <v>267</v>
      </c>
      <c r="D23" s="628" t="s">
        <v>390</v>
      </c>
      <c r="E23" s="630" t="str">
        <f>E22</f>
        <v>K508</v>
      </c>
      <c r="F23" s="910"/>
      <c r="G23" s="650"/>
      <c r="H23" s="1017">
        <f>SUM(F23:G23)</f>
        <v>0</v>
      </c>
      <c r="I23" s="1102"/>
    </row>
    <row r="24" spans="1:9" s="785" customFormat="1" ht="16.5" customHeight="1">
      <c r="A24" s="1783"/>
      <c r="B24" s="1793"/>
      <c r="C24" s="782" t="s">
        <v>267</v>
      </c>
      <c r="D24" s="628" t="s">
        <v>391</v>
      </c>
      <c r="E24" s="630" t="str">
        <f>E23</f>
        <v>K508</v>
      </c>
      <c r="F24" s="910"/>
      <c r="G24" s="650"/>
      <c r="H24" s="1017">
        <f>SUM(F24:G24)</f>
        <v>0</v>
      </c>
      <c r="I24" s="1102"/>
    </row>
    <row r="25" spans="1:9" s="785" customFormat="1" ht="16.5" customHeight="1">
      <c r="A25" s="1783"/>
      <c r="B25" s="1793"/>
      <c r="C25" s="782" t="s">
        <v>267</v>
      </c>
      <c r="D25" s="628" t="s">
        <v>392</v>
      </c>
      <c r="E25" s="630" t="str">
        <f>E24</f>
        <v>K508</v>
      </c>
      <c r="F25" s="910"/>
      <c r="G25" s="650"/>
      <c r="H25" s="1017">
        <f>SUM(F25:G25)</f>
        <v>0</v>
      </c>
      <c r="I25" s="1102"/>
    </row>
    <row r="26" spans="1:9" s="785" customFormat="1" ht="16.5" customHeight="1">
      <c r="A26" s="1783"/>
      <c r="B26" s="1794"/>
      <c r="C26" s="782" t="s">
        <v>267</v>
      </c>
      <c r="D26" s="628" t="s">
        <v>399</v>
      </c>
      <c r="E26" s="630" t="str">
        <f>E24</f>
        <v>K508</v>
      </c>
      <c r="F26" s="910"/>
      <c r="G26" s="650"/>
      <c r="H26" s="1017">
        <f>SUM(F26:G26)</f>
        <v>0</v>
      </c>
      <c r="I26" s="1102"/>
    </row>
    <row r="27" spans="1:11" s="220" customFormat="1" ht="16.5" customHeight="1">
      <c r="A27" s="1783"/>
      <c r="B27" s="1789">
        <v>6</v>
      </c>
      <c r="C27" s="1732" t="s">
        <v>8</v>
      </c>
      <c r="D27" s="1815"/>
      <c r="E27" s="836" t="s">
        <v>9</v>
      </c>
      <c r="F27" s="837">
        <f>SUM(F28:F32)</f>
        <v>631764</v>
      </c>
      <c r="G27" s="838">
        <f>SUM(G28:G32)</f>
        <v>15679</v>
      </c>
      <c r="H27" s="921">
        <f>SUM(H28:H32)</f>
        <v>647443</v>
      </c>
      <c r="I27" s="1516">
        <f>SUM(F27:G27)</f>
        <v>647443</v>
      </c>
      <c r="J27" s="1515">
        <f>hivatal9!K21</f>
        <v>647443</v>
      </c>
      <c r="K27" s="355"/>
    </row>
    <row r="28" spans="1:9" s="785" customFormat="1" ht="16.5" customHeight="1">
      <c r="A28" s="1783"/>
      <c r="B28" s="1790"/>
      <c r="C28" s="782" t="s">
        <v>267</v>
      </c>
      <c r="D28" s="628" t="s">
        <v>389</v>
      </c>
      <c r="E28" s="784" t="str">
        <f>E27</f>
        <v>K512</v>
      </c>
      <c r="F28" s="910"/>
      <c r="G28" s="650">
        <v>6914</v>
      </c>
      <c r="H28" s="1017">
        <f>SUM(F28:G28)</f>
        <v>6914</v>
      </c>
      <c r="I28" s="1102"/>
    </row>
    <row r="29" spans="1:9" s="785" customFormat="1" ht="16.5" customHeight="1">
      <c r="A29" s="1783"/>
      <c r="B29" s="1790"/>
      <c r="C29" s="782" t="s">
        <v>267</v>
      </c>
      <c r="D29" s="628" t="s">
        <v>390</v>
      </c>
      <c r="E29" s="784" t="str">
        <f>E28</f>
        <v>K512</v>
      </c>
      <c r="F29" s="910">
        <v>128564</v>
      </c>
      <c r="G29" s="650">
        <v>-10840</v>
      </c>
      <c r="H29" s="1017">
        <f aca="true" t="shared" si="1" ref="H29:H35">SUM(F29:G29)</f>
        <v>117724</v>
      </c>
      <c r="I29" s="1102"/>
    </row>
    <row r="30" spans="1:9" s="785" customFormat="1" ht="16.5" customHeight="1">
      <c r="A30" s="1783"/>
      <c r="B30" s="1790"/>
      <c r="C30" s="782" t="s">
        <v>267</v>
      </c>
      <c r="D30" s="628" t="s">
        <v>391</v>
      </c>
      <c r="E30" s="784" t="str">
        <f>E29</f>
        <v>K512</v>
      </c>
      <c r="F30" s="910"/>
      <c r="G30" s="650">
        <v>90</v>
      </c>
      <c r="H30" s="1017">
        <f t="shared" si="1"/>
        <v>90</v>
      </c>
      <c r="I30" s="1102"/>
    </row>
    <row r="31" spans="1:9" s="785" customFormat="1" ht="16.5" customHeight="1">
      <c r="A31" s="1783"/>
      <c r="B31" s="1790"/>
      <c r="C31" s="782" t="s">
        <v>267</v>
      </c>
      <c r="D31" s="628" t="s">
        <v>392</v>
      </c>
      <c r="E31" s="784" t="str">
        <f>E29</f>
        <v>K512</v>
      </c>
      <c r="F31" s="910">
        <v>503200</v>
      </c>
      <c r="G31" s="650">
        <v>19000</v>
      </c>
      <c r="H31" s="1017">
        <f t="shared" si="1"/>
        <v>522200</v>
      </c>
      <c r="I31" s="1102"/>
    </row>
    <row r="32" spans="1:9" s="785" customFormat="1" ht="16.5" customHeight="1">
      <c r="A32" s="1783"/>
      <c r="B32" s="1791"/>
      <c r="C32" s="782" t="s">
        <v>267</v>
      </c>
      <c r="D32" s="628" t="s">
        <v>399</v>
      </c>
      <c r="E32" s="784" t="str">
        <f>E30</f>
        <v>K512</v>
      </c>
      <c r="F32" s="910"/>
      <c r="G32" s="650">
        <f>250+265</f>
        <v>515</v>
      </c>
      <c r="H32" s="1017">
        <f t="shared" si="1"/>
        <v>515</v>
      </c>
      <c r="I32" s="1102"/>
    </row>
    <row r="33" spans="1:10" s="220" customFormat="1" ht="16.5" customHeight="1">
      <c r="A33" s="1783"/>
      <c r="B33" s="1789">
        <v>7</v>
      </c>
      <c r="C33" s="1732" t="s">
        <v>55</v>
      </c>
      <c r="D33" s="1815"/>
      <c r="E33" s="836" t="s">
        <v>520</v>
      </c>
      <c r="F33" s="911">
        <f>SUM(F34:F35)</f>
        <v>3830639</v>
      </c>
      <c r="G33" s="835">
        <f>SUM(G34:G35)</f>
        <v>-1037</v>
      </c>
      <c r="H33" s="922">
        <f>SUM(H34:H35)</f>
        <v>3829602</v>
      </c>
      <c r="I33" s="1516">
        <f>SUM(F33:G33)</f>
        <v>3829602</v>
      </c>
      <c r="J33" s="1515">
        <f>hivatal9!K22</f>
        <v>3829602</v>
      </c>
    </row>
    <row r="34" spans="1:10" s="96" customFormat="1" ht="16.5" customHeight="1">
      <c r="A34" s="1783"/>
      <c r="B34" s="1790"/>
      <c r="C34" s="782" t="s">
        <v>267</v>
      </c>
      <c r="D34" s="626" t="s">
        <v>10</v>
      </c>
      <c r="E34" s="630" t="s">
        <v>520</v>
      </c>
      <c r="F34" s="910">
        <f>tartalék!D9</f>
        <v>150000</v>
      </c>
      <c r="G34" s="650">
        <f>tartalék!E9</f>
        <v>7806</v>
      </c>
      <c r="H34" s="1017">
        <f t="shared" si="1"/>
        <v>157806</v>
      </c>
      <c r="I34" s="810"/>
      <c r="J34" s="806"/>
    </row>
    <row r="35" spans="1:10" s="96" customFormat="1" ht="16.5" customHeight="1" thickBot="1">
      <c r="A35" s="1784"/>
      <c r="B35" s="1795"/>
      <c r="C35" s="782" t="s">
        <v>267</v>
      </c>
      <c r="D35" s="639" t="s">
        <v>384</v>
      </c>
      <c r="E35" s="671" t="s">
        <v>520</v>
      </c>
      <c r="F35" s="1018">
        <f>tartalék!D53</f>
        <v>3680639</v>
      </c>
      <c r="G35" s="1020">
        <f>tartalék!E53</f>
        <v>-8843</v>
      </c>
      <c r="H35" s="1017">
        <f t="shared" si="1"/>
        <v>3671796</v>
      </c>
      <c r="I35" s="810"/>
      <c r="J35" s="806"/>
    </row>
    <row r="36" spans="1:10" s="322" customFormat="1" ht="18.75" customHeight="1" thickBot="1">
      <c r="A36" s="790" t="s">
        <v>117</v>
      </c>
      <c r="B36" s="1736" t="s">
        <v>179</v>
      </c>
      <c r="C36" s="1737"/>
      <c r="D36" s="1796"/>
      <c r="E36" s="791" t="s">
        <v>381</v>
      </c>
      <c r="F36" s="794">
        <f>F13+F14+F15+F16+F21+F27+F33</f>
        <v>4622322</v>
      </c>
      <c r="G36" s="1111">
        <f>G13+G14+G15+G16+G21+G27+G33</f>
        <v>24823</v>
      </c>
      <c r="H36" s="794">
        <f>H13+H14+H15+H16+H21+H27+H33</f>
        <v>4647145</v>
      </c>
      <c r="I36" s="810"/>
      <c r="J36" s="806"/>
    </row>
    <row r="37" spans="1:10" s="322" customFormat="1" ht="21" customHeight="1" thickBot="1">
      <c r="A37" s="1151" t="s">
        <v>130</v>
      </c>
      <c r="B37" s="1797" t="s">
        <v>446</v>
      </c>
      <c r="C37" s="1798"/>
      <c r="D37" s="1798"/>
      <c r="E37" s="905"/>
      <c r="F37" s="913">
        <f>F9+F10+F11+F12+F36</f>
        <v>12431695</v>
      </c>
      <c r="G37" s="906">
        <f>G9+G10+G11+G12+G36</f>
        <v>448759</v>
      </c>
      <c r="H37" s="923">
        <f>H9+H10+H11+H12+H36</f>
        <v>12880454</v>
      </c>
      <c r="I37" s="810"/>
      <c r="J37" s="806"/>
    </row>
    <row r="38" spans="1:10" s="96" customFormat="1" ht="21" customHeight="1" thickBot="1">
      <c r="A38" s="1804" t="s">
        <v>393</v>
      </c>
      <c r="B38" s="1805"/>
      <c r="C38" s="1805"/>
      <c r="D38" s="1805"/>
      <c r="E38" s="1806"/>
      <c r="F38" s="786">
        <f>'bevétfő '!G61-'kiadfő '!F37</f>
        <v>-3710881</v>
      </c>
      <c r="G38" s="787">
        <f>'bevétfő '!H61-'kiadfő '!G37</f>
        <v>-276407</v>
      </c>
      <c r="H38" s="924">
        <f>'bevétfő '!I61-'kiadfő '!H37</f>
        <v>-3987288</v>
      </c>
      <c r="I38" s="810"/>
      <c r="J38" s="806"/>
    </row>
    <row r="39" spans="1:10" s="96" customFormat="1" ht="16.5" customHeight="1">
      <c r="A39" s="1780"/>
      <c r="B39" s="769" t="s">
        <v>57</v>
      </c>
      <c r="C39" s="1769" t="s">
        <v>395</v>
      </c>
      <c r="D39" s="1799"/>
      <c r="E39" s="784" t="s">
        <v>12</v>
      </c>
      <c r="F39" s="1021">
        <f>hivatal9!C24</f>
        <v>1881977</v>
      </c>
      <c r="G39" s="1021">
        <f>hivatal9!D24</f>
        <v>419272</v>
      </c>
      <c r="H39" s="1021">
        <f>SUM(F39:G39)</f>
        <v>2301249</v>
      </c>
      <c r="I39" s="810"/>
      <c r="J39" s="806"/>
    </row>
    <row r="40" spans="1:10" s="96" customFormat="1" ht="16.5" customHeight="1" thickBot="1">
      <c r="A40" s="1781"/>
      <c r="B40" s="788" t="s">
        <v>58</v>
      </c>
      <c r="C40" s="1740" t="s">
        <v>396</v>
      </c>
      <c r="D40" s="1800"/>
      <c r="E40" s="796" t="s">
        <v>12</v>
      </c>
      <c r="F40" s="1022">
        <f>hivatal9!F24</f>
        <v>116497</v>
      </c>
      <c r="G40" s="1022">
        <f>hivatal9!G24</f>
        <v>-10503</v>
      </c>
      <c r="H40" s="1022">
        <f>SUM(F40:G40)</f>
        <v>105994</v>
      </c>
      <c r="I40" s="810"/>
      <c r="J40" s="806"/>
    </row>
    <row r="41" spans="1:10" s="220" customFormat="1" ht="16.5" customHeight="1" thickBot="1">
      <c r="A41" s="790" t="s">
        <v>344</v>
      </c>
      <c r="B41" s="1736" t="s">
        <v>11</v>
      </c>
      <c r="C41" s="1737"/>
      <c r="D41" s="1796"/>
      <c r="E41" s="791" t="s">
        <v>12</v>
      </c>
      <c r="F41" s="907">
        <f>SUM(F39:F40)</f>
        <v>1998474</v>
      </c>
      <c r="G41" s="928">
        <f>SUM(G39:G40)</f>
        <v>408769</v>
      </c>
      <c r="H41" s="928">
        <f>SUM(H39:H40)</f>
        <v>2407243</v>
      </c>
      <c r="I41" s="1516">
        <f>SUM(F41:G41)</f>
        <v>2407243</v>
      </c>
      <c r="J41" s="1515">
        <f>hivatal9!K24</f>
        <v>2407243</v>
      </c>
    </row>
    <row r="42" spans="1:10" s="96" customFormat="1" ht="16.5" customHeight="1">
      <c r="A42" s="1780"/>
      <c r="B42" s="795" t="s">
        <v>57</v>
      </c>
      <c r="C42" s="1769" t="s">
        <v>397</v>
      </c>
      <c r="D42" s="1799"/>
      <c r="E42" s="797" t="s">
        <v>14</v>
      </c>
      <c r="F42" s="1021">
        <f>hivatal9!C25</f>
        <v>2261369</v>
      </c>
      <c r="G42" s="1021">
        <f>hivatal9!D25</f>
        <v>-30347</v>
      </c>
      <c r="H42" s="1021">
        <f>SUM(F42:G42)</f>
        <v>2231022</v>
      </c>
      <c r="I42" s="810"/>
      <c r="J42" s="806"/>
    </row>
    <row r="43" spans="1:10" s="96" customFormat="1" ht="16.5" customHeight="1" thickBot="1">
      <c r="A43" s="1781"/>
      <c r="B43" s="788" t="s">
        <v>58</v>
      </c>
      <c r="C43" s="1740" t="s">
        <v>398</v>
      </c>
      <c r="D43" s="1800"/>
      <c r="E43" s="796" t="s">
        <v>14</v>
      </c>
      <c r="F43" s="1022">
        <f>hivatal9!F25</f>
        <v>0</v>
      </c>
      <c r="G43" s="1022">
        <f>hivatal9!G25</f>
        <v>9900</v>
      </c>
      <c r="H43" s="1022">
        <f>SUM(F43:G43)</f>
        <v>9900</v>
      </c>
      <c r="I43" s="810"/>
      <c r="J43" s="806"/>
    </row>
    <row r="44" spans="1:10" s="220" customFormat="1" ht="16.5" customHeight="1" thickBot="1">
      <c r="A44" s="790" t="s">
        <v>345</v>
      </c>
      <c r="B44" s="1736" t="s">
        <v>13</v>
      </c>
      <c r="C44" s="1737"/>
      <c r="D44" s="1796"/>
      <c r="E44" s="791" t="s">
        <v>14</v>
      </c>
      <c r="F44" s="928">
        <f>SUM(F42:F43)</f>
        <v>2261369</v>
      </c>
      <c r="G44" s="907">
        <f>SUM(G42:G43)</f>
        <v>-20447</v>
      </c>
      <c r="H44" s="928">
        <f>SUM(H42:H43)</f>
        <v>2240922</v>
      </c>
      <c r="I44" s="1516">
        <f>SUM(F44:G44)</f>
        <v>2240922</v>
      </c>
      <c r="J44" s="1515">
        <f>hivatal9!K25</f>
        <v>2240922</v>
      </c>
    </row>
    <row r="45" spans="1:10" s="220" customFormat="1" ht="16.5" customHeight="1">
      <c r="A45" s="1807"/>
      <c r="B45" s="841">
        <v>1</v>
      </c>
      <c r="C45" s="1763" t="s">
        <v>16</v>
      </c>
      <c r="D45" s="1814"/>
      <c r="E45" s="836" t="s">
        <v>17</v>
      </c>
      <c r="F45" s="837"/>
      <c r="G45" s="838"/>
      <c r="H45" s="703">
        <f>SUM(F45:G45)</f>
        <v>0</v>
      </c>
      <c r="I45" s="810"/>
      <c r="J45" s="806"/>
    </row>
    <row r="46" spans="1:10" s="220" customFormat="1" ht="16.5" customHeight="1">
      <c r="A46" s="1808"/>
      <c r="B46" s="841">
        <v>2</v>
      </c>
      <c r="C46" s="1732" t="s">
        <v>18</v>
      </c>
      <c r="D46" s="1815"/>
      <c r="E46" s="836" t="s">
        <v>19</v>
      </c>
      <c r="F46" s="837"/>
      <c r="G46" s="838"/>
      <c r="H46" s="925">
        <f>SUM(F46:G46)</f>
        <v>0</v>
      </c>
      <c r="I46" s="810"/>
      <c r="J46" s="806"/>
    </row>
    <row r="47" spans="1:10" s="220" customFormat="1" ht="16.5" customHeight="1">
      <c r="A47" s="1808"/>
      <c r="B47" s="1785">
        <v>3</v>
      </c>
      <c r="C47" s="1732" t="s">
        <v>20</v>
      </c>
      <c r="D47" s="1815"/>
      <c r="E47" s="836" t="s">
        <v>21</v>
      </c>
      <c r="F47" s="837">
        <f>SUM(F48:F50)</f>
        <v>153125</v>
      </c>
      <c r="G47" s="838">
        <f>SUM(G48:G50)</f>
        <v>0</v>
      </c>
      <c r="H47" s="921">
        <f>SUM(H48:H50)</f>
        <v>153125</v>
      </c>
      <c r="I47" s="1516">
        <f>SUM(F47:G47)</f>
        <v>153125</v>
      </c>
      <c r="J47" s="1515">
        <f>hivatal9!K28</f>
        <v>153125</v>
      </c>
    </row>
    <row r="48" spans="1:9" s="785" customFormat="1" ht="16.5" customHeight="1">
      <c r="A48" s="1808"/>
      <c r="B48" s="1786"/>
      <c r="C48" s="782" t="s">
        <v>267</v>
      </c>
      <c r="D48" s="783" t="s">
        <v>431</v>
      </c>
      <c r="E48" s="784" t="str">
        <f>E47</f>
        <v>K84</v>
      </c>
      <c r="F48" s="909"/>
      <c r="G48" s="929"/>
      <c r="H48" s="1017">
        <f aca="true" t="shared" si="2" ref="H48:H62">SUM(F48:G48)</f>
        <v>0</v>
      </c>
      <c r="I48" s="1102"/>
    </row>
    <row r="49" spans="1:9" s="785" customFormat="1" ht="16.5" customHeight="1">
      <c r="A49" s="1808"/>
      <c r="B49" s="1786"/>
      <c r="C49" s="782" t="s">
        <v>267</v>
      </c>
      <c r="D49" s="783" t="s">
        <v>798</v>
      </c>
      <c r="E49" s="784" t="str">
        <f>E47</f>
        <v>K84</v>
      </c>
      <c r="F49" s="909">
        <v>153125</v>
      </c>
      <c r="G49" s="929"/>
      <c r="H49" s="1017">
        <f t="shared" si="2"/>
        <v>153125</v>
      </c>
      <c r="I49" s="1102"/>
    </row>
    <row r="50" spans="1:9" s="785" customFormat="1" ht="16.5" customHeight="1">
      <c r="A50" s="1808"/>
      <c r="B50" s="1788"/>
      <c r="C50" s="782" t="s">
        <v>267</v>
      </c>
      <c r="D50" s="783" t="s">
        <v>388</v>
      </c>
      <c r="E50" s="784" t="str">
        <f>E48</f>
        <v>K84</v>
      </c>
      <c r="F50" s="909"/>
      <c r="G50" s="929"/>
      <c r="H50" s="1017">
        <f t="shared" si="2"/>
        <v>0</v>
      </c>
      <c r="I50" s="1102"/>
    </row>
    <row r="51" spans="1:10" s="356" customFormat="1" ht="16.5" customHeight="1">
      <c r="A51" s="1808"/>
      <c r="B51" s="1785">
        <v>4</v>
      </c>
      <c r="C51" s="1732" t="s">
        <v>22</v>
      </c>
      <c r="D51" s="1815"/>
      <c r="E51" s="836" t="s">
        <v>23</v>
      </c>
      <c r="F51" s="837">
        <f>SUM(F53:F56)</f>
        <v>10000</v>
      </c>
      <c r="G51" s="838">
        <f>SUM(G53:G56)</f>
        <v>700</v>
      </c>
      <c r="H51" s="921">
        <f>SUM(H53:H56)</f>
        <v>10700</v>
      </c>
      <c r="I51" s="1516">
        <f>SUM(F51:G51)</f>
        <v>10700</v>
      </c>
      <c r="J51" s="1516">
        <f>hivatal9!K29</f>
        <v>10700</v>
      </c>
    </row>
    <row r="52" spans="1:9" s="785" customFormat="1" ht="16.5" customHeight="1">
      <c r="A52" s="1808"/>
      <c r="B52" s="1786"/>
      <c r="C52" s="782" t="s">
        <v>267</v>
      </c>
      <c r="D52" s="628" t="s">
        <v>389</v>
      </c>
      <c r="E52" s="630" t="str">
        <f>E51</f>
        <v>K86</v>
      </c>
      <c r="F52" s="910"/>
      <c r="G52" s="650"/>
      <c r="H52" s="1017">
        <f t="shared" si="2"/>
        <v>0</v>
      </c>
      <c r="I52" s="1102"/>
    </row>
    <row r="53" spans="1:9" s="785" customFormat="1" ht="16.5" customHeight="1">
      <c r="A53" s="1808"/>
      <c r="B53" s="1786"/>
      <c r="C53" s="782" t="s">
        <v>267</v>
      </c>
      <c r="D53" s="628" t="s">
        <v>390</v>
      </c>
      <c r="E53" s="630" t="str">
        <f>E52</f>
        <v>K86</v>
      </c>
      <c r="F53" s="910"/>
      <c r="G53" s="650"/>
      <c r="H53" s="1017">
        <f t="shared" si="2"/>
        <v>0</v>
      </c>
      <c r="I53" s="1102"/>
    </row>
    <row r="54" spans="1:9" s="785" customFormat="1" ht="16.5" customHeight="1">
      <c r="A54" s="1808"/>
      <c r="B54" s="1786"/>
      <c r="C54" s="782" t="s">
        <v>267</v>
      </c>
      <c r="D54" s="628" t="s">
        <v>391</v>
      </c>
      <c r="E54" s="630" t="str">
        <f>E53</f>
        <v>K86</v>
      </c>
      <c r="F54" s="910">
        <v>10000</v>
      </c>
      <c r="G54" s="650">
        <v>700</v>
      </c>
      <c r="H54" s="1017">
        <f t="shared" si="2"/>
        <v>10700</v>
      </c>
      <c r="I54" s="1102"/>
    </row>
    <row r="55" spans="1:9" s="785" customFormat="1" ht="16.5" customHeight="1">
      <c r="A55" s="1808"/>
      <c r="B55" s="1786"/>
      <c r="C55" s="782" t="s">
        <v>267</v>
      </c>
      <c r="D55" s="628" t="s">
        <v>392</v>
      </c>
      <c r="E55" s="630" t="str">
        <f>E54</f>
        <v>K86</v>
      </c>
      <c r="F55" s="910"/>
      <c r="G55" s="650"/>
      <c r="H55" s="1017">
        <f t="shared" si="2"/>
        <v>0</v>
      </c>
      <c r="I55" s="1102"/>
    </row>
    <row r="56" spans="1:9" s="785" customFormat="1" ht="16.5" customHeight="1">
      <c r="A56" s="1808"/>
      <c r="B56" s="1788"/>
      <c r="C56" s="782" t="s">
        <v>267</v>
      </c>
      <c r="D56" s="628" t="s">
        <v>399</v>
      </c>
      <c r="E56" s="630" t="str">
        <f>E54</f>
        <v>K86</v>
      </c>
      <c r="F56" s="910"/>
      <c r="G56" s="650"/>
      <c r="H56" s="1017">
        <f t="shared" si="2"/>
        <v>0</v>
      </c>
      <c r="I56" s="1102"/>
    </row>
    <row r="57" spans="1:10" s="220" customFormat="1" ht="16.5" customHeight="1">
      <c r="A57" s="1808"/>
      <c r="B57" s="1785">
        <v>5</v>
      </c>
      <c r="C57" s="1732" t="s">
        <v>24</v>
      </c>
      <c r="D57" s="1815"/>
      <c r="E57" s="1179" t="s">
        <v>521</v>
      </c>
      <c r="F57" s="842">
        <f>SUM(F58:F62)</f>
        <v>90614</v>
      </c>
      <c r="G57" s="843">
        <f>SUM(G58:G62)</f>
        <v>2742</v>
      </c>
      <c r="H57" s="838">
        <f>SUM(H58:H62)</f>
        <v>93356</v>
      </c>
      <c r="I57" s="1516">
        <f>SUM(F57:G57)</f>
        <v>93356</v>
      </c>
      <c r="J57" s="1515">
        <f>hivatal9!K30</f>
        <v>93356</v>
      </c>
    </row>
    <row r="58" spans="1:9" s="785" customFormat="1" ht="16.5" customHeight="1">
      <c r="A58" s="1808"/>
      <c r="B58" s="1786"/>
      <c r="C58" s="782" t="s">
        <v>267</v>
      </c>
      <c r="D58" s="628" t="s">
        <v>389</v>
      </c>
      <c r="E58" s="630" t="str">
        <f>E57</f>
        <v>K89</v>
      </c>
      <c r="F58" s="910">
        <v>14000</v>
      </c>
      <c r="G58" s="650">
        <v>3742</v>
      </c>
      <c r="H58" s="1017">
        <f t="shared" si="2"/>
        <v>17742</v>
      </c>
      <c r="I58" s="1102"/>
    </row>
    <row r="59" spans="1:9" s="785" customFormat="1" ht="16.5" customHeight="1">
      <c r="A59" s="1808"/>
      <c r="B59" s="1786"/>
      <c r="C59" s="782" t="s">
        <v>267</v>
      </c>
      <c r="D59" s="628" t="s">
        <v>390</v>
      </c>
      <c r="E59" s="630" t="str">
        <f>E58</f>
        <v>K89</v>
      </c>
      <c r="F59" s="910"/>
      <c r="G59" s="650"/>
      <c r="H59" s="1017">
        <f t="shared" si="2"/>
        <v>0</v>
      </c>
      <c r="I59" s="1102"/>
    </row>
    <row r="60" spans="1:9" s="785" customFormat="1" ht="16.5" customHeight="1">
      <c r="A60" s="1808"/>
      <c r="B60" s="1786"/>
      <c r="C60" s="782" t="s">
        <v>267</v>
      </c>
      <c r="D60" s="628" t="s">
        <v>391</v>
      </c>
      <c r="E60" s="630" t="str">
        <f>E59</f>
        <v>K89</v>
      </c>
      <c r="F60" s="910">
        <v>9514</v>
      </c>
      <c r="G60" s="650">
        <v>20000</v>
      </c>
      <c r="H60" s="1017">
        <f t="shared" si="2"/>
        <v>29514</v>
      </c>
      <c r="I60" s="1102"/>
    </row>
    <row r="61" spans="1:9" s="785" customFormat="1" ht="16.5" customHeight="1">
      <c r="A61" s="1808"/>
      <c r="B61" s="1786"/>
      <c r="C61" s="782" t="s">
        <v>267</v>
      </c>
      <c r="D61" s="628" t="s">
        <v>392</v>
      </c>
      <c r="E61" s="630" t="str">
        <f>E60</f>
        <v>K89</v>
      </c>
      <c r="F61" s="910">
        <v>33100</v>
      </c>
      <c r="G61" s="650">
        <v>-19000</v>
      </c>
      <c r="H61" s="1017">
        <f t="shared" si="2"/>
        <v>14100</v>
      </c>
      <c r="I61" s="1102"/>
    </row>
    <row r="62" spans="1:9" s="785" customFormat="1" ht="16.5" customHeight="1" thickBot="1">
      <c r="A62" s="1810"/>
      <c r="B62" s="1787"/>
      <c r="C62" s="782" t="s">
        <v>267</v>
      </c>
      <c r="D62" s="628" t="s">
        <v>399</v>
      </c>
      <c r="E62" s="630" t="str">
        <f>E60</f>
        <v>K89</v>
      </c>
      <c r="F62" s="914">
        <v>34000</v>
      </c>
      <c r="G62" s="930">
        <v>-2000</v>
      </c>
      <c r="H62" s="1017">
        <f t="shared" si="2"/>
        <v>32000</v>
      </c>
      <c r="I62" s="1102"/>
    </row>
    <row r="63" spans="1:10" s="322" customFormat="1" ht="16.5" customHeight="1" thickBot="1">
      <c r="A63" s="832" t="s">
        <v>120</v>
      </c>
      <c r="B63" s="1817" t="s">
        <v>181</v>
      </c>
      <c r="C63" s="1818"/>
      <c r="D63" s="1819"/>
      <c r="E63" s="833" t="s">
        <v>15</v>
      </c>
      <c r="F63" s="1023">
        <f>F45+F46+F47+F51+F57</f>
        <v>253739</v>
      </c>
      <c r="G63" s="834">
        <f>G45+G46+G47+G51+G57</f>
        <v>3442</v>
      </c>
      <c r="H63" s="1024">
        <f>H45+H46+H47+H51+H57</f>
        <v>257181</v>
      </c>
      <c r="I63" s="810"/>
      <c r="J63" s="806"/>
    </row>
    <row r="64" spans="1:10" s="585" customFormat="1" ht="21" customHeight="1" thickBot="1">
      <c r="A64" s="1152" t="s">
        <v>131</v>
      </c>
      <c r="B64" s="1820" t="s">
        <v>447</v>
      </c>
      <c r="C64" s="1821"/>
      <c r="D64" s="1821"/>
      <c r="E64" s="903"/>
      <c r="F64" s="915">
        <f>F41+F44+F63</f>
        <v>4513582</v>
      </c>
      <c r="G64" s="904">
        <f>G41+G44+G63</f>
        <v>391764</v>
      </c>
      <c r="H64" s="926">
        <f>H41+H44+H63</f>
        <v>4905346</v>
      </c>
      <c r="I64" s="810"/>
      <c r="J64" s="806"/>
    </row>
    <row r="65" spans="1:10" s="96" customFormat="1" ht="21.75" customHeight="1" thickBot="1">
      <c r="A65" s="1804" t="s">
        <v>394</v>
      </c>
      <c r="B65" s="1805"/>
      <c r="C65" s="1805"/>
      <c r="D65" s="1805"/>
      <c r="E65" s="1806"/>
      <c r="F65" s="786">
        <f>'bevétfő '!G80-'kiadfő '!F64</f>
        <v>-3933466</v>
      </c>
      <c r="G65" s="787">
        <f>'bevétfő '!H80-'kiadfő '!G64</f>
        <v>276407</v>
      </c>
      <c r="H65" s="924">
        <f>'bevétfő '!I80-'kiadfő '!H64</f>
        <v>-3657059</v>
      </c>
      <c r="I65" s="810"/>
      <c r="J65" s="806"/>
    </row>
    <row r="66" spans="1:10" s="322" customFormat="1" ht="21" customHeight="1" thickBot="1">
      <c r="A66" s="798" t="s">
        <v>121</v>
      </c>
      <c r="B66" s="1822" t="s">
        <v>400</v>
      </c>
      <c r="C66" s="1714"/>
      <c r="D66" s="1714"/>
      <c r="E66" s="1715"/>
      <c r="F66" s="799">
        <f>F37+F64</f>
        <v>16945277</v>
      </c>
      <c r="G66" s="789">
        <f>G37+G64</f>
        <v>840523</v>
      </c>
      <c r="H66" s="927">
        <f>H37+H64</f>
        <v>17785800</v>
      </c>
      <c r="I66" s="810"/>
      <c r="J66" s="806"/>
    </row>
    <row r="67" spans="1:10" s="96" customFormat="1" ht="21.75" customHeight="1" thickBot="1">
      <c r="A67" s="1811" t="s">
        <v>468</v>
      </c>
      <c r="B67" s="1812"/>
      <c r="C67" s="1812"/>
      <c r="D67" s="1812"/>
      <c r="E67" s="1813"/>
      <c r="F67" s="787">
        <f>'bevétfő '!G81-'kiadfő '!F66</f>
        <v>-7644347</v>
      </c>
      <c r="G67" s="786">
        <f>'bevétfő '!H81-'kiadfő '!G66</f>
        <v>0</v>
      </c>
      <c r="H67" s="787">
        <f>'bevétfő '!I81-'kiadfő '!H66</f>
        <v>-7644347</v>
      </c>
      <c r="I67" s="810"/>
      <c r="J67" s="806"/>
    </row>
    <row r="68" spans="1:10" s="220" customFormat="1" ht="16.5" customHeight="1">
      <c r="A68" s="1807"/>
      <c r="B68" s="1809">
        <v>1</v>
      </c>
      <c r="C68" s="1763" t="s">
        <v>387</v>
      </c>
      <c r="D68" s="1814"/>
      <c r="E68" s="845" t="s">
        <v>27</v>
      </c>
      <c r="F68" s="916">
        <f>SUM(F69:F71)</f>
        <v>0</v>
      </c>
      <c r="G68" s="702">
        <f>SUM(G69:G71)</f>
        <v>0</v>
      </c>
      <c r="H68" s="925">
        <f>SUM(H69:H71)</f>
        <v>0</v>
      </c>
      <c r="I68" s="810"/>
      <c r="J68" s="806"/>
    </row>
    <row r="69" spans="1:10" s="96" customFormat="1" ht="16.5" customHeight="1">
      <c r="A69" s="1808"/>
      <c r="B69" s="1790"/>
      <c r="C69" s="627" t="s">
        <v>108</v>
      </c>
      <c r="D69" s="626" t="s">
        <v>28</v>
      </c>
      <c r="E69" s="672" t="s">
        <v>29</v>
      </c>
      <c r="F69" s="912"/>
      <c r="G69" s="663"/>
      <c r="H69" s="1017">
        <f aca="true" t="shared" si="3" ref="H69:H74">SUM(F69:G69)</f>
        <v>0</v>
      </c>
      <c r="I69" s="810"/>
      <c r="J69" s="806"/>
    </row>
    <row r="70" spans="1:10" s="96" customFormat="1" ht="16.5" customHeight="1">
      <c r="A70" s="1808"/>
      <c r="B70" s="1790"/>
      <c r="C70" s="627" t="s">
        <v>109</v>
      </c>
      <c r="D70" s="626" t="s">
        <v>30</v>
      </c>
      <c r="E70" s="672" t="s">
        <v>31</v>
      </c>
      <c r="F70" s="912"/>
      <c r="G70" s="663"/>
      <c r="H70" s="1017">
        <f t="shared" si="3"/>
        <v>0</v>
      </c>
      <c r="I70" s="810"/>
      <c r="J70" s="806"/>
    </row>
    <row r="71" spans="1:10" s="322" customFormat="1" ht="16.5" customHeight="1">
      <c r="A71" s="1808"/>
      <c r="B71" s="1791"/>
      <c r="C71" s="627" t="s">
        <v>110</v>
      </c>
      <c r="D71" s="831" t="s">
        <v>32</v>
      </c>
      <c r="E71" s="672" t="s">
        <v>33</v>
      </c>
      <c r="F71" s="912"/>
      <c r="G71" s="663"/>
      <c r="H71" s="1017">
        <f t="shared" si="3"/>
        <v>0</v>
      </c>
      <c r="I71" s="810"/>
      <c r="J71" s="806"/>
    </row>
    <row r="72" spans="1:10" s="220" customFormat="1" ht="16.5" customHeight="1">
      <c r="A72" s="1808"/>
      <c r="B72" s="844">
        <v>2</v>
      </c>
      <c r="C72" s="1732" t="s">
        <v>34</v>
      </c>
      <c r="D72" s="1815"/>
      <c r="E72" s="723" t="s">
        <v>35</v>
      </c>
      <c r="F72" s="917"/>
      <c r="G72" s="722"/>
      <c r="H72" s="920">
        <f t="shared" si="3"/>
        <v>0</v>
      </c>
      <c r="I72" s="810"/>
      <c r="J72" s="806"/>
    </row>
    <row r="73" spans="1:10" s="220" customFormat="1" ht="16.5" customHeight="1">
      <c r="A73" s="1808"/>
      <c r="B73" s="1142">
        <v>3</v>
      </c>
      <c r="C73" s="1517" t="s">
        <v>694</v>
      </c>
      <c r="D73" s="1518"/>
      <c r="E73" s="725" t="s">
        <v>693</v>
      </c>
      <c r="F73" s="1143">
        <v>52621</v>
      </c>
      <c r="G73" s="727"/>
      <c r="H73" s="920">
        <f t="shared" si="3"/>
        <v>52621</v>
      </c>
      <c r="I73" s="810"/>
      <c r="J73" s="1515">
        <f>hivatal9!K32</f>
        <v>52621</v>
      </c>
    </row>
    <row r="74" spans="1:10" s="322" customFormat="1" ht="16.5" customHeight="1" thickBot="1">
      <c r="A74" s="1808"/>
      <c r="B74" s="1142">
        <v>4</v>
      </c>
      <c r="C74" s="1772" t="s">
        <v>36</v>
      </c>
      <c r="D74" s="1816"/>
      <c r="E74" s="725" t="s">
        <v>37</v>
      </c>
      <c r="F74" s="1143"/>
      <c r="G74" s="727"/>
      <c r="H74" s="1144">
        <f t="shared" si="3"/>
        <v>0</v>
      </c>
      <c r="I74" s="810"/>
      <c r="J74" s="806"/>
    </row>
    <row r="75" spans="1:10" s="220" customFormat="1" ht="16.5" customHeight="1" thickBot="1">
      <c r="A75" s="751" t="s">
        <v>132</v>
      </c>
      <c r="B75" s="1736" t="s">
        <v>25</v>
      </c>
      <c r="C75" s="1737"/>
      <c r="D75" s="1796"/>
      <c r="E75" s="791" t="s">
        <v>26</v>
      </c>
      <c r="F75" s="1149">
        <f>F68+F72+F74+F73</f>
        <v>52621</v>
      </c>
      <c r="G75" s="1150">
        <f>G68+G72+G74+G73</f>
        <v>0</v>
      </c>
      <c r="H75" s="1150">
        <f>H68+H72+H74+H73</f>
        <v>52621</v>
      </c>
      <c r="I75" s="810"/>
      <c r="J75" s="1515">
        <f>hivatal9!K32</f>
        <v>52621</v>
      </c>
    </row>
    <row r="76" spans="1:10" s="220" customFormat="1" ht="16.5" customHeight="1" thickBot="1">
      <c r="A76" s="1145" t="s">
        <v>354</v>
      </c>
      <c r="B76" s="1801" t="s">
        <v>38</v>
      </c>
      <c r="C76" s="1802"/>
      <c r="D76" s="1803"/>
      <c r="E76" s="1146" t="s">
        <v>39</v>
      </c>
      <c r="F76" s="1147"/>
      <c r="G76" s="1521"/>
      <c r="H76" s="1148">
        <f>SUM(F76:G76)</f>
        <v>0</v>
      </c>
      <c r="I76" s="810"/>
      <c r="J76" s="806"/>
    </row>
    <row r="77" spans="1:10" s="585" customFormat="1" ht="21" customHeight="1" thickBot="1">
      <c r="A77" s="902" t="s">
        <v>42</v>
      </c>
      <c r="B77" s="1820" t="s">
        <v>450</v>
      </c>
      <c r="C77" s="1821"/>
      <c r="D77" s="1821"/>
      <c r="E77" s="903"/>
      <c r="F77" s="918">
        <f>SUM(F75:F76)</f>
        <v>52621</v>
      </c>
      <c r="G77" s="901">
        <f>SUM(G75:G76)</f>
        <v>0</v>
      </c>
      <c r="H77" s="901">
        <f>SUM(H75:H76)</f>
        <v>52621</v>
      </c>
      <c r="I77" s="810"/>
      <c r="J77" s="806"/>
    </row>
    <row r="78" spans="1:10" s="585" customFormat="1" ht="22.5" customHeight="1" thickBot="1">
      <c r="A78" s="800" t="s">
        <v>43</v>
      </c>
      <c r="B78" s="1714" t="s">
        <v>401</v>
      </c>
      <c r="C78" s="1714"/>
      <c r="D78" s="1714"/>
      <c r="E78" s="1715"/>
      <c r="F78" s="919">
        <f>F66+F77</f>
        <v>16997898</v>
      </c>
      <c r="G78" s="1025">
        <f>G66+G77</f>
        <v>840523</v>
      </c>
      <c r="H78" s="1025">
        <f>H66+H77</f>
        <v>17838421</v>
      </c>
      <c r="I78" s="1516">
        <f>SUM(F78:G78)</f>
        <v>17838421</v>
      </c>
      <c r="J78" s="1515">
        <f>hivatal9!K34</f>
        <v>17838421</v>
      </c>
    </row>
    <row r="79" spans="1:10" s="96" customFormat="1" ht="12.75">
      <c r="A79" s="770"/>
      <c r="B79" s="770"/>
      <c r="C79" s="770"/>
      <c r="D79" s="772"/>
      <c r="E79" s="772"/>
      <c r="F79" s="773"/>
      <c r="G79" s="773"/>
      <c r="H79" s="773"/>
      <c r="I79" s="810"/>
      <c r="J79" s="806"/>
    </row>
    <row r="80" spans="1:10" s="96" customFormat="1" ht="12.75">
      <c r="A80" s="771"/>
      <c r="B80" s="770"/>
      <c r="C80" s="770"/>
      <c r="D80" s="772"/>
      <c r="E80" s="772"/>
      <c r="F80" s="773"/>
      <c r="G80" s="773"/>
      <c r="H80" s="773">
        <f>'bevétfő '!I92-'kiadfő '!H78</f>
        <v>0</v>
      </c>
      <c r="I80" s="810"/>
      <c r="J80" s="806"/>
    </row>
    <row r="81" spans="1:10" s="96" customFormat="1" ht="12.75">
      <c r="A81" s="770"/>
      <c r="B81" s="770"/>
      <c r="C81" s="770"/>
      <c r="D81" s="772"/>
      <c r="E81" s="772"/>
      <c r="F81" s="773"/>
      <c r="G81" s="773"/>
      <c r="H81" s="773"/>
      <c r="I81" s="810"/>
      <c r="J81" s="806"/>
    </row>
    <row r="82" spans="1:10" s="96" customFormat="1" ht="12.75">
      <c r="A82" s="770"/>
      <c r="B82" s="770"/>
      <c r="C82" s="770"/>
      <c r="D82" s="772"/>
      <c r="E82" s="772"/>
      <c r="F82" s="773"/>
      <c r="G82" s="773"/>
      <c r="H82" s="773"/>
      <c r="I82" s="810"/>
      <c r="J82" s="806"/>
    </row>
    <row r="83" spans="1:10" s="96" customFormat="1" ht="12.75">
      <c r="A83" s="770"/>
      <c r="B83" s="770"/>
      <c r="C83" s="770"/>
      <c r="D83" s="772"/>
      <c r="E83" s="772"/>
      <c r="F83" s="773"/>
      <c r="G83" s="773"/>
      <c r="H83" s="773"/>
      <c r="I83" s="810"/>
      <c r="J83" s="806"/>
    </row>
    <row r="84" spans="1:10" s="96" customFormat="1" ht="12.75">
      <c r="A84" s="268"/>
      <c r="B84" s="268"/>
      <c r="C84" s="268"/>
      <c r="F84" s="768"/>
      <c r="G84" s="768"/>
      <c r="H84" s="768"/>
      <c r="I84" s="810"/>
      <c r="J84" s="806"/>
    </row>
    <row r="85" spans="1:10" s="96" customFormat="1" ht="12.75">
      <c r="A85" s="268"/>
      <c r="B85" s="268"/>
      <c r="C85" s="268"/>
      <c r="F85" s="768"/>
      <c r="G85" s="768"/>
      <c r="H85" s="768"/>
      <c r="I85" s="810"/>
      <c r="J85" s="806"/>
    </row>
    <row r="86" spans="1:10" s="96" customFormat="1" ht="12.75">
      <c r="A86" s="268"/>
      <c r="B86" s="268"/>
      <c r="C86" s="268"/>
      <c r="F86" s="768"/>
      <c r="G86" s="768"/>
      <c r="H86" s="768"/>
      <c r="I86" s="810"/>
      <c r="J86" s="806"/>
    </row>
    <row r="87" spans="1:10" s="96" customFormat="1" ht="12.75">
      <c r="A87" s="268"/>
      <c r="B87" s="268"/>
      <c r="C87" s="268"/>
      <c r="F87" s="768"/>
      <c r="G87" s="768"/>
      <c r="H87" s="768"/>
      <c r="I87" s="810"/>
      <c r="J87" s="806"/>
    </row>
    <row r="88" spans="1:10" s="96" customFormat="1" ht="12.75">
      <c r="A88" s="268"/>
      <c r="B88" s="268"/>
      <c r="C88" s="268"/>
      <c r="F88" s="768"/>
      <c r="G88" s="768"/>
      <c r="H88" s="768"/>
      <c r="I88" s="810"/>
      <c r="J88" s="806"/>
    </row>
    <row r="89" spans="1:10" s="96" customFormat="1" ht="12.75">
      <c r="A89" s="268"/>
      <c r="B89" s="268"/>
      <c r="C89" s="268"/>
      <c r="F89" s="768"/>
      <c r="G89" s="768"/>
      <c r="H89" s="768"/>
      <c r="I89" s="810"/>
      <c r="J89" s="806"/>
    </row>
    <row r="90" spans="1:10" s="96" customFormat="1" ht="12.75">
      <c r="A90" s="268"/>
      <c r="B90" s="268"/>
      <c r="C90" s="268"/>
      <c r="F90" s="768"/>
      <c r="G90" s="768"/>
      <c r="H90" s="768"/>
      <c r="I90" s="810"/>
      <c r="J90" s="806"/>
    </row>
    <row r="91" spans="1:10" s="96" customFormat="1" ht="12.75">
      <c r="A91" s="268"/>
      <c r="B91" s="268"/>
      <c r="C91" s="268"/>
      <c r="F91" s="768"/>
      <c r="G91" s="768"/>
      <c r="H91" s="768"/>
      <c r="I91" s="810"/>
      <c r="J91" s="806"/>
    </row>
    <row r="92" spans="1:10" s="96" customFormat="1" ht="12.75">
      <c r="A92" s="268"/>
      <c r="B92" s="268"/>
      <c r="C92" s="268"/>
      <c r="F92" s="768"/>
      <c r="G92" s="768"/>
      <c r="H92" s="768"/>
      <c r="I92" s="810"/>
      <c r="J92" s="806"/>
    </row>
    <row r="93" spans="1:10" s="96" customFormat="1" ht="12.75">
      <c r="A93" s="268"/>
      <c r="B93" s="268"/>
      <c r="C93" s="268"/>
      <c r="F93" s="768"/>
      <c r="G93" s="768"/>
      <c r="H93" s="768"/>
      <c r="I93" s="810"/>
      <c r="J93" s="806"/>
    </row>
    <row r="94" spans="1:10" s="96" customFormat="1" ht="12.75">
      <c r="A94" s="268"/>
      <c r="B94" s="268"/>
      <c r="C94" s="268"/>
      <c r="F94" s="768"/>
      <c r="G94" s="768"/>
      <c r="H94" s="768"/>
      <c r="I94" s="810"/>
      <c r="J94" s="806"/>
    </row>
    <row r="95" spans="1:10" s="96" customFormat="1" ht="12.75">
      <c r="A95" s="268"/>
      <c r="B95" s="268"/>
      <c r="C95" s="268"/>
      <c r="F95" s="768"/>
      <c r="G95" s="768"/>
      <c r="H95" s="768"/>
      <c r="I95" s="810"/>
      <c r="J95" s="806"/>
    </row>
    <row r="96" spans="1:10" s="96" customFormat="1" ht="12.75">
      <c r="A96" s="268"/>
      <c r="B96" s="268"/>
      <c r="C96" s="268"/>
      <c r="F96" s="768"/>
      <c r="G96" s="768"/>
      <c r="H96" s="768"/>
      <c r="I96" s="810"/>
      <c r="J96" s="806"/>
    </row>
    <row r="97" spans="1:10" s="96" customFormat="1" ht="12.75">
      <c r="A97" s="268"/>
      <c r="B97" s="268"/>
      <c r="C97" s="268"/>
      <c r="F97" s="768"/>
      <c r="G97" s="768"/>
      <c r="H97" s="768"/>
      <c r="I97" s="810"/>
      <c r="J97" s="806"/>
    </row>
    <row r="98" spans="1:10" s="96" customFormat="1" ht="12.75">
      <c r="A98" s="268"/>
      <c r="B98" s="268"/>
      <c r="C98" s="268"/>
      <c r="F98" s="768"/>
      <c r="G98" s="768"/>
      <c r="H98" s="768"/>
      <c r="I98" s="810"/>
      <c r="J98" s="806"/>
    </row>
    <row r="99" spans="1:10" s="96" customFormat="1" ht="12.75">
      <c r="A99" s="268"/>
      <c r="B99" s="268"/>
      <c r="C99" s="268"/>
      <c r="F99" s="768"/>
      <c r="G99" s="768"/>
      <c r="H99" s="768"/>
      <c r="I99" s="810"/>
      <c r="J99" s="806"/>
    </row>
    <row r="100" spans="1:10" s="96" customFormat="1" ht="12.75">
      <c r="A100" s="268"/>
      <c r="B100" s="268"/>
      <c r="C100" s="268"/>
      <c r="F100" s="768"/>
      <c r="G100" s="768"/>
      <c r="H100" s="768"/>
      <c r="I100" s="810"/>
      <c r="J100" s="806"/>
    </row>
    <row r="101" spans="1:10" s="96" customFormat="1" ht="12.75">
      <c r="A101" s="268"/>
      <c r="B101" s="268"/>
      <c r="C101" s="268"/>
      <c r="F101" s="768"/>
      <c r="G101" s="768"/>
      <c r="H101" s="768"/>
      <c r="I101" s="810"/>
      <c r="J101" s="806"/>
    </row>
    <row r="102" spans="1:10" s="96" customFormat="1" ht="12.75">
      <c r="A102" s="268"/>
      <c r="B102" s="268"/>
      <c r="C102" s="268"/>
      <c r="F102" s="768"/>
      <c r="G102" s="768"/>
      <c r="H102" s="768"/>
      <c r="I102" s="810"/>
      <c r="J102" s="806"/>
    </row>
    <row r="103" spans="1:10" s="96" customFormat="1" ht="12.75">
      <c r="A103" s="268"/>
      <c r="B103" s="268"/>
      <c r="C103" s="268"/>
      <c r="F103" s="768"/>
      <c r="G103" s="768"/>
      <c r="H103" s="768"/>
      <c r="I103" s="810"/>
      <c r="J103" s="806"/>
    </row>
    <row r="104" spans="1:10" s="96" customFormat="1" ht="12.75">
      <c r="A104" s="268"/>
      <c r="B104" s="268"/>
      <c r="C104" s="268"/>
      <c r="F104" s="768"/>
      <c r="G104" s="768"/>
      <c r="H104" s="768"/>
      <c r="I104" s="810"/>
      <c r="J104" s="806"/>
    </row>
    <row r="105" spans="1:10" s="96" customFormat="1" ht="12.75">
      <c r="A105" s="268"/>
      <c r="B105" s="268"/>
      <c r="C105" s="268"/>
      <c r="F105" s="768"/>
      <c r="G105" s="768"/>
      <c r="H105" s="768"/>
      <c r="I105" s="810"/>
      <c r="J105" s="806"/>
    </row>
    <row r="106" spans="1:10" s="96" customFormat="1" ht="12.75">
      <c r="A106" s="268"/>
      <c r="B106" s="268"/>
      <c r="C106" s="268"/>
      <c r="F106" s="768"/>
      <c r="G106" s="768"/>
      <c r="H106" s="768"/>
      <c r="I106" s="810"/>
      <c r="J106" s="806"/>
    </row>
    <row r="107" spans="1:10" s="96" customFormat="1" ht="12.75">
      <c r="A107" s="268"/>
      <c r="B107" s="268"/>
      <c r="C107" s="268"/>
      <c r="F107" s="768"/>
      <c r="G107" s="768"/>
      <c r="H107" s="768"/>
      <c r="I107" s="810"/>
      <c r="J107" s="806"/>
    </row>
    <row r="108" spans="1:10" s="96" customFormat="1" ht="12.75">
      <c r="A108" s="268"/>
      <c r="B108" s="268"/>
      <c r="C108" s="268"/>
      <c r="F108" s="768"/>
      <c r="G108" s="768"/>
      <c r="H108" s="768"/>
      <c r="I108" s="810"/>
      <c r="J108" s="806"/>
    </row>
    <row r="109" spans="1:10" s="96" customFormat="1" ht="12.75">
      <c r="A109" s="268"/>
      <c r="B109" s="268"/>
      <c r="C109" s="268"/>
      <c r="F109" s="768"/>
      <c r="G109" s="768"/>
      <c r="H109" s="768"/>
      <c r="I109" s="810"/>
      <c r="J109" s="806"/>
    </row>
    <row r="110" spans="1:10" s="96" customFormat="1" ht="12.75">
      <c r="A110" s="268"/>
      <c r="B110" s="268"/>
      <c r="C110" s="268"/>
      <c r="F110" s="768"/>
      <c r="G110" s="768"/>
      <c r="H110" s="768"/>
      <c r="I110" s="810"/>
      <c r="J110" s="806"/>
    </row>
    <row r="111" spans="1:10" s="96" customFormat="1" ht="12.75">
      <c r="A111" s="268"/>
      <c r="B111" s="268"/>
      <c r="C111" s="268"/>
      <c r="F111" s="768"/>
      <c r="G111" s="768"/>
      <c r="H111" s="768"/>
      <c r="I111" s="810"/>
      <c r="J111" s="806"/>
    </row>
    <row r="112" spans="1:10" s="96" customFormat="1" ht="12.75">
      <c r="A112" s="268"/>
      <c r="B112" s="268"/>
      <c r="C112" s="268"/>
      <c r="F112" s="768"/>
      <c r="G112" s="768"/>
      <c r="H112" s="768"/>
      <c r="I112" s="810"/>
      <c r="J112" s="806"/>
    </row>
    <row r="113" spans="1:10" s="96" customFormat="1" ht="12.75">
      <c r="A113" s="268"/>
      <c r="B113" s="268"/>
      <c r="C113" s="268"/>
      <c r="F113" s="768"/>
      <c r="G113" s="768"/>
      <c r="H113" s="768"/>
      <c r="I113" s="810"/>
      <c r="J113" s="806"/>
    </row>
    <row r="114" spans="1:10" s="96" customFormat="1" ht="12.75">
      <c r="A114" s="268"/>
      <c r="B114" s="268"/>
      <c r="C114" s="268"/>
      <c r="F114" s="768"/>
      <c r="G114" s="768"/>
      <c r="H114" s="768"/>
      <c r="I114" s="810"/>
      <c r="J114" s="806"/>
    </row>
    <row r="115" spans="1:10" s="96" customFormat="1" ht="12.75">
      <c r="A115" s="268"/>
      <c r="B115" s="268"/>
      <c r="C115" s="268"/>
      <c r="F115" s="768"/>
      <c r="G115" s="768"/>
      <c r="H115" s="768"/>
      <c r="I115" s="810"/>
      <c r="J115" s="806"/>
    </row>
    <row r="116" spans="1:10" s="96" customFormat="1" ht="12.75">
      <c r="A116" s="268"/>
      <c r="B116" s="268"/>
      <c r="C116" s="268"/>
      <c r="F116" s="768"/>
      <c r="G116" s="768"/>
      <c r="H116" s="768"/>
      <c r="I116" s="810"/>
      <c r="J116" s="806"/>
    </row>
    <row r="117" spans="1:10" s="96" customFormat="1" ht="12.75">
      <c r="A117" s="268"/>
      <c r="B117" s="268"/>
      <c r="C117" s="268"/>
      <c r="F117" s="768"/>
      <c r="G117" s="768"/>
      <c r="H117" s="768"/>
      <c r="I117" s="810"/>
      <c r="J117" s="806"/>
    </row>
    <row r="118" spans="1:10" s="96" customFormat="1" ht="12.75">
      <c r="A118" s="268"/>
      <c r="B118" s="268"/>
      <c r="C118" s="268"/>
      <c r="F118" s="768"/>
      <c r="G118" s="768"/>
      <c r="H118" s="768"/>
      <c r="I118" s="810"/>
      <c r="J118" s="806"/>
    </row>
    <row r="119" spans="1:3" ht="12.75">
      <c r="A119" s="268"/>
      <c r="B119" s="268"/>
      <c r="C119" s="268"/>
    </row>
  </sheetData>
  <sheetProtection/>
  <mergeCells count="54">
    <mergeCell ref="C13:D13"/>
    <mergeCell ref="C14:D14"/>
    <mergeCell ref="C15:D15"/>
    <mergeCell ref="C16:D16"/>
    <mergeCell ref="C21:D21"/>
    <mergeCell ref="C27:D27"/>
    <mergeCell ref="A4:H4"/>
    <mergeCell ref="A5:H5"/>
    <mergeCell ref="B7:D7"/>
    <mergeCell ref="B10:D10"/>
    <mergeCell ref="A38:E38"/>
    <mergeCell ref="B11:D11"/>
    <mergeCell ref="C33:D33"/>
    <mergeCell ref="B8:D8"/>
    <mergeCell ref="B9:D9"/>
    <mergeCell ref="B12:D12"/>
    <mergeCell ref="B75:D75"/>
    <mergeCell ref="B77:D77"/>
    <mergeCell ref="C42:D42"/>
    <mergeCell ref="C43:D43"/>
    <mergeCell ref="B66:E66"/>
    <mergeCell ref="C45:D45"/>
    <mergeCell ref="C46:D46"/>
    <mergeCell ref="C47:D47"/>
    <mergeCell ref="C51:D51"/>
    <mergeCell ref="C57:D57"/>
    <mergeCell ref="B68:B71"/>
    <mergeCell ref="A45:A62"/>
    <mergeCell ref="A67:E67"/>
    <mergeCell ref="C68:D68"/>
    <mergeCell ref="C72:D72"/>
    <mergeCell ref="C74:D74"/>
    <mergeCell ref="B63:D63"/>
    <mergeCell ref="B64:D64"/>
    <mergeCell ref="B36:D36"/>
    <mergeCell ref="B37:D37"/>
    <mergeCell ref="C39:D39"/>
    <mergeCell ref="C40:D40"/>
    <mergeCell ref="B78:E78"/>
    <mergeCell ref="B76:D76"/>
    <mergeCell ref="A65:E65"/>
    <mergeCell ref="B41:D41"/>
    <mergeCell ref="B44:D44"/>
    <mergeCell ref="A68:A74"/>
    <mergeCell ref="A39:A40"/>
    <mergeCell ref="A42:A43"/>
    <mergeCell ref="A13:A35"/>
    <mergeCell ref="B57:B62"/>
    <mergeCell ref="B51:B56"/>
    <mergeCell ref="B47:B50"/>
    <mergeCell ref="B16:B20"/>
    <mergeCell ref="B21:B26"/>
    <mergeCell ref="B27:B32"/>
    <mergeCell ref="B33:B35"/>
  </mergeCells>
  <printOptions horizontalCentered="1"/>
  <pageMargins left="0.7874015748031497" right="0.7874015748031497" top="0.61" bottom="0.77" header="0.4" footer="0.5118110236220472"/>
  <pageSetup fitToHeight="1" fitToWidth="1" horizontalDpi="600" verticalDpi="600" orientation="portrait" paperSize="9" scale="53" r:id="rId1"/>
  <headerFooter alignWithMargins="0">
    <oddFooter>&amp;L&amp;F&amp;C&amp;D   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00"/>
  <sheetViews>
    <sheetView showGridLines="0" tabSelected="1" zoomScale="87" zoomScaleNormal="87" zoomScalePageLayoutView="0" workbookViewId="0" topLeftCell="A1">
      <pane xSplit="3" ySplit="11" topLeftCell="D54" activePane="bottomRight" state="frozen"/>
      <selection pane="topLeft" activeCell="A9" sqref="A9:A12"/>
      <selection pane="topRight" activeCell="A9" sqref="A9:A12"/>
      <selection pane="bottomLeft" activeCell="A9" sqref="A9:A12"/>
      <selection pane="bottomRight" activeCell="L1" sqref="L1"/>
    </sheetView>
  </sheetViews>
  <sheetFormatPr defaultColWidth="10.625" defaultRowHeight="12.75"/>
  <cols>
    <col min="1" max="1" width="1.625" style="148" customWidth="1"/>
    <col min="2" max="2" width="9.125" style="325" customWidth="1"/>
    <col min="3" max="3" width="62.625" style="326" customWidth="1"/>
    <col min="4" max="7" width="21.00390625" style="326" customWidth="1"/>
    <col min="8" max="8" width="19.50390625" style="326" customWidth="1"/>
    <col min="9" max="9" width="21.00390625" style="329" customWidth="1"/>
    <col min="10" max="10" width="21.00390625" style="328" customWidth="1"/>
    <col min="11" max="11" width="20.125" style="328" customWidth="1"/>
    <col min="12" max="12" width="18.625" style="328" customWidth="1"/>
    <col min="13" max="13" width="22.00390625" style="579" customWidth="1"/>
    <col min="14" max="14" width="25.875" style="571" customWidth="1"/>
    <col min="15" max="16" width="24.50390625" style="571" customWidth="1"/>
    <col min="17" max="18" width="10.625" style="571" customWidth="1"/>
    <col min="19" max="16384" width="10.625" style="148" customWidth="1"/>
  </cols>
  <sheetData>
    <row r="1" spans="2:18" s="198" customFormat="1" ht="15.75">
      <c r="B1" s="199"/>
      <c r="C1" s="200"/>
      <c r="D1" s="200"/>
      <c r="E1" s="200"/>
      <c r="F1" s="200"/>
      <c r="G1" s="200"/>
      <c r="H1" s="200"/>
      <c r="I1" s="201"/>
      <c r="J1" s="202"/>
      <c r="K1" s="202"/>
      <c r="L1" s="203" t="s">
        <v>876</v>
      </c>
      <c r="M1" s="574"/>
      <c r="N1" s="556"/>
      <c r="O1" s="557"/>
      <c r="P1" s="557"/>
      <c r="Q1" s="557"/>
      <c r="R1" s="557"/>
    </row>
    <row r="2" spans="2:18" s="198" customFormat="1" ht="12.75">
      <c r="B2" s="199"/>
      <c r="C2" s="200"/>
      <c r="D2" s="200"/>
      <c r="E2" s="200"/>
      <c r="F2" s="200"/>
      <c r="G2" s="200"/>
      <c r="H2" s="200"/>
      <c r="I2" s="201"/>
      <c r="J2" s="516" t="s">
        <v>91</v>
      </c>
      <c r="K2" s="516"/>
      <c r="L2" s="267" t="s">
        <v>102</v>
      </c>
      <c r="M2" s="575"/>
      <c r="N2" s="557"/>
      <c r="O2" s="557"/>
      <c r="P2" s="557"/>
      <c r="Q2" s="557"/>
      <c r="R2" s="557"/>
    </row>
    <row r="3" spans="2:18" s="198" customFormat="1" ht="12.75">
      <c r="B3" s="204"/>
      <c r="C3" s="205"/>
      <c r="D3" s="205"/>
      <c r="E3" s="205"/>
      <c r="F3" s="205"/>
      <c r="G3" s="205"/>
      <c r="H3" s="205"/>
      <c r="I3" s="206"/>
      <c r="J3" s="207"/>
      <c r="K3" s="207"/>
      <c r="L3" s="207"/>
      <c r="M3" s="576"/>
      <c r="N3" s="558"/>
      <c r="O3" s="558"/>
      <c r="P3" s="558"/>
      <c r="Q3" s="557"/>
      <c r="R3" s="557"/>
    </row>
    <row r="4" spans="2:18" s="198" customFormat="1" ht="20.25">
      <c r="B4" s="1921" t="s">
        <v>103</v>
      </c>
      <c r="C4" s="1921"/>
      <c r="D4" s="1921"/>
      <c r="E4" s="1921"/>
      <c r="F4" s="1921"/>
      <c r="G4" s="1921"/>
      <c r="H4" s="1921"/>
      <c r="I4" s="1921"/>
      <c r="J4" s="1921"/>
      <c r="K4" s="1921"/>
      <c r="L4" s="1921"/>
      <c r="M4" s="559"/>
      <c r="N4" s="558"/>
      <c r="O4" s="558"/>
      <c r="P4" s="558"/>
      <c r="Q4" s="557"/>
      <c r="R4" s="557"/>
    </row>
    <row r="5" spans="2:18" s="198" customFormat="1" ht="20.25">
      <c r="B5" s="1921" t="s">
        <v>579</v>
      </c>
      <c r="C5" s="1921"/>
      <c r="D5" s="1921"/>
      <c r="E5" s="1921"/>
      <c r="F5" s="1921"/>
      <c r="G5" s="1921"/>
      <c r="H5" s="1921"/>
      <c r="I5" s="1921"/>
      <c r="J5" s="1921"/>
      <c r="K5" s="1921"/>
      <c r="L5" s="1921"/>
      <c r="M5" s="559"/>
      <c r="N5" s="558"/>
      <c r="O5" s="558"/>
      <c r="P5" s="558"/>
      <c r="Q5" s="557"/>
      <c r="R5" s="557"/>
    </row>
    <row r="6" spans="2:18" s="208" customFormat="1" ht="26.25" customHeight="1">
      <c r="B6" s="1916" t="s">
        <v>95</v>
      </c>
      <c r="C6" s="1916"/>
      <c r="D6" s="1916"/>
      <c r="E6" s="1916"/>
      <c r="F6" s="1916"/>
      <c r="G6" s="1916"/>
      <c r="H6" s="1916"/>
      <c r="I6" s="1916"/>
      <c r="J6" s="1916"/>
      <c r="K6" s="1916"/>
      <c r="L6" s="1916"/>
      <c r="M6" s="559"/>
      <c r="N6" s="558"/>
      <c r="O6" s="558"/>
      <c r="P6" s="558"/>
      <c r="Q6" s="560"/>
      <c r="R6" s="560"/>
    </row>
    <row r="7" spans="2:18" s="208" customFormat="1" ht="20.25" customHeight="1" thickBot="1">
      <c r="B7" s="517"/>
      <c r="C7" s="518"/>
      <c r="D7" s="518"/>
      <c r="E7" s="518"/>
      <c r="F7" s="518"/>
      <c r="G7" s="518"/>
      <c r="H7" s="518"/>
      <c r="I7" s="519"/>
      <c r="J7" s="520"/>
      <c r="K7" s="520"/>
      <c r="L7" s="521" t="s">
        <v>145</v>
      </c>
      <c r="M7" s="576"/>
      <c r="N7" s="558"/>
      <c r="O7" s="558"/>
      <c r="P7" s="558"/>
      <c r="Q7" s="560"/>
      <c r="R7" s="560"/>
    </row>
    <row r="8" spans="2:18" s="201" customFormat="1" ht="22.5" customHeight="1" thickBot="1">
      <c r="B8" s="1925" t="s">
        <v>104</v>
      </c>
      <c r="C8" s="1922" t="s">
        <v>136</v>
      </c>
      <c r="D8" s="1913" t="s">
        <v>75</v>
      </c>
      <c r="E8" s="1914"/>
      <c r="F8" s="1914"/>
      <c r="G8" s="1914"/>
      <c r="H8" s="1915"/>
      <c r="I8" s="1913" t="s">
        <v>76</v>
      </c>
      <c r="J8" s="1914"/>
      <c r="K8" s="1914"/>
      <c r="L8" s="1915"/>
      <c r="M8" s="573"/>
      <c r="N8" s="561"/>
      <c r="O8" s="561"/>
      <c r="P8" s="561"/>
      <c r="Q8" s="562"/>
      <c r="R8" s="562"/>
    </row>
    <row r="9" spans="2:18" s="201" customFormat="1" ht="15.75" customHeight="1">
      <c r="B9" s="1926"/>
      <c r="C9" s="1923"/>
      <c r="D9" s="1932" t="s">
        <v>81</v>
      </c>
      <c r="E9" s="1934" t="s">
        <v>453</v>
      </c>
      <c r="F9" s="1928" t="s">
        <v>164</v>
      </c>
      <c r="G9" s="1930" t="s">
        <v>666</v>
      </c>
      <c r="H9" s="1919" t="s">
        <v>82</v>
      </c>
      <c r="I9" s="1917" t="s">
        <v>92</v>
      </c>
      <c r="J9" s="1917" t="s">
        <v>78</v>
      </c>
      <c r="K9" s="1917" t="s">
        <v>79</v>
      </c>
      <c r="L9" s="1919" t="s">
        <v>80</v>
      </c>
      <c r="M9" s="563"/>
      <c r="N9" s="561"/>
      <c r="O9" s="561"/>
      <c r="P9" s="561"/>
      <c r="Q9" s="562"/>
      <c r="R9" s="562"/>
    </row>
    <row r="10" spans="2:18" s="201" customFormat="1" ht="48" customHeight="1" thickBot="1">
      <c r="B10" s="1927"/>
      <c r="C10" s="1924"/>
      <c r="D10" s="1933"/>
      <c r="E10" s="1935"/>
      <c r="F10" s="1929"/>
      <c r="G10" s="1931"/>
      <c r="H10" s="1920"/>
      <c r="I10" s="1918"/>
      <c r="J10" s="1918"/>
      <c r="K10" s="1918"/>
      <c r="L10" s="1920"/>
      <c r="M10" s="563" t="s">
        <v>234</v>
      </c>
      <c r="N10" s="562" t="s">
        <v>230</v>
      </c>
      <c r="O10" s="561" t="s">
        <v>231</v>
      </c>
      <c r="P10" s="561"/>
      <c r="Q10" s="562"/>
      <c r="R10" s="562"/>
    </row>
    <row r="11" spans="2:16" s="523" customFormat="1" ht="12" thickBot="1">
      <c r="B11" s="522">
        <v>1</v>
      </c>
      <c r="C11" s="522">
        <v>2</v>
      </c>
      <c r="D11" s="1283">
        <v>3</v>
      </c>
      <c r="E11" s="1284">
        <v>4</v>
      </c>
      <c r="F11" s="1460">
        <v>5</v>
      </c>
      <c r="G11" s="1467"/>
      <c r="H11" s="522">
        <v>6</v>
      </c>
      <c r="I11" s="580">
        <v>7</v>
      </c>
      <c r="J11" s="522">
        <v>8</v>
      </c>
      <c r="K11" s="580">
        <v>9</v>
      </c>
      <c r="L11" s="522">
        <v>10</v>
      </c>
      <c r="M11" s="559"/>
      <c r="O11" s="524"/>
      <c r="P11" s="524"/>
    </row>
    <row r="12" spans="2:18" s="201" customFormat="1" ht="18" customHeight="1">
      <c r="B12" s="525">
        <v>1</v>
      </c>
      <c r="C12" s="1631" t="s">
        <v>215</v>
      </c>
      <c r="D12" s="552"/>
      <c r="E12" s="581"/>
      <c r="F12" s="550">
        <f>H12-D12-E12-G12</f>
        <v>628344</v>
      </c>
      <c r="G12" s="1468">
        <f>78259</f>
        <v>78259</v>
      </c>
      <c r="H12" s="526">
        <f>L12</f>
        <v>706603</v>
      </c>
      <c r="I12" s="527">
        <f>L12*0.6</f>
        <v>423961.8</v>
      </c>
      <c r="J12" s="551">
        <f>L12-I12</f>
        <v>282641.2</v>
      </c>
      <c r="K12" s="528"/>
      <c r="L12" s="529">
        <f>hivatal1!E34</f>
        <v>706603</v>
      </c>
      <c r="M12" s="1140">
        <v>0.6</v>
      </c>
      <c r="N12" s="1141">
        <v>0.4</v>
      </c>
      <c r="O12" s="561"/>
      <c r="P12" s="561"/>
      <c r="Q12" s="562"/>
      <c r="R12" s="562"/>
    </row>
    <row r="13" spans="2:18" s="201" customFormat="1" ht="18" customHeight="1">
      <c r="B13" s="530">
        <f aca="true" t="shared" si="0" ref="B13:B32">B12+1</f>
        <v>2</v>
      </c>
      <c r="C13" s="1631" t="s">
        <v>216</v>
      </c>
      <c r="D13" s="552"/>
      <c r="E13" s="581"/>
      <c r="F13" s="550">
        <f aca="true" t="shared" si="1" ref="F13:F31">H13-D13-E13-G13</f>
        <v>90194</v>
      </c>
      <c r="G13" s="1468"/>
      <c r="H13" s="526">
        <f aca="true" t="shared" si="2" ref="H13:H61">L13</f>
        <v>90194</v>
      </c>
      <c r="I13" s="527">
        <f>H13-J13</f>
        <v>82211</v>
      </c>
      <c r="J13" s="551">
        <v>7983</v>
      </c>
      <c r="K13" s="531"/>
      <c r="L13" s="529">
        <f>hivatal1!H34</f>
        <v>90194</v>
      </c>
      <c r="M13" s="577"/>
      <c r="N13" s="561" t="s">
        <v>233</v>
      </c>
      <c r="O13" s="561"/>
      <c r="P13" s="561"/>
      <c r="Q13" s="562"/>
      <c r="R13" s="562"/>
    </row>
    <row r="14" spans="2:18" s="201" customFormat="1" ht="18" customHeight="1">
      <c r="B14" s="530">
        <f t="shared" si="0"/>
        <v>3</v>
      </c>
      <c r="C14" s="1631" t="s">
        <v>146</v>
      </c>
      <c r="D14" s="552"/>
      <c r="E14" s="581"/>
      <c r="F14" s="550">
        <f t="shared" si="1"/>
        <v>97111</v>
      </c>
      <c r="G14" s="1468">
        <f>127547+62998+18605</f>
        <v>209150</v>
      </c>
      <c r="H14" s="526">
        <f t="shared" si="2"/>
        <v>306261</v>
      </c>
      <c r="I14" s="527">
        <f>L14-J14</f>
        <v>292160</v>
      </c>
      <c r="J14" s="551">
        <f>'[6]Kerületi feladatok'!$T$21+'[6]Kerületi feladatok'!$T$31+'[6]Kerületi feladatok'!$T$32+'[6]Kerületi feladatok'!$T$33+'[6]Kerületi feladatok'!$T$34+'[6]Kerületi feladatok'!$T$35</f>
        <v>14101</v>
      </c>
      <c r="K14" s="531"/>
      <c r="L14" s="529">
        <f>hivatal1!K34</f>
        <v>306261</v>
      </c>
      <c r="M14" s="577"/>
      <c r="N14" s="561" t="s">
        <v>515</v>
      </c>
      <c r="O14" s="561"/>
      <c r="P14" s="561"/>
      <c r="Q14" s="562"/>
      <c r="R14" s="562"/>
    </row>
    <row r="15" spans="2:18" s="201" customFormat="1" ht="18" customHeight="1">
      <c r="B15" s="530">
        <f t="shared" si="0"/>
        <v>4</v>
      </c>
      <c r="C15" s="1631" t="s">
        <v>147</v>
      </c>
      <c r="D15" s="552"/>
      <c r="E15" s="581"/>
      <c r="F15" s="550">
        <f t="shared" si="1"/>
        <v>151924</v>
      </c>
      <c r="G15" s="1468">
        <f>41877+4192</f>
        <v>46069</v>
      </c>
      <c r="H15" s="526">
        <f t="shared" si="2"/>
        <v>197993</v>
      </c>
      <c r="I15" s="527"/>
      <c r="J15" s="551">
        <f aca="true" t="shared" si="3" ref="J15:J63">L15-I15-K15</f>
        <v>197993</v>
      </c>
      <c r="K15" s="531"/>
      <c r="L15" s="529">
        <f>hivatal1!N34</f>
        <v>197993</v>
      </c>
      <c r="M15" s="577"/>
      <c r="N15" s="561"/>
      <c r="O15" s="561"/>
      <c r="P15" s="561"/>
      <c r="Q15" s="562"/>
      <c r="R15" s="562"/>
    </row>
    <row r="16" spans="2:18" s="533" customFormat="1" ht="18" customHeight="1">
      <c r="B16" s="530">
        <f t="shared" si="0"/>
        <v>5</v>
      </c>
      <c r="C16" s="1631" t="s">
        <v>217</v>
      </c>
      <c r="D16" s="552"/>
      <c r="E16" s="581"/>
      <c r="F16" s="550">
        <f t="shared" si="1"/>
        <v>90742</v>
      </c>
      <c r="G16" s="1468">
        <f>2359+25000</f>
        <v>27359</v>
      </c>
      <c r="H16" s="526">
        <f t="shared" si="2"/>
        <v>118101</v>
      </c>
      <c r="I16" s="527"/>
      <c r="J16" s="551">
        <f t="shared" si="3"/>
        <v>118101</v>
      </c>
      <c r="K16" s="532"/>
      <c r="L16" s="529">
        <f>hivatal1!Q34</f>
        <v>118101</v>
      </c>
      <c r="M16" s="577"/>
      <c r="N16" s="558"/>
      <c r="O16" s="558"/>
      <c r="P16" s="558"/>
      <c r="Q16" s="560"/>
      <c r="R16" s="560"/>
    </row>
    <row r="17" spans="2:18" s="533" customFormat="1" ht="18" customHeight="1">
      <c r="B17" s="530">
        <f t="shared" si="0"/>
        <v>6</v>
      </c>
      <c r="C17" s="1631" t="s">
        <v>148</v>
      </c>
      <c r="D17" s="552"/>
      <c r="E17" s="581"/>
      <c r="F17" s="550">
        <f t="shared" si="1"/>
        <v>115400</v>
      </c>
      <c r="G17" s="1468">
        <v>14864</v>
      </c>
      <c r="H17" s="526">
        <f t="shared" si="2"/>
        <v>130264</v>
      </c>
      <c r="I17" s="527">
        <f>L17-J17</f>
        <v>74484</v>
      </c>
      <c r="J17" s="551">
        <f>'[6]Sajtó'!$T$21+'[6]Sajtó'!$T$22+'[6]Sajtó'!$T$23</f>
        <v>55780</v>
      </c>
      <c r="K17" s="532"/>
      <c r="L17" s="529">
        <f>hivatal2!E34</f>
        <v>130264</v>
      </c>
      <c r="M17" s="577" t="s">
        <v>237</v>
      </c>
      <c r="N17" s="558"/>
      <c r="O17" s="558"/>
      <c r="P17" s="558"/>
      <c r="Q17" s="560"/>
      <c r="R17" s="560"/>
    </row>
    <row r="18" spans="2:18" s="533" customFormat="1" ht="18" customHeight="1">
      <c r="B18" s="530">
        <f t="shared" si="0"/>
        <v>7</v>
      </c>
      <c r="C18" s="1631" t="s">
        <v>149</v>
      </c>
      <c r="D18" s="553"/>
      <c r="E18" s="582"/>
      <c r="F18" s="550">
        <f t="shared" si="1"/>
        <v>6078</v>
      </c>
      <c r="G18" s="1468">
        <f>6209+488</f>
        <v>6697</v>
      </c>
      <c r="H18" s="526">
        <f t="shared" si="2"/>
        <v>12775</v>
      </c>
      <c r="I18" s="527">
        <f>H18</f>
        <v>12775</v>
      </c>
      <c r="J18" s="551"/>
      <c r="K18" s="532"/>
      <c r="L18" s="529">
        <f>hivatal2!H34</f>
        <v>12775</v>
      </c>
      <c r="M18" s="577" t="s">
        <v>341</v>
      </c>
      <c r="N18" s="558"/>
      <c r="O18" s="558"/>
      <c r="P18" s="558"/>
      <c r="Q18" s="560"/>
      <c r="R18" s="560"/>
    </row>
    <row r="19" spans="2:18" s="533" customFormat="1" ht="18" customHeight="1">
      <c r="B19" s="530">
        <f t="shared" si="0"/>
        <v>8</v>
      </c>
      <c r="C19" s="1631" t="s">
        <v>151</v>
      </c>
      <c r="D19" s="552"/>
      <c r="E19" s="581"/>
      <c r="F19" s="550">
        <f t="shared" si="1"/>
        <v>10146</v>
      </c>
      <c r="G19" s="1468"/>
      <c r="H19" s="526">
        <f t="shared" si="2"/>
        <v>10146</v>
      </c>
      <c r="I19" s="527"/>
      <c r="J19" s="551">
        <f t="shared" si="3"/>
        <v>10146</v>
      </c>
      <c r="K19" s="532"/>
      <c r="L19" s="529">
        <f>hivatal2!K34</f>
        <v>10146</v>
      </c>
      <c r="M19" s="577"/>
      <c r="N19" s="558"/>
      <c r="O19" s="558"/>
      <c r="P19" s="558"/>
      <c r="Q19" s="560"/>
      <c r="R19" s="560"/>
    </row>
    <row r="20" spans="2:18" s="533" customFormat="1" ht="18" customHeight="1">
      <c r="B20" s="530">
        <f t="shared" si="0"/>
        <v>9</v>
      </c>
      <c r="C20" s="1631" t="s">
        <v>152</v>
      </c>
      <c r="D20" s="552"/>
      <c r="E20" s="581"/>
      <c r="F20" s="550">
        <f t="shared" si="1"/>
        <v>0</v>
      </c>
      <c r="G20" s="1468">
        <f>3000+2076</f>
        <v>5076</v>
      </c>
      <c r="H20" s="526">
        <f t="shared" si="2"/>
        <v>5076</v>
      </c>
      <c r="I20" s="527"/>
      <c r="J20" s="551">
        <f>L20</f>
        <v>5076</v>
      </c>
      <c r="K20" s="532"/>
      <c r="L20" s="529">
        <f>hivatal2!N34</f>
        <v>5076</v>
      </c>
      <c r="M20" s="577"/>
      <c r="N20" s="558"/>
      <c r="O20" s="558"/>
      <c r="P20" s="558"/>
      <c r="Q20" s="560"/>
      <c r="R20" s="560"/>
    </row>
    <row r="21" spans="2:18" s="533" customFormat="1" ht="18" customHeight="1">
      <c r="B21" s="530">
        <f t="shared" si="0"/>
        <v>10</v>
      </c>
      <c r="C21" s="1631" t="s">
        <v>454</v>
      </c>
      <c r="D21" s="552"/>
      <c r="E21" s="581"/>
      <c r="F21" s="1026">
        <f t="shared" si="1"/>
        <v>33000</v>
      </c>
      <c r="G21" s="1469">
        <f>4000+7000</f>
        <v>11000</v>
      </c>
      <c r="H21" s="526">
        <f t="shared" si="2"/>
        <v>44000</v>
      </c>
      <c r="I21" s="527">
        <f>'[6]Egészségügy és szoc fa-ok'!$T$16+'[6]Egészségügy és szoc fa-ok'!$T$17+'[6]Egészségügy és szoc fa-ok'!$T$18</f>
        <v>4300</v>
      </c>
      <c r="J21" s="551">
        <f t="shared" si="3"/>
        <v>39700</v>
      </c>
      <c r="K21" s="532"/>
      <c r="L21" s="535">
        <f>hivatal2!Q34</f>
        <v>44000</v>
      </c>
      <c r="M21" s="577" t="s">
        <v>340</v>
      </c>
      <c r="N21" s="558"/>
      <c r="O21" s="558"/>
      <c r="P21" s="558"/>
      <c r="Q21" s="560"/>
      <c r="R21" s="560"/>
    </row>
    <row r="22" spans="2:18" s="533" customFormat="1" ht="18" customHeight="1">
      <c r="B22" s="530">
        <f t="shared" si="0"/>
        <v>11</v>
      </c>
      <c r="C22" s="1632" t="s">
        <v>459</v>
      </c>
      <c r="D22" s="1034"/>
      <c r="E22" s="606"/>
      <c r="F22" s="611">
        <f t="shared" si="1"/>
        <v>124800</v>
      </c>
      <c r="G22" s="1470">
        <v>2</v>
      </c>
      <c r="H22" s="541">
        <f t="shared" si="2"/>
        <v>124802</v>
      </c>
      <c r="I22" s="608">
        <f>H22-J22</f>
        <v>113502</v>
      </c>
      <c r="J22" s="609">
        <f>'[6]Önkormányzati segély'!$T$26</f>
        <v>11300</v>
      </c>
      <c r="K22" s="610"/>
      <c r="L22" s="529">
        <f>hivatal3!E34</f>
        <v>124802</v>
      </c>
      <c r="M22" s="577"/>
      <c r="N22" s="558" t="s">
        <v>511</v>
      </c>
      <c r="O22" s="558"/>
      <c r="P22" s="558"/>
      <c r="Q22" s="560"/>
      <c r="R22" s="560"/>
    </row>
    <row r="23" spans="2:18" s="533" customFormat="1" ht="18" customHeight="1">
      <c r="B23" s="530">
        <f t="shared" si="0"/>
        <v>12</v>
      </c>
      <c r="C23" s="1632" t="str">
        <f>hivatal3!F7</f>
        <v>Szociális feladatellátás</v>
      </c>
      <c r="D23" s="605"/>
      <c r="E23" s="606"/>
      <c r="F23" s="611">
        <f t="shared" si="1"/>
        <v>79088</v>
      </c>
      <c r="G23" s="1470">
        <v>11522</v>
      </c>
      <c r="H23" s="541">
        <f t="shared" si="2"/>
        <v>90610</v>
      </c>
      <c r="I23" s="608">
        <f>'[6]Szociális feladatell.'!$E$24</f>
        <v>35531</v>
      </c>
      <c r="J23" s="609">
        <f t="shared" si="3"/>
        <v>55079</v>
      </c>
      <c r="K23" s="610"/>
      <c r="L23" s="529">
        <f>hivatal3!H34</f>
        <v>90610</v>
      </c>
      <c r="M23" s="577" t="s">
        <v>517</v>
      </c>
      <c r="N23" s="558" t="s">
        <v>516</v>
      </c>
      <c r="O23" s="558"/>
      <c r="P23" s="558"/>
      <c r="Q23" s="560"/>
      <c r="R23" s="560"/>
    </row>
    <row r="24" spans="2:18" s="533" customFormat="1" ht="18" customHeight="1">
      <c r="B24" s="530">
        <f t="shared" si="0"/>
        <v>13</v>
      </c>
      <c r="C24" s="1632" t="s">
        <v>84</v>
      </c>
      <c r="D24" s="605"/>
      <c r="E24" s="606"/>
      <c r="F24" s="607">
        <f t="shared" si="1"/>
        <v>3900</v>
      </c>
      <c r="G24" s="1471">
        <v>799</v>
      </c>
      <c r="H24" s="541">
        <f t="shared" si="2"/>
        <v>4699</v>
      </c>
      <c r="I24" s="608"/>
      <c r="J24" s="609">
        <f t="shared" si="3"/>
        <v>4699</v>
      </c>
      <c r="K24" s="610"/>
      <c r="L24" s="529">
        <f>hivatal3!K34</f>
        <v>4699</v>
      </c>
      <c r="M24" s="577" t="s">
        <v>238</v>
      </c>
      <c r="N24" s="558"/>
      <c r="O24" s="558"/>
      <c r="P24" s="558"/>
      <c r="Q24" s="560"/>
      <c r="R24" s="560"/>
    </row>
    <row r="25" spans="2:18" s="533" customFormat="1" ht="18" customHeight="1">
      <c r="B25" s="530">
        <f t="shared" si="0"/>
        <v>14</v>
      </c>
      <c r="C25" s="1631" t="s">
        <v>203</v>
      </c>
      <c r="D25" s="552"/>
      <c r="E25" s="581"/>
      <c r="F25" s="550">
        <f t="shared" si="1"/>
        <v>17742</v>
      </c>
      <c r="G25" s="1468"/>
      <c r="H25" s="526">
        <f t="shared" si="2"/>
        <v>17742</v>
      </c>
      <c r="I25" s="527"/>
      <c r="J25" s="551">
        <f t="shared" si="3"/>
        <v>17742</v>
      </c>
      <c r="K25" s="532"/>
      <c r="L25" s="529">
        <f>hivatal3!N34</f>
        <v>17742</v>
      </c>
      <c r="M25" s="577"/>
      <c r="N25" s="558"/>
      <c r="O25" s="558"/>
      <c r="P25" s="558"/>
      <c r="Q25" s="560"/>
      <c r="R25" s="560"/>
    </row>
    <row r="26" spans="2:18" s="533" customFormat="1" ht="18" customHeight="1">
      <c r="B26" s="530">
        <f t="shared" si="0"/>
        <v>15</v>
      </c>
      <c r="C26" s="1631" t="s">
        <v>779</v>
      </c>
      <c r="D26" s="552"/>
      <c r="E26" s="581"/>
      <c r="F26" s="550">
        <f t="shared" si="1"/>
        <v>8000</v>
      </c>
      <c r="G26" s="1468">
        <v>15</v>
      </c>
      <c r="H26" s="526">
        <f t="shared" si="2"/>
        <v>8015</v>
      </c>
      <c r="I26" s="527">
        <f>L26</f>
        <v>8015</v>
      </c>
      <c r="J26" s="551"/>
      <c r="K26" s="532"/>
      <c r="L26" s="529">
        <f>hivatal3!Q34</f>
        <v>8015</v>
      </c>
      <c r="M26" s="577"/>
      <c r="N26" s="558"/>
      <c r="O26" s="558"/>
      <c r="P26" s="558"/>
      <c r="Q26" s="560"/>
      <c r="R26" s="560"/>
    </row>
    <row r="27" spans="2:18" s="533" customFormat="1" ht="18" customHeight="1">
      <c r="B27" s="530">
        <f t="shared" si="0"/>
        <v>16</v>
      </c>
      <c r="C27" s="1631" t="s">
        <v>506</v>
      </c>
      <c r="D27" s="552"/>
      <c r="E27" s="581"/>
      <c r="F27" s="550">
        <f t="shared" si="1"/>
        <v>8902</v>
      </c>
      <c r="G27" s="1468">
        <f>267+5000+5000</f>
        <v>10267</v>
      </c>
      <c r="H27" s="526">
        <f t="shared" si="2"/>
        <v>19169</v>
      </c>
      <c r="I27" s="527"/>
      <c r="J27" s="551">
        <f>L27</f>
        <v>19169</v>
      </c>
      <c r="K27" s="532"/>
      <c r="L27" s="529">
        <f>hivatal4!E34</f>
        <v>19169</v>
      </c>
      <c r="M27" s="577"/>
      <c r="N27" s="558"/>
      <c r="O27" s="558"/>
      <c r="P27" s="558"/>
      <c r="Q27" s="560"/>
      <c r="R27" s="560"/>
    </row>
    <row r="28" spans="2:18" s="533" customFormat="1" ht="18" customHeight="1">
      <c r="B28" s="530">
        <f t="shared" si="0"/>
        <v>17</v>
      </c>
      <c r="C28" s="1631" t="s">
        <v>343</v>
      </c>
      <c r="D28" s="552"/>
      <c r="E28" s="581"/>
      <c r="F28" s="550">
        <f t="shared" si="1"/>
        <v>30300</v>
      </c>
      <c r="G28" s="1468">
        <v>53152</v>
      </c>
      <c r="H28" s="526">
        <f t="shared" si="2"/>
        <v>83452</v>
      </c>
      <c r="I28" s="527">
        <f>L28-J28-K28</f>
        <v>70170</v>
      </c>
      <c r="J28" s="551">
        <f>'[6]Városrendezés'!$T$15+'[6]Városrendezés'!$T$18+'[6]Városrendezés'!$T$19+'[6]Városrendezés'!$T$20</f>
        <v>13282</v>
      </c>
      <c r="K28" s="532"/>
      <c r="L28" s="529">
        <f>hivatal4!H34</f>
        <v>83452</v>
      </c>
      <c r="M28" s="577"/>
      <c r="N28" s="558" t="s">
        <v>512</v>
      </c>
      <c r="O28" s="558"/>
      <c r="P28" s="558"/>
      <c r="Q28" s="560"/>
      <c r="R28" s="560"/>
    </row>
    <row r="29" spans="2:18" s="533" customFormat="1" ht="18" customHeight="1">
      <c r="B29" s="530">
        <f t="shared" si="0"/>
        <v>18</v>
      </c>
      <c r="C29" s="1631" t="s">
        <v>85</v>
      </c>
      <c r="D29" s="552"/>
      <c r="E29" s="581"/>
      <c r="F29" s="550">
        <f t="shared" si="1"/>
        <v>58000</v>
      </c>
      <c r="G29" s="1468">
        <f>116489+35000</f>
        <v>151489</v>
      </c>
      <c r="H29" s="526">
        <f t="shared" si="2"/>
        <v>209489</v>
      </c>
      <c r="I29" s="527">
        <f>'[5]Kártalanítás, utcamegnyitás'!$T$15+'[5]Kártalanítás, utcamegnyitás'!$T$16+'[5]Kártalanítás, utcamegnyitás'!$T$17</f>
        <v>193866</v>
      </c>
      <c r="J29" s="551">
        <f t="shared" si="3"/>
        <v>15623</v>
      </c>
      <c r="K29" s="532"/>
      <c r="L29" s="529">
        <f>hivatal4!K34</f>
        <v>209489</v>
      </c>
      <c r="M29" s="577" t="s">
        <v>239</v>
      </c>
      <c r="N29" s="558"/>
      <c r="O29" s="558"/>
      <c r="P29" s="558"/>
      <c r="Q29" s="560"/>
      <c r="R29" s="560"/>
    </row>
    <row r="30" spans="2:18" s="533" customFormat="1" ht="18" customHeight="1">
      <c r="B30" s="530">
        <f t="shared" si="0"/>
        <v>19</v>
      </c>
      <c r="C30" s="1631" t="s">
        <v>61</v>
      </c>
      <c r="D30" s="552"/>
      <c r="E30" s="581"/>
      <c r="F30" s="550">
        <f t="shared" si="1"/>
        <v>586154</v>
      </c>
      <c r="G30" s="1468">
        <f>495400+88250+28751</f>
        <v>612401</v>
      </c>
      <c r="H30" s="526">
        <f>L30</f>
        <v>1198555</v>
      </c>
      <c r="I30" s="527">
        <f>L30-J30-K30</f>
        <v>927905</v>
      </c>
      <c r="J30" s="551">
        <f>'[6]Vagyongazdálkodás'!$T$11+'[6]Vagyongazdálkodás'!$T$31+'[6]Vagyongazdálkodás'!$T$32+'[6]Vagyongazdálkodás'!$T$33+'[6]Vagyongazdálkodás'!$T$34+'[6]Vagyongazdálkodás'!$T$36+'[6]Vagyongazdálkodás'!$T$37+'[6]Vagyongazdálkodás'!$T$38+'[6]Vagyongazdálkodás'!$T$39+'[6]Vagyongazdálkodás'!$T$40+'[6]Vagyongazdálkodás'!$T$41+'[6]Vagyongazdálkodás'!$T$42</f>
        <v>270650</v>
      </c>
      <c r="K30" s="532"/>
      <c r="L30" s="529">
        <f>hivatal4!N34</f>
        <v>1198555</v>
      </c>
      <c r="M30" s="577"/>
      <c r="N30" s="558" t="s">
        <v>513</v>
      </c>
      <c r="O30" s="558"/>
      <c r="P30" s="558"/>
      <c r="Q30" s="560"/>
      <c r="R30" s="560"/>
    </row>
    <row r="31" spans="2:18" s="533" customFormat="1" ht="18" customHeight="1" thickBot="1">
      <c r="B31" s="604">
        <f t="shared" si="0"/>
        <v>20</v>
      </c>
      <c r="C31" s="1632" t="s">
        <v>552</v>
      </c>
      <c r="D31" s="605"/>
      <c r="E31" s="606"/>
      <c r="F31" s="550">
        <f t="shared" si="1"/>
        <v>0</v>
      </c>
      <c r="G31" s="1468"/>
      <c r="H31" s="526">
        <f>L31</f>
        <v>0</v>
      </c>
      <c r="I31" s="608"/>
      <c r="J31" s="608"/>
      <c r="K31" s="610"/>
      <c r="L31" s="529">
        <f>hivatal4!Q34</f>
        <v>0</v>
      </c>
      <c r="M31" s="577"/>
      <c r="N31" s="558"/>
      <c r="O31" s="558"/>
      <c r="P31" s="558"/>
      <c r="Q31" s="560"/>
      <c r="R31" s="560"/>
    </row>
    <row r="32" spans="2:18" s="533" customFormat="1" ht="18" customHeight="1">
      <c r="B32" s="525">
        <f t="shared" si="0"/>
        <v>21</v>
      </c>
      <c r="C32" s="1633" t="s">
        <v>93</v>
      </c>
      <c r="D32" s="619"/>
      <c r="E32" s="620"/>
      <c r="F32" s="1461"/>
      <c r="G32" s="1472"/>
      <c r="H32" s="621"/>
      <c r="I32" s="621"/>
      <c r="J32" s="1405"/>
      <c r="K32" s="1402"/>
      <c r="L32" s="622"/>
      <c r="M32" s="577"/>
      <c r="N32" s="564">
        <v>1444932</v>
      </c>
      <c r="O32" s="558"/>
      <c r="P32" s="558"/>
      <c r="Q32" s="560"/>
      <c r="R32" s="560"/>
    </row>
    <row r="33" spans="2:18" s="201" customFormat="1" ht="18" customHeight="1">
      <c r="B33" s="534"/>
      <c r="C33" s="1634" t="s">
        <v>532</v>
      </c>
      <c r="D33" s="554"/>
      <c r="E33" s="583"/>
      <c r="F33" s="550">
        <f aca="true" t="shared" si="4" ref="F33:F61">H33-D33-E33-G33</f>
        <v>308405</v>
      </c>
      <c r="G33" s="1468">
        <f>180770+174000</f>
        <v>354770</v>
      </c>
      <c r="H33" s="526">
        <f>L33</f>
        <v>663175</v>
      </c>
      <c r="I33" s="527">
        <f>H33</f>
        <v>663175</v>
      </c>
      <c r="J33" s="551">
        <f t="shared" si="3"/>
        <v>0</v>
      </c>
      <c r="K33" s="1403"/>
      <c r="L33" s="535">
        <f>'[6]Városüzemeltetés'!$T$36</f>
        <v>663175</v>
      </c>
      <c r="M33" s="577"/>
      <c r="N33" s="561"/>
      <c r="O33" s="561"/>
      <c r="P33" s="561"/>
      <c r="Q33" s="562"/>
      <c r="R33" s="562"/>
    </row>
    <row r="34" spans="2:18" s="201" customFormat="1" ht="18" customHeight="1">
      <c r="B34" s="536"/>
      <c r="C34" s="1634" t="s">
        <v>224</v>
      </c>
      <c r="D34" s="554"/>
      <c r="E34" s="583"/>
      <c r="F34" s="550">
        <f t="shared" si="4"/>
        <v>5000</v>
      </c>
      <c r="G34" s="1468">
        <v>172952</v>
      </c>
      <c r="H34" s="526">
        <f t="shared" si="2"/>
        <v>177952</v>
      </c>
      <c r="I34" s="527"/>
      <c r="J34" s="551">
        <f t="shared" si="3"/>
        <v>177952</v>
      </c>
      <c r="K34" s="1403"/>
      <c r="L34" s="535">
        <f>'[6]Városüzemeltetés'!$T$40</f>
        <v>177952</v>
      </c>
      <c r="M34" s="577"/>
      <c r="N34" s="561" t="s">
        <v>519</v>
      </c>
      <c r="O34" s="561"/>
      <c r="P34" s="561"/>
      <c r="Q34" s="562"/>
      <c r="R34" s="562"/>
    </row>
    <row r="35" spans="2:18" s="201" customFormat="1" ht="18" customHeight="1">
      <c r="B35" s="536"/>
      <c r="C35" s="1634" t="s">
        <v>223</v>
      </c>
      <c r="D35" s="554"/>
      <c r="E35" s="583"/>
      <c r="F35" s="550">
        <f t="shared" si="4"/>
        <v>12000</v>
      </c>
      <c r="G35" s="1468">
        <f>47785+20000</f>
        <v>67785</v>
      </c>
      <c r="H35" s="526">
        <f t="shared" si="2"/>
        <v>79785</v>
      </c>
      <c r="I35" s="527">
        <f>H35</f>
        <v>79785</v>
      </c>
      <c r="J35" s="551">
        <f t="shared" si="3"/>
        <v>0</v>
      </c>
      <c r="K35" s="1403"/>
      <c r="L35" s="535">
        <f>'[6]Városüzemeltetés'!$T$45</f>
        <v>79785</v>
      </c>
      <c r="M35" s="577"/>
      <c r="N35" s="561"/>
      <c r="O35" s="561"/>
      <c r="P35" s="561"/>
      <c r="Q35" s="562"/>
      <c r="R35" s="562"/>
    </row>
    <row r="36" spans="2:18" s="201" customFormat="1" ht="18" customHeight="1">
      <c r="B36" s="536"/>
      <c r="C36" s="1634" t="s">
        <v>502</v>
      </c>
      <c r="D36" s="554"/>
      <c r="E36" s="583"/>
      <c r="F36" s="550">
        <f t="shared" si="4"/>
        <v>1500</v>
      </c>
      <c r="G36" s="1468">
        <v>4872</v>
      </c>
      <c r="H36" s="526">
        <f t="shared" si="2"/>
        <v>6372</v>
      </c>
      <c r="I36" s="527">
        <f>H36</f>
        <v>6372</v>
      </c>
      <c r="J36" s="551">
        <f t="shared" si="3"/>
        <v>0</v>
      </c>
      <c r="K36" s="1403"/>
      <c r="L36" s="535">
        <f>'[6]Városüzemeltetés'!$T$49</f>
        <v>6372</v>
      </c>
      <c r="M36" s="577"/>
      <c r="N36" s="561"/>
      <c r="O36" s="561"/>
      <c r="P36" s="561"/>
      <c r="Q36" s="562"/>
      <c r="R36" s="562"/>
    </row>
    <row r="37" spans="2:18" s="201" customFormat="1" ht="18" customHeight="1">
      <c r="B37" s="536"/>
      <c r="C37" s="1634" t="s">
        <v>225</v>
      </c>
      <c r="D37" s="554"/>
      <c r="E37" s="583"/>
      <c r="F37" s="550">
        <f t="shared" si="4"/>
        <v>21880</v>
      </c>
      <c r="G37" s="1468">
        <v>18868</v>
      </c>
      <c r="H37" s="526">
        <f t="shared" si="2"/>
        <v>40748</v>
      </c>
      <c r="I37" s="527"/>
      <c r="J37" s="551">
        <f>L37</f>
        <v>40748</v>
      </c>
      <c r="K37" s="1403"/>
      <c r="L37" s="535">
        <f>'[6]Városüzemeltetés'!$T$55</f>
        <v>40748</v>
      </c>
      <c r="M37" s="577"/>
      <c r="N37" s="565" t="s">
        <v>519</v>
      </c>
      <c r="O37" s="561"/>
      <c r="P37" s="561"/>
      <c r="Q37" s="562"/>
      <c r="R37" s="562"/>
    </row>
    <row r="38" spans="2:18" s="201" customFormat="1" ht="18" customHeight="1">
      <c r="B38" s="536"/>
      <c r="C38" s="1634" t="s">
        <v>503</v>
      </c>
      <c r="D38" s="554"/>
      <c r="E38" s="583"/>
      <c r="F38" s="550">
        <f t="shared" si="4"/>
        <v>249553</v>
      </c>
      <c r="G38" s="1468">
        <f>277039+5083+27465+46901</f>
        <v>356488</v>
      </c>
      <c r="H38" s="526">
        <f t="shared" si="2"/>
        <v>606041</v>
      </c>
      <c r="I38" s="527"/>
      <c r="J38" s="551">
        <f t="shared" si="3"/>
        <v>606041</v>
      </c>
      <c r="K38" s="1403"/>
      <c r="L38" s="535">
        <f>'[6]Városüzemeltetés'!$T$68</f>
        <v>606041</v>
      </c>
      <c r="M38" s="577"/>
      <c r="N38" s="561"/>
      <c r="O38" s="561"/>
      <c r="P38" s="561"/>
      <c r="Q38" s="562"/>
      <c r="R38" s="562"/>
    </row>
    <row r="39" spans="2:18" s="201" customFormat="1" ht="18" customHeight="1">
      <c r="B39" s="536"/>
      <c r="C39" s="1634" t="s">
        <v>504</v>
      </c>
      <c r="D39" s="554"/>
      <c r="E39" s="583"/>
      <c r="F39" s="550">
        <f t="shared" si="4"/>
        <v>18995</v>
      </c>
      <c r="G39" s="1468">
        <v>8897</v>
      </c>
      <c r="H39" s="526">
        <f>L39</f>
        <v>27892</v>
      </c>
      <c r="I39" s="527">
        <f>L39</f>
        <v>27892</v>
      </c>
      <c r="J39" s="551">
        <f>L39-I39-K39</f>
        <v>0</v>
      </c>
      <c r="K39" s="1403"/>
      <c r="L39" s="535">
        <f>'[6]Városüzemeltetés'!$V$79</f>
        <v>27892</v>
      </c>
      <c r="M39" s="577"/>
      <c r="N39" s="561"/>
      <c r="O39" s="561"/>
      <c r="P39" s="561"/>
      <c r="Q39" s="562"/>
      <c r="R39" s="562"/>
    </row>
    <row r="40" spans="2:18" s="201" customFormat="1" ht="18" customHeight="1">
      <c r="B40" s="536"/>
      <c r="C40" s="1634" t="s">
        <v>505</v>
      </c>
      <c r="D40" s="554"/>
      <c r="E40" s="583"/>
      <c r="F40" s="550">
        <f t="shared" si="4"/>
        <v>64148</v>
      </c>
      <c r="G40" s="1468">
        <f>9316+15000</f>
        <v>24316</v>
      </c>
      <c r="H40" s="526">
        <f>L40</f>
        <v>88464</v>
      </c>
      <c r="I40" s="527">
        <f>L40</f>
        <v>88464</v>
      </c>
      <c r="J40" s="551">
        <f>L40-I40-K40</f>
        <v>0</v>
      </c>
      <c r="K40" s="1403"/>
      <c r="L40" s="535">
        <f>'[6]Városüzemeltetés'!$V$72</f>
        <v>88464</v>
      </c>
      <c r="M40" s="577"/>
      <c r="N40" s="561"/>
      <c r="O40" s="561"/>
      <c r="P40" s="561"/>
      <c r="Q40" s="562"/>
      <c r="R40" s="562"/>
    </row>
    <row r="41" spans="2:18" s="201" customFormat="1" ht="18" customHeight="1">
      <c r="B41" s="536"/>
      <c r="C41" s="1634" t="s">
        <v>509</v>
      </c>
      <c r="D41" s="554"/>
      <c r="E41" s="583"/>
      <c r="F41" s="550">
        <f t="shared" si="4"/>
        <v>58000</v>
      </c>
      <c r="G41" s="1468">
        <f>7419+5000</f>
        <v>12419</v>
      </c>
      <c r="H41" s="526">
        <f>L41</f>
        <v>70419</v>
      </c>
      <c r="I41" s="527">
        <f>L41</f>
        <v>70419</v>
      </c>
      <c r="J41" s="551">
        <f>L41-I41-K41</f>
        <v>0</v>
      </c>
      <c r="K41" s="1403"/>
      <c r="L41" s="535">
        <f>'[6]Városüzemeltetés'!$V$82</f>
        <v>70419</v>
      </c>
      <c r="M41" s="577"/>
      <c r="N41" s="561"/>
      <c r="O41" s="561"/>
      <c r="P41" s="561"/>
      <c r="Q41" s="562"/>
      <c r="R41" s="562"/>
    </row>
    <row r="42" spans="2:18" s="201" customFormat="1" ht="18" customHeight="1">
      <c r="B42" s="536"/>
      <c r="C42" s="1634" t="s">
        <v>510</v>
      </c>
      <c r="D42" s="554">
        <v>100000</v>
      </c>
      <c r="E42" s="583"/>
      <c r="F42" s="550">
        <f t="shared" si="4"/>
        <v>40875</v>
      </c>
      <c r="G42" s="1468">
        <f>85311+5000</f>
        <v>90311</v>
      </c>
      <c r="H42" s="526">
        <f t="shared" si="2"/>
        <v>231186</v>
      </c>
      <c r="I42" s="527">
        <f>L42</f>
        <v>231186</v>
      </c>
      <c r="J42" s="551">
        <f t="shared" si="3"/>
        <v>0</v>
      </c>
      <c r="K42" s="1403"/>
      <c r="L42" s="535">
        <f>'[6]Városüzemeltetés'!$V$88</f>
        <v>231186</v>
      </c>
      <c r="M42" s="577"/>
      <c r="N42" s="561"/>
      <c r="O42" s="561"/>
      <c r="P42" s="561"/>
      <c r="Q42" s="562"/>
      <c r="R42" s="562"/>
    </row>
    <row r="43" spans="2:18" s="201" customFormat="1" ht="18" customHeight="1">
      <c r="B43" s="536"/>
      <c r="C43" s="1634" t="s">
        <v>220</v>
      </c>
      <c r="D43" s="554"/>
      <c r="E43" s="583"/>
      <c r="F43" s="550">
        <f t="shared" si="4"/>
        <v>238423</v>
      </c>
      <c r="G43" s="1468">
        <f>56419+38000+5000</f>
        <v>99419</v>
      </c>
      <c r="H43" s="526">
        <f t="shared" si="2"/>
        <v>337842</v>
      </c>
      <c r="I43" s="527">
        <f>H43</f>
        <v>337842</v>
      </c>
      <c r="J43" s="551">
        <f t="shared" si="3"/>
        <v>0</v>
      </c>
      <c r="K43" s="1403"/>
      <c r="L43" s="535">
        <f>'[6]Városüzemeltetés'!$T$121</f>
        <v>337842</v>
      </c>
      <c r="M43" s="577"/>
      <c r="N43" s="561"/>
      <c r="O43" s="561"/>
      <c r="P43" s="561"/>
      <c r="Q43" s="562"/>
      <c r="R43" s="562"/>
    </row>
    <row r="44" spans="2:18" s="201" customFormat="1" ht="18" customHeight="1">
      <c r="B44" s="536"/>
      <c r="C44" s="1634" t="s">
        <v>226</v>
      </c>
      <c r="D44" s="554"/>
      <c r="E44" s="583">
        <v>108383</v>
      </c>
      <c r="F44" s="550">
        <f t="shared" si="4"/>
        <v>10700</v>
      </c>
      <c r="G44" s="1468">
        <f>63624+3900</f>
        <v>67524</v>
      </c>
      <c r="H44" s="526">
        <f t="shared" si="2"/>
        <v>186607</v>
      </c>
      <c r="I44" s="527">
        <f>'[5]Intézmények'!$E$113</f>
        <v>153924</v>
      </c>
      <c r="J44" s="551">
        <f t="shared" si="3"/>
        <v>32683</v>
      </c>
      <c r="K44" s="1403"/>
      <c r="L44" s="535">
        <f>'[6]Városüzemeltetés'!$T$122</f>
        <v>186607</v>
      </c>
      <c r="M44" s="577" t="s">
        <v>514</v>
      </c>
      <c r="N44" s="561" t="s">
        <v>501</v>
      </c>
      <c r="O44" s="561"/>
      <c r="P44" s="561"/>
      <c r="Q44" s="562"/>
      <c r="R44" s="562"/>
    </row>
    <row r="45" spans="2:18" s="201" customFormat="1" ht="18" customHeight="1">
      <c r="B45" s="536"/>
      <c r="C45" s="1634" t="s">
        <v>227</v>
      </c>
      <c r="D45" s="554"/>
      <c r="E45" s="583"/>
      <c r="F45" s="550">
        <f t="shared" si="4"/>
        <v>117547</v>
      </c>
      <c r="G45" s="1468">
        <f>141027+20000</f>
        <v>161027</v>
      </c>
      <c r="H45" s="526">
        <f t="shared" si="2"/>
        <v>278574</v>
      </c>
      <c r="I45" s="527">
        <f>'[5]Intézmények'!$D$113</f>
        <v>203127</v>
      </c>
      <c r="J45" s="551">
        <f t="shared" si="3"/>
        <v>75447</v>
      </c>
      <c r="K45" s="1403"/>
      <c r="L45" s="535">
        <f>'[6]Városüzemeltetés'!$T$123</f>
        <v>278574</v>
      </c>
      <c r="M45" s="577" t="s">
        <v>514</v>
      </c>
      <c r="N45" s="561" t="s">
        <v>501</v>
      </c>
      <c r="O45" s="561"/>
      <c r="P45" s="561"/>
      <c r="Q45" s="562"/>
      <c r="R45" s="562"/>
    </row>
    <row r="46" spans="2:18" s="201" customFormat="1" ht="18" customHeight="1">
      <c r="B46" s="536"/>
      <c r="C46" s="1634" t="s">
        <v>228</v>
      </c>
      <c r="D46" s="554"/>
      <c r="E46" s="583"/>
      <c r="F46" s="550">
        <f t="shared" si="4"/>
        <v>0</v>
      </c>
      <c r="G46" s="1468">
        <v>5809</v>
      </c>
      <c r="H46" s="526">
        <f t="shared" si="2"/>
        <v>5809</v>
      </c>
      <c r="I46" s="527">
        <f>H46</f>
        <v>5809</v>
      </c>
      <c r="J46" s="551">
        <f t="shared" si="3"/>
        <v>0</v>
      </c>
      <c r="K46" s="1403"/>
      <c r="L46" s="535">
        <f>'[6]Városüzemeltetés'!$T$124</f>
        <v>5809</v>
      </c>
      <c r="M46" s="577"/>
      <c r="N46" s="561"/>
      <c r="O46" s="561"/>
      <c r="P46" s="561"/>
      <c r="Q46" s="562"/>
      <c r="R46" s="562"/>
    </row>
    <row r="47" spans="2:18" s="201" customFormat="1" ht="18" customHeight="1">
      <c r="B47" s="536"/>
      <c r="C47" s="1634" t="s">
        <v>221</v>
      </c>
      <c r="D47" s="554"/>
      <c r="E47" s="583"/>
      <c r="F47" s="550">
        <f t="shared" si="4"/>
        <v>134390</v>
      </c>
      <c r="G47" s="1468">
        <f>80690+89500</f>
        <v>170190</v>
      </c>
      <c r="H47" s="526">
        <f t="shared" si="2"/>
        <v>304580</v>
      </c>
      <c r="I47" s="527">
        <f>L47-J47</f>
        <v>304580</v>
      </c>
      <c r="J47" s="551">
        <v>0</v>
      </c>
      <c r="K47" s="1403"/>
      <c r="L47" s="535">
        <f>'[6]Városüzemeltetés'!$T$142</f>
        <v>304580</v>
      </c>
      <c r="M47" s="577" t="s">
        <v>235</v>
      </c>
      <c r="N47" s="561"/>
      <c r="O47" s="561"/>
      <c r="P47" s="561"/>
      <c r="Q47" s="562"/>
      <c r="R47" s="562"/>
    </row>
    <row r="48" spans="2:18" s="201" customFormat="1" ht="18" customHeight="1">
      <c r="B48" s="536"/>
      <c r="C48" s="1635" t="s">
        <v>222</v>
      </c>
      <c r="D48" s="1031"/>
      <c r="E48" s="1032"/>
      <c r="F48" s="550">
        <f t="shared" si="4"/>
        <v>40000</v>
      </c>
      <c r="G48" s="1468">
        <v>4209</v>
      </c>
      <c r="H48" s="526">
        <f t="shared" si="2"/>
        <v>44209</v>
      </c>
      <c r="I48" s="527"/>
      <c r="J48" s="551">
        <f t="shared" si="3"/>
        <v>44209</v>
      </c>
      <c r="K48" s="1403"/>
      <c r="L48" s="535">
        <f>'[6]Városüzemeltetés'!$T$143</f>
        <v>44209</v>
      </c>
      <c r="M48" s="577"/>
      <c r="N48" s="565"/>
      <c r="O48" s="561"/>
      <c r="P48" s="565"/>
      <c r="Q48" s="562"/>
      <c r="R48" s="562"/>
    </row>
    <row r="49" spans="2:18" s="201" customFormat="1" ht="18" customHeight="1">
      <c r="B49" s="1320"/>
      <c r="C49" s="1636" t="s">
        <v>567</v>
      </c>
      <c r="D49" s="1031"/>
      <c r="E49" s="1321"/>
      <c r="F49" s="550">
        <f t="shared" si="4"/>
        <v>0</v>
      </c>
      <c r="G49" s="1468">
        <v>659987</v>
      </c>
      <c r="H49" s="526">
        <f t="shared" si="2"/>
        <v>659987</v>
      </c>
      <c r="I49" s="1401"/>
      <c r="J49" s="551">
        <v>659987</v>
      </c>
      <c r="K49" s="1403"/>
      <c r="L49" s="535">
        <f>'[6]Városüzemeltetés'!$T$148</f>
        <v>659987</v>
      </c>
      <c r="M49" s="577"/>
      <c r="N49" s="565"/>
      <c r="O49" s="561"/>
      <c r="P49" s="565"/>
      <c r="Q49" s="562"/>
      <c r="R49" s="562"/>
    </row>
    <row r="50" spans="2:18" s="201" customFormat="1" ht="18" customHeight="1" thickBot="1">
      <c r="B50" s="1027"/>
      <c r="C50" s="1637" t="s">
        <v>528</v>
      </c>
      <c r="D50" s="623"/>
      <c r="E50" s="624"/>
      <c r="F50" s="1462">
        <f t="shared" si="4"/>
        <v>8500</v>
      </c>
      <c r="G50" s="1473">
        <v>1027</v>
      </c>
      <c r="H50" s="1028">
        <f t="shared" si="2"/>
        <v>9527</v>
      </c>
      <c r="I50" s="1029"/>
      <c r="J50" s="1030">
        <f t="shared" si="3"/>
        <v>9527</v>
      </c>
      <c r="K50" s="1404"/>
      <c r="L50" s="1135">
        <f>'[6]Városüzemeltetés'!$T$150</f>
        <v>9527</v>
      </c>
      <c r="M50" s="577"/>
      <c r="N50" s="565"/>
      <c r="O50" s="561"/>
      <c r="P50" s="565"/>
      <c r="Q50" s="562"/>
      <c r="R50" s="562"/>
    </row>
    <row r="51" spans="2:18" s="533" customFormat="1" ht="18" customHeight="1">
      <c r="B51" s="604">
        <f>B32+1</f>
        <v>22</v>
      </c>
      <c r="C51" s="1632" t="s">
        <v>64</v>
      </c>
      <c r="D51" s="605"/>
      <c r="E51" s="606">
        <v>20000</v>
      </c>
      <c r="F51" s="607">
        <f t="shared" si="4"/>
        <v>0</v>
      </c>
      <c r="G51" s="1471"/>
      <c r="H51" s="541">
        <f t="shared" si="2"/>
        <v>20000</v>
      </c>
      <c r="I51" s="608"/>
      <c r="J51" s="609">
        <f t="shared" si="3"/>
        <v>20000</v>
      </c>
      <c r="K51" s="610"/>
      <c r="L51" s="529">
        <f>'hivatal5 '!H34</f>
        <v>20000</v>
      </c>
      <c r="M51" s="577"/>
      <c r="N51" s="558"/>
      <c r="O51" s="558"/>
      <c r="P51" s="558"/>
      <c r="Q51" s="560"/>
      <c r="R51" s="560"/>
    </row>
    <row r="52" spans="2:18" s="533" customFormat="1" ht="18" customHeight="1">
      <c r="B52" s="604">
        <f>B51+1</f>
        <v>23</v>
      </c>
      <c r="C52" s="1322" t="s">
        <v>568</v>
      </c>
      <c r="D52" s="605"/>
      <c r="E52" s="606"/>
      <c r="F52" s="607">
        <f t="shared" si="4"/>
        <v>6500</v>
      </c>
      <c r="G52" s="1471">
        <v>1200</v>
      </c>
      <c r="H52" s="541">
        <f aca="true" t="shared" si="5" ref="H52:H57">L52</f>
        <v>7700</v>
      </c>
      <c r="I52" s="608">
        <f>L52</f>
        <v>7700</v>
      </c>
      <c r="J52" s="609"/>
      <c r="K52" s="610"/>
      <c r="L52" s="529">
        <f>'hivatal5 '!Q34</f>
        <v>7700</v>
      </c>
      <c r="M52" s="577"/>
      <c r="N52" s="558"/>
      <c r="O52" s="558"/>
      <c r="P52" s="558"/>
      <c r="Q52" s="560"/>
      <c r="R52" s="560"/>
    </row>
    <row r="53" spans="2:18" s="533" customFormat="1" ht="18" customHeight="1">
      <c r="B53" s="604">
        <f aca="true" t="shared" si="6" ref="B53:B61">B52+1</f>
        <v>24</v>
      </c>
      <c r="C53" s="1322" t="s">
        <v>475</v>
      </c>
      <c r="D53" s="605"/>
      <c r="E53" s="606"/>
      <c r="F53" s="607">
        <f t="shared" si="4"/>
        <v>50000</v>
      </c>
      <c r="G53" s="1471"/>
      <c r="H53" s="541">
        <f t="shared" si="5"/>
        <v>50000</v>
      </c>
      <c r="I53" s="608"/>
      <c r="J53" s="609">
        <f>L53</f>
        <v>50000</v>
      </c>
      <c r="K53" s="610"/>
      <c r="L53" s="529">
        <f>'hivatal5 '!K34</f>
        <v>50000</v>
      </c>
      <c r="M53" s="577"/>
      <c r="N53" s="558"/>
      <c r="O53" s="558"/>
      <c r="P53" s="558"/>
      <c r="Q53" s="560"/>
      <c r="R53" s="560"/>
    </row>
    <row r="54" spans="2:18" s="533" customFormat="1" ht="18" customHeight="1">
      <c r="B54" s="604">
        <f t="shared" si="6"/>
        <v>25</v>
      </c>
      <c r="C54" s="1322" t="s">
        <v>553</v>
      </c>
      <c r="D54" s="605"/>
      <c r="E54" s="606">
        <v>46304</v>
      </c>
      <c r="F54" s="607">
        <f t="shared" si="4"/>
        <v>12123</v>
      </c>
      <c r="G54" s="1471">
        <f>9211+1972+4500</f>
        <v>15683</v>
      </c>
      <c r="H54" s="541">
        <f t="shared" si="5"/>
        <v>74110</v>
      </c>
      <c r="I54" s="608"/>
      <c r="J54" s="609">
        <f>L54</f>
        <v>74110</v>
      </c>
      <c r="K54" s="610"/>
      <c r="L54" s="529">
        <f>hivatal6!E34</f>
        <v>74110</v>
      </c>
      <c r="M54" s="577"/>
      <c r="N54" s="558"/>
      <c r="O54" s="558"/>
      <c r="P54" s="558"/>
      <c r="Q54" s="560"/>
      <c r="R54" s="560"/>
    </row>
    <row r="55" spans="2:18" s="533" customFormat="1" ht="18" customHeight="1">
      <c r="B55" s="604">
        <f t="shared" si="6"/>
        <v>26</v>
      </c>
      <c r="C55" s="1322" t="s">
        <v>667</v>
      </c>
      <c r="D55" s="605"/>
      <c r="E55" s="606">
        <v>200000</v>
      </c>
      <c r="F55" s="607">
        <f t="shared" si="4"/>
        <v>0</v>
      </c>
      <c r="G55" s="1471">
        <v>174988</v>
      </c>
      <c r="H55" s="541">
        <f t="shared" si="5"/>
        <v>374988</v>
      </c>
      <c r="I55" s="608"/>
      <c r="J55" s="609">
        <f>L55</f>
        <v>374988</v>
      </c>
      <c r="K55" s="610"/>
      <c r="L55" s="529">
        <f>hivatal6!H34</f>
        <v>374988</v>
      </c>
      <c r="M55" s="577"/>
      <c r="N55" s="558"/>
      <c r="O55" s="558"/>
      <c r="P55" s="558"/>
      <c r="Q55" s="560"/>
      <c r="R55" s="560"/>
    </row>
    <row r="56" spans="2:18" s="533" customFormat="1" ht="18" customHeight="1">
      <c r="B56" s="604">
        <f t="shared" si="6"/>
        <v>27</v>
      </c>
      <c r="C56" s="1322" t="s">
        <v>668</v>
      </c>
      <c r="D56" s="605"/>
      <c r="E56" s="606">
        <v>60000</v>
      </c>
      <c r="F56" s="607">
        <f t="shared" si="4"/>
        <v>24817</v>
      </c>
      <c r="G56" s="1471">
        <f>58178+47000+1132</f>
        <v>106310</v>
      </c>
      <c r="H56" s="541">
        <f t="shared" si="5"/>
        <v>191127</v>
      </c>
      <c r="I56" s="608"/>
      <c r="J56" s="609">
        <f>L56</f>
        <v>191127</v>
      </c>
      <c r="K56" s="610"/>
      <c r="L56" s="529">
        <f>hivatal6!K34</f>
        <v>191127</v>
      </c>
      <c r="M56" s="577"/>
      <c r="N56" s="558"/>
      <c r="O56" s="558"/>
      <c r="P56" s="558"/>
      <c r="Q56" s="560"/>
      <c r="R56" s="560"/>
    </row>
    <row r="57" spans="2:18" s="533" customFormat="1" ht="18" customHeight="1">
      <c r="B57" s="604">
        <f t="shared" si="6"/>
        <v>28</v>
      </c>
      <c r="C57" s="1322" t="s">
        <v>780</v>
      </c>
      <c r="D57" s="605"/>
      <c r="E57" s="606">
        <v>128000</v>
      </c>
      <c r="F57" s="607">
        <f t="shared" si="4"/>
        <v>0</v>
      </c>
      <c r="G57" s="1471"/>
      <c r="H57" s="541">
        <f t="shared" si="5"/>
        <v>128000</v>
      </c>
      <c r="I57" s="608"/>
      <c r="J57" s="609">
        <f>L57</f>
        <v>128000</v>
      </c>
      <c r="K57" s="610"/>
      <c r="L57" s="529">
        <f>hivatal6!N34</f>
        <v>128000</v>
      </c>
      <c r="M57" s="577"/>
      <c r="N57" s="558"/>
      <c r="O57" s="558"/>
      <c r="P57" s="558"/>
      <c r="Q57" s="560"/>
      <c r="R57" s="560"/>
    </row>
    <row r="58" spans="2:18" s="533" customFormat="1" ht="18" customHeight="1">
      <c r="B58" s="604">
        <f t="shared" si="6"/>
        <v>29</v>
      </c>
      <c r="C58" s="1631" t="s">
        <v>242</v>
      </c>
      <c r="D58" s="552"/>
      <c r="E58" s="581"/>
      <c r="F58" s="550">
        <f t="shared" si="4"/>
        <v>198580</v>
      </c>
      <c r="G58" s="1468"/>
      <c r="H58" s="526">
        <f t="shared" si="2"/>
        <v>198580</v>
      </c>
      <c r="I58" s="527">
        <f>'[5]EÜ N. Kft.'!$T$15+'[5]EÜ N. Kft.'!$T$16+'[5]EÜ N. Kft.'!$T$17+'[5]EÜ N. Kft.'!$T$18</f>
        <v>165480</v>
      </c>
      <c r="J58" s="551">
        <f t="shared" si="3"/>
        <v>33100</v>
      </c>
      <c r="K58" s="531"/>
      <c r="L58" s="535">
        <f>hivatal8!E34</f>
        <v>198580</v>
      </c>
      <c r="M58" s="577" t="s">
        <v>236</v>
      </c>
      <c r="N58" s="558"/>
      <c r="O58" s="558"/>
      <c r="P58" s="558"/>
      <c r="Q58" s="560"/>
      <c r="R58" s="560"/>
    </row>
    <row r="59" spans="2:18" s="533" customFormat="1" ht="18" customHeight="1">
      <c r="B59" s="604">
        <f t="shared" si="6"/>
        <v>30</v>
      </c>
      <c r="C59" s="1631" t="s">
        <v>77</v>
      </c>
      <c r="D59" s="552">
        <v>211900</v>
      </c>
      <c r="E59" s="581"/>
      <c r="F59" s="550">
        <f t="shared" si="4"/>
        <v>80000</v>
      </c>
      <c r="G59" s="1468">
        <v>5000</v>
      </c>
      <c r="H59" s="526">
        <f t="shared" si="2"/>
        <v>296900</v>
      </c>
      <c r="I59" s="527">
        <f>D59</f>
        <v>211900</v>
      </c>
      <c r="J59" s="551">
        <f t="shared" si="3"/>
        <v>85000</v>
      </c>
      <c r="K59" s="531"/>
      <c r="L59" s="535">
        <f>hivatal8!H34</f>
        <v>296900</v>
      </c>
      <c r="M59" s="577"/>
      <c r="N59" s="558"/>
      <c r="O59" s="558"/>
      <c r="P59" s="558"/>
      <c r="Q59" s="560"/>
      <c r="R59" s="560"/>
    </row>
    <row r="60" spans="2:18" s="533" customFormat="1" ht="18" customHeight="1">
      <c r="B60" s="604">
        <f t="shared" si="6"/>
        <v>31</v>
      </c>
      <c r="C60" s="1631" t="s">
        <v>70</v>
      </c>
      <c r="D60" s="552"/>
      <c r="E60" s="581"/>
      <c r="F60" s="550">
        <f t="shared" si="4"/>
        <v>40000</v>
      </c>
      <c r="G60" s="1468">
        <v>5000</v>
      </c>
      <c r="H60" s="526">
        <f t="shared" si="2"/>
        <v>45000</v>
      </c>
      <c r="I60" s="527"/>
      <c r="J60" s="551">
        <f t="shared" si="3"/>
        <v>45000</v>
      </c>
      <c r="K60" s="531"/>
      <c r="L60" s="535">
        <f>hivatal8!K34</f>
        <v>45000</v>
      </c>
      <c r="M60" s="577"/>
      <c r="N60" s="558"/>
      <c r="O60" s="558"/>
      <c r="P60" s="558"/>
      <c r="Q60" s="560"/>
      <c r="R60" s="560"/>
    </row>
    <row r="61" spans="2:18" s="533" customFormat="1" ht="18" customHeight="1" thickBot="1">
      <c r="B61" s="604">
        <f t="shared" si="6"/>
        <v>32</v>
      </c>
      <c r="C61" s="1631" t="s">
        <v>55</v>
      </c>
      <c r="D61" s="552">
        <f>838+31000</f>
        <v>31838</v>
      </c>
      <c r="E61" s="581">
        <f>805+150000+17+87+17+2271</f>
        <v>153197</v>
      </c>
      <c r="F61" s="550">
        <f t="shared" si="4"/>
        <v>146504</v>
      </c>
      <c r="G61" s="1468">
        <f>3499535+117703+42288+48160-1972-488+76840-2076-81575-67498-66216-46901-18605-1132</f>
        <v>3498063</v>
      </c>
      <c r="H61" s="526">
        <f t="shared" si="2"/>
        <v>3829602</v>
      </c>
      <c r="I61" s="527">
        <f>tartalék!F9+tartalék!F11+tartalék!F14+tartalék!F17+tartalék!F18+tartalék!F22+tartalék!F15+tartalék!F26</f>
        <v>278629</v>
      </c>
      <c r="J61" s="551">
        <f t="shared" si="3"/>
        <v>3550973</v>
      </c>
      <c r="K61" s="532"/>
      <c r="L61" s="535">
        <f>tartalék!F54</f>
        <v>3829602</v>
      </c>
      <c r="M61" s="577"/>
      <c r="N61" s="558"/>
      <c r="O61" s="558"/>
      <c r="P61" s="558"/>
      <c r="Q61" s="560"/>
      <c r="R61" s="560"/>
    </row>
    <row r="62" spans="2:18" s="540" customFormat="1" ht="18" customHeight="1" thickBot="1">
      <c r="B62" s="537" t="s">
        <v>105</v>
      </c>
      <c r="C62" s="538" t="s">
        <v>219</v>
      </c>
      <c r="D62" s="1392">
        <f aca="true" t="shared" si="7" ref="D62:L62">SUM(D12:D61)</f>
        <v>343738</v>
      </c>
      <c r="E62" s="1393">
        <f t="shared" si="7"/>
        <v>715884</v>
      </c>
      <c r="F62" s="1463">
        <f t="shared" si="7"/>
        <v>4028265</v>
      </c>
      <c r="G62" s="1476">
        <f t="shared" si="7"/>
        <v>7325235</v>
      </c>
      <c r="H62" s="539">
        <f t="shared" si="7"/>
        <v>12413122</v>
      </c>
      <c r="I62" s="539">
        <f t="shared" si="7"/>
        <v>5075164.8</v>
      </c>
      <c r="J62" s="539">
        <f t="shared" si="7"/>
        <v>7337957.2</v>
      </c>
      <c r="K62" s="539">
        <f t="shared" si="7"/>
        <v>0</v>
      </c>
      <c r="L62" s="539">
        <f t="shared" si="7"/>
        <v>12413122</v>
      </c>
      <c r="M62" s="577"/>
      <c r="N62" s="566"/>
      <c r="O62" s="566"/>
      <c r="P62" s="566"/>
      <c r="Q62" s="567"/>
      <c r="R62" s="567"/>
    </row>
    <row r="63" spans="2:18" s="544" customFormat="1" ht="18" customHeight="1">
      <c r="B63" s="1629">
        <f>B61+1</f>
        <v>33</v>
      </c>
      <c r="C63" s="1638" t="s">
        <v>96</v>
      </c>
      <c r="D63" s="1397">
        <f>'bevétfő '!I10+'bevétfő '!I11+'bevétfő '!I12-D59+1226+4906</f>
        <v>1549067</v>
      </c>
      <c r="E63" s="1398">
        <f>170322-31623-3326</f>
        <v>135373</v>
      </c>
      <c r="F63" s="1464">
        <f>H63-D63-E63-G63</f>
        <v>2119140</v>
      </c>
      <c r="G63" s="1471">
        <f>74870+23790+81575</f>
        <v>180235</v>
      </c>
      <c r="H63" s="1390">
        <f>L63</f>
        <v>3983815</v>
      </c>
      <c r="I63" s="545">
        <f>H63-(200*593)+19138</f>
        <v>3884353</v>
      </c>
      <c r="J63" s="551">
        <f t="shared" si="3"/>
        <v>99462</v>
      </c>
      <c r="K63" s="542"/>
      <c r="L63" s="543">
        <f>'önállóan gazd.'!N34</f>
        <v>3983815</v>
      </c>
      <c r="M63" s="578"/>
      <c r="N63" s="568" t="s">
        <v>460</v>
      </c>
      <c r="O63" s="568"/>
      <c r="P63" s="566"/>
      <c r="Q63" s="567"/>
      <c r="R63" s="567"/>
    </row>
    <row r="64" spans="2:18" s="544" customFormat="1" ht="18" customHeight="1" thickBot="1">
      <c r="B64" s="1630">
        <f>B63+1</f>
        <v>34</v>
      </c>
      <c r="C64" s="1639" t="s">
        <v>214</v>
      </c>
      <c r="D64" s="1707">
        <f>309+1201</f>
        <v>1510</v>
      </c>
      <c r="E64" s="1399">
        <f>107+10206+947</f>
        <v>11260</v>
      </c>
      <c r="F64" s="1465">
        <f>H64-D64-E64-G64</f>
        <v>1237216</v>
      </c>
      <c r="G64" s="1400">
        <f>89338+102160</f>
        <v>191498</v>
      </c>
      <c r="H64" s="1391">
        <f>L64</f>
        <v>1441484</v>
      </c>
      <c r="I64" s="546">
        <f>L64-K64-J64</f>
        <v>1428831</v>
      </c>
      <c r="J64" s="551">
        <f>'[4]Polgármesteri Hivatal'!$L$33</f>
        <v>0</v>
      </c>
      <c r="K64" s="555">
        <f>'[6]Polgármesteri Hivatal'!$T$30+'[6]Polgármesteri Hivatal'!$T$31+'[6]Polgármesteri Hivatal'!$T$33+'[6]Polgármesteri Hivatal'!$T$35</f>
        <v>12653</v>
      </c>
      <c r="L64" s="543">
        <f>'önállóan gazd.'!Q60</f>
        <v>1441484</v>
      </c>
      <c r="M64" s="578"/>
      <c r="N64" s="557"/>
      <c r="O64" s="568" t="s">
        <v>232</v>
      </c>
      <c r="P64" s="567"/>
      <c r="Q64" s="568"/>
      <c r="R64" s="567"/>
    </row>
    <row r="65" spans="2:18" s="549" customFormat="1" ht="18" customHeight="1" thickBot="1">
      <c r="B65" s="547" t="s">
        <v>112</v>
      </c>
      <c r="C65" s="1640" t="s">
        <v>218</v>
      </c>
      <c r="D65" s="1394">
        <f aca="true" t="shared" si="8" ref="D65:L65">SUM(D63:D64)</f>
        <v>1550577</v>
      </c>
      <c r="E65" s="1395">
        <f t="shared" si="8"/>
        <v>146633</v>
      </c>
      <c r="F65" s="1396">
        <f t="shared" si="8"/>
        <v>3356356</v>
      </c>
      <c r="G65" s="1474">
        <f>SUM(G63:G64)</f>
        <v>371733</v>
      </c>
      <c r="H65" s="548">
        <f t="shared" si="8"/>
        <v>5425299</v>
      </c>
      <c r="I65" s="548">
        <f t="shared" si="8"/>
        <v>5313184</v>
      </c>
      <c r="J65" s="548">
        <f t="shared" si="8"/>
        <v>99462</v>
      </c>
      <c r="K65" s="548">
        <f t="shared" si="8"/>
        <v>12653</v>
      </c>
      <c r="L65" s="539">
        <f t="shared" si="8"/>
        <v>5425299</v>
      </c>
      <c r="M65" s="577"/>
      <c r="N65" s="558"/>
      <c r="P65" s="558"/>
      <c r="Q65" s="558"/>
      <c r="R65" s="558"/>
    </row>
    <row r="66" spans="2:18" s="515" customFormat="1" ht="21.75" customHeight="1" thickBot="1">
      <c r="B66" s="512" t="s">
        <v>115</v>
      </c>
      <c r="C66" s="513" t="s">
        <v>229</v>
      </c>
      <c r="D66" s="584">
        <f aca="true" t="shared" si="9" ref="D66:L66">D62+D65</f>
        <v>1894315</v>
      </c>
      <c r="E66" s="1282">
        <f t="shared" si="9"/>
        <v>862517</v>
      </c>
      <c r="F66" s="1466">
        <f t="shared" si="9"/>
        <v>7384621</v>
      </c>
      <c r="G66" s="1475">
        <f>G62+G65</f>
        <v>7696968</v>
      </c>
      <c r="H66" s="514">
        <f t="shared" si="9"/>
        <v>17838421</v>
      </c>
      <c r="I66" s="514">
        <f t="shared" si="9"/>
        <v>10388348.8</v>
      </c>
      <c r="J66" s="514">
        <f t="shared" si="9"/>
        <v>7437419.2</v>
      </c>
      <c r="K66" s="514">
        <f t="shared" si="9"/>
        <v>12653</v>
      </c>
      <c r="L66" s="1033">
        <f t="shared" si="9"/>
        <v>17838421</v>
      </c>
      <c r="M66" s="577"/>
      <c r="N66" s="569"/>
      <c r="O66" s="558"/>
      <c r="P66" s="570"/>
      <c r="Q66" s="558"/>
      <c r="R66" s="558"/>
    </row>
    <row r="67" spans="4:12" ht="12.75">
      <c r="D67" s="507"/>
      <c r="E67" s="507"/>
      <c r="F67" s="511"/>
      <c r="G67" s="511"/>
      <c r="H67" s="511">
        <f>SUM(D66:G66)</f>
        <v>17838421</v>
      </c>
      <c r="I67" s="508"/>
      <c r="J67" s="508"/>
      <c r="K67" s="508"/>
      <c r="L67" s="327">
        <f>SUM(I66:K66)</f>
        <v>17838421</v>
      </c>
    </row>
    <row r="68" spans="4:14" ht="12.75">
      <c r="D68" s="511">
        <f>'bevétfő '!I8+'bevétfő '!I62</f>
        <v>1894315</v>
      </c>
      <c r="E68" s="511">
        <f>'bevétfő '!I16+'bevétfő '!I59+'bevétfő '!I63+'bevétfő '!I76</f>
        <v>862517</v>
      </c>
      <c r="F68" s="507"/>
      <c r="G68" s="511">
        <f>'bevétfő '!I91</f>
        <v>7696968</v>
      </c>
      <c r="H68" s="511">
        <f>'bevétfő '!I92</f>
        <v>17838421</v>
      </c>
      <c r="I68" s="508"/>
      <c r="J68" s="509"/>
      <c r="K68" s="509"/>
      <c r="L68" s="328">
        <f>'kiadfő '!H78</f>
        <v>17838421</v>
      </c>
      <c r="N68" s="572"/>
    </row>
    <row r="69" spans="4:11" ht="12.75">
      <c r="D69" s="507"/>
      <c r="E69" s="507"/>
      <c r="F69" s="507"/>
      <c r="G69" s="507"/>
      <c r="I69" s="508"/>
      <c r="J69" s="509"/>
      <c r="K69" s="509"/>
    </row>
    <row r="70" spans="4:12" ht="12.75">
      <c r="D70" s="511">
        <f>D66-D68</f>
        <v>0</v>
      </c>
      <c r="E70" s="511">
        <f>E66-E68</f>
        <v>0</v>
      </c>
      <c r="F70" s="511"/>
      <c r="G70" s="511">
        <f>G66-G68</f>
        <v>0</v>
      </c>
      <c r="H70" s="511">
        <f>H66-H68</f>
        <v>0</v>
      </c>
      <c r="I70" s="508"/>
      <c r="J70" s="509"/>
      <c r="K70" s="509"/>
      <c r="L70" s="328">
        <f>L66-L68</f>
        <v>0</v>
      </c>
    </row>
    <row r="71" spans="4:11" ht="12.75">
      <c r="D71" s="507"/>
      <c r="E71" s="507"/>
      <c r="F71" s="507"/>
      <c r="G71" s="507"/>
      <c r="H71" s="507"/>
      <c r="I71" s="508"/>
      <c r="J71" s="509"/>
      <c r="K71" s="509"/>
    </row>
    <row r="72" spans="4:11" ht="12.75">
      <c r="D72" s="508"/>
      <c r="E72" s="507"/>
      <c r="F72" s="507"/>
      <c r="G72" s="507"/>
      <c r="H72" s="625"/>
      <c r="I72" s="508"/>
      <c r="J72" s="509"/>
      <c r="K72" s="509"/>
    </row>
    <row r="73" spans="4:11" ht="12.75">
      <c r="D73" s="507"/>
      <c r="E73" s="507"/>
      <c r="F73" s="507"/>
      <c r="G73" s="507"/>
      <c r="H73" s="507"/>
      <c r="I73" s="510"/>
      <c r="J73" s="509"/>
      <c r="K73" s="509"/>
    </row>
    <row r="74" spans="4:11" ht="12.75">
      <c r="D74" s="507"/>
      <c r="E74" s="507"/>
      <c r="F74" s="507"/>
      <c r="G74" s="507"/>
      <c r="H74" s="507"/>
      <c r="I74" s="510"/>
      <c r="J74" s="509"/>
      <c r="K74" s="509"/>
    </row>
    <row r="75" spans="4:11" ht="12.75">
      <c r="D75" s="507"/>
      <c r="E75" s="507"/>
      <c r="F75" s="507"/>
      <c r="G75" s="507"/>
      <c r="H75" s="507"/>
      <c r="I75" s="510" t="s">
        <v>94</v>
      </c>
      <c r="J75" s="509"/>
      <c r="K75" s="509"/>
    </row>
    <row r="76" spans="4:11" ht="12.75">
      <c r="D76" s="507"/>
      <c r="E76" s="507"/>
      <c r="F76" s="507"/>
      <c r="G76" s="507"/>
      <c r="H76" s="507"/>
      <c r="I76" s="510"/>
      <c r="J76" s="509"/>
      <c r="K76" s="509"/>
    </row>
    <row r="77" spans="4:11" ht="12.75">
      <c r="D77" s="507"/>
      <c r="E77" s="507"/>
      <c r="F77" s="507"/>
      <c r="G77" s="507"/>
      <c r="H77" s="507"/>
      <c r="I77" s="510"/>
      <c r="J77" s="509"/>
      <c r="K77" s="509"/>
    </row>
    <row r="78" spans="4:11" ht="12.75">
      <c r="D78" s="507"/>
      <c r="E78" s="507"/>
      <c r="F78" s="507"/>
      <c r="G78" s="507"/>
      <c r="H78" s="507"/>
      <c r="I78" s="510"/>
      <c r="J78" s="509"/>
      <c r="K78" s="509"/>
    </row>
    <row r="79" spans="4:11" ht="12.75">
      <c r="D79" s="507"/>
      <c r="E79" s="507"/>
      <c r="F79" s="507"/>
      <c r="G79" s="507"/>
      <c r="H79" s="507"/>
      <c r="I79" s="510"/>
      <c r="J79" s="509"/>
      <c r="K79" s="509"/>
    </row>
    <row r="80" spans="4:11" ht="12.75">
      <c r="D80" s="507"/>
      <c r="E80" s="507"/>
      <c r="F80" s="507"/>
      <c r="G80" s="507"/>
      <c r="H80" s="507"/>
      <c r="I80" s="510"/>
      <c r="J80" s="509"/>
      <c r="K80" s="509"/>
    </row>
    <row r="81" spans="4:11" ht="12.75">
      <c r="D81" s="507"/>
      <c r="E81" s="507"/>
      <c r="F81" s="507"/>
      <c r="G81" s="507"/>
      <c r="H81" s="507"/>
      <c r="I81" s="510"/>
      <c r="J81" s="509"/>
      <c r="K81" s="509"/>
    </row>
    <row r="82" spans="4:11" ht="12.75">
      <c r="D82" s="507"/>
      <c r="E82" s="507"/>
      <c r="F82" s="507"/>
      <c r="G82" s="507"/>
      <c r="H82" s="507"/>
      <c r="I82" s="510"/>
      <c r="J82" s="509"/>
      <c r="K82" s="509"/>
    </row>
    <row r="83" spans="4:11" ht="12.75">
      <c r="D83" s="507"/>
      <c r="E83" s="507"/>
      <c r="F83" s="507"/>
      <c r="G83" s="507"/>
      <c r="H83" s="507"/>
      <c r="I83" s="510"/>
      <c r="J83" s="509"/>
      <c r="K83" s="509"/>
    </row>
    <row r="84" spans="4:11" ht="12.75">
      <c r="D84" s="507"/>
      <c r="E84" s="507"/>
      <c r="F84" s="507"/>
      <c r="G84" s="507"/>
      <c r="H84" s="507"/>
      <c r="I84" s="510"/>
      <c r="J84" s="509"/>
      <c r="K84" s="509"/>
    </row>
    <row r="85" spans="4:11" ht="12.75">
      <c r="D85" s="507"/>
      <c r="E85" s="507"/>
      <c r="F85" s="507"/>
      <c r="G85" s="507"/>
      <c r="H85" s="507"/>
      <c r="I85" s="510"/>
      <c r="J85" s="509"/>
      <c r="K85" s="509"/>
    </row>
    <row r="86" spans="4:11" ht="12.75">
      <c r="D86" s="507"/>
      <c r="E86" s="507"/>
      <c r="F86" s="507"/>
      <c r="G86" s="507"/>
      <c r="H86" s="507"/>
      <c r="I86" s="510"/>
      <c r="J86" s="509"/>
      <c r="K86" s="509"/>
    </row>
    <row r="87" spans="4:11" ht="12.75">
      <c r="D87" s="507"/>
      <c r="E87" s="507"/>
      <c r="F87" s="507"/>
      <c r="G87" s="507"/>
      <c r="H87" s="507"/>
      <c r="I87" s="510"/>
      <c r="J87" s="509"/>
      <c r="K87" s="509"/>
    </row>
    <row r="88" spans="4:11" ht="12.75">
      <c r="D88" s="507"/>
      <c r="E88" s="507"/>
      <c r="F88" s="507"/>
      <c r="G88" s="507"/>
      <c r="H88" s="507"/>
      <c r="I88" s="510"/>
      <c r="J88" s="509"/>
      <c r="K88" s="509"/>
    </row>
    <row r="89" spans="4:11" ht="12.75">
      <c r="D89" s="507"/>
      <c r="E89" s="507"/>
      <c r="F89" s="507"/>
      <c r="G89" s="507"/>
      <c r="H89" s="507"/>
      <c r="I89" s="510"/>
      <c r="J89" s="509"/>
      <c r="K89" s="509"/>
    </row>
    <row r="90" spans="4:11" ht="12.75">
      <c r="D90" s="507"/>
      <c r="E90" s="507"/>
      <c r="F90" s="507"/>
      <c r="G90" s="507"/>
      <c r="H90" s="507"/>
      <c r="I90" s="510"/>
      <c r="J90" s="509"/>
      <c r="K90" s="509"/>
    </row>
    <row r="91" spans="4:11" ht="12.75">
      <c r="D91" s="507"/>
      <c r="E91" s="507"/>
      <c r="F91" s="507"/>
      <c r="G91" s="507"/>
      <c r="H91" s="507"/>
      <c r="I91" s="510"/>
      <c r="J91" s="509"/>
      <c r="K91" s="509"/>
    </row>
    <row r="92" spans="4:11" ht="12.75">
      <c r="D92" s="507"/>
      <c r="E92" s="507"/>
      <c r="F92" s="507"/>
      <c r="G92" s="507"/>
      <c r="H92" s="507"/>
      <c r="I92" s="510"/>
      <c r="J92" s="509"/>
      <c r="K92" s="509"/>
    </row>
    <row r="93" spans="4:11" ht="12.75">
      <c r="D93" s="507"/>
      <c r="E93" s="507"/>
      <c r="F93" s="507"/>
      <c r="G93" s="507"/>
      <c r="H93" s="507"/>
      <c r="I93" s="510"/>
      <c r="J93" s="509"/>
      <c r="K93" s="509"/>
    </row>
    <row r="94" spans="4:11" ht="12.75">
      <c r="D94" s="507"/>
      <c r="E94" s="507"/>
      <c r="F94" s="507"/>
      <c r="G94" s="507"/>
      <c r="H94" s="507"/>
      <c r="I94" s="510"/>
      <c r="J94" s="509"/>
      <c r="K94" s="509"/>
    </row>
    <row r="95" spans="4:11" ht="12.75">
      <c r="D95" s="507"/>
      <c r="E95" s="507"/>
      <c r="F95" s="507"/>
      <c r="G95" s="507"/>
      <c r="H95" s="507"/>
      <c r="I95" s="510"/>
      <c r="J95" s="509"/>
      <c r="K95" s="509"/>
    </row>
    <row r="96" spans="4:11" ht="12.75">
      <c r="D96" s="507"/>
      <c r="E96" s="507"/>
      <c r="F96" s="507"/>
      <c r="G96" s="507"/>
      <c r="H96" s="507"/>
      <c r="I96" s="510"/>
      <c r="J96" s="509"/>
      <c r="K96" s="509"/>
    </row>
    <row r="97" spans="4:11" ht="12.75">
      <c r="D97" s="507"/>
      <c r="E97" s="507"/>
      <c r="F97" s="507"/>
      <c r="G97" s="507"/>
      <c r="H97" s="507"/>
      <c r="I97" s="510"/>
      <c r="J97" s="509"/>
      <c r="K97" s="509"/>
    </row>
    <row r="98" spans="4:11" ht="12.75">
      <c r="D98" s="507"/>
      <c r="E98" s="507"/>
      <c r="F98" s="507"/>
      <c r="G98" s="507"/>
      <c r="H98" s="507"/>
      <c r="I98" s="510"/>
      <c r="J98" s="509"/>
      <c r="K98" s="509"/>
    </row>
    <row r="99" spans="4:11" ht="12.75">
      <c r="D99" s="507"/>
      <c r="E99" s="507"/>
      <c r="F99" s="507"/>
      <c r="G99" s="507"/>
      <c r="H99" s="507"/>
      <c r="I99" s="510"/>
      <c r="J99" s="509"/>
      <c r="K99" s="509"/>
    </row>
    <row r="100" spans="4:11" ht="12.75">
      <c r="D100" s="507"/>
      <c r="E100" s="507"/>
      <c r="F100" s="507"/>
      <c r="G100" s="507"/>
      <c r="H100" s="507"/>
      <c r="I100" s="510"/>
      <c r="J100" s="509"/>
      <c r="K100" s="509"/>
    </row>
  </sheetData>
  <sheetProtection/>
  <mergeCells count="16">
    <mergeCell ref="B4:L4"/>
    <mergeCell ref="C8:C10"/>
    <mergeCell ref="B8:B10"/>
    <mergeCell ref="B5:L5"/>
    <mergeCell ref="F9:F10"/>
    <mergeCell ref="G9:G10"/>
    <mergeCell ref="H9:H10"/>
    <mergeCell ref="D8:H8"/>
    <mergeCell ref="D9:D10"/>
    <mergeCell ref="E9:E10"/>
    <mergeCell ref="I8:L8"/>
    <mergeCell ref="B6:L6"/>
    <mergeCell ref="I9:I10"/>
    <mergeCell ref="J9:J10"/>
    <mergeCell ref="K9:K10"/>
    <mergeCell ref="L9:L10"/>
  </mergeCells>
  <printOptions horizontalCentered="1" verticalCentered="1"/>
  <pageMargins left="0.7874015748031497" right="0.7874015748031497" top="0.58" bottom="0.67" header="0.5118110236220472" footer="0.5118110236220472"/>
  <pageSetup fitToHeight="1" fitToWidth="1" horizontalDpi="600" verticalDpi="600" orientation="landscape" paperSize="9" scale="41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4"/>
  <sheetViews>
    <sheetView showGridLines="0" zoomScale="75" zoomScaleNormal="75" zoomScaleSheetLayoutView="50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3" width="15.875" style="96" customWidth="1"/>
    <col min="4" max="4" width="15.50390625" style="96" customWidth="1"/>
    <col min="5" max="9" width="15.875" style="96" customWidth="1"/>
    <col min="10" max="10" width="14.375" style="96" customWidth="1"/>
    <col min="11" max="12" width="15.875" style="96" customWidth="1"/>
    <col min="13" max="13" width="14.375" style="96" customWidth="1"/>
    <col min="14" max="15" width="15.875" style="96" customWidth="1"/>
    <col min="16" max="16" width="13.875" style="96" customWidth="1"/>
    <col min="17" max="17" width="15.875" style="96" customWidth="1"/>
  </cols>
  <sheetData>
    <row r="1" spans="1:17" ht="10.5" customHeight="1">
      <c r="A1" s="346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940" t="s">
        <v>869</v>
      </c>
    </row>
    <row r="2" spans="1:17" ht="12.75" customHeight="1">
      <c r="A2" s="346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940" t="s">
        <v>102</v>
      </c>
    </row>
    <row r="3" spans="1:17" ht="10.5" customHeight="1">
      <c r="A3" s="346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941" t="s">
        <v>133</v>
      </c>
    </row>
    <row r="4" spans="1:17" ht="20.25">
      <c r="A4" s="942" t="s">
        <v>134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</row>
    <row r="5" spans="1:17" ht="18">
      <c r="A5" s="943" t="s">
        <v>569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</row>
    <row r="6" spans="1:17" ht="18.75" thickBot="1">
      <c r="A6" s="943"/>
      <c r="B6" s="943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4" t="s">
        <v>145</v>
      </c>
    </row>
    <row r="7" spans="1:17" ht="18">
      <c r="A7" s="260" t="s">
        <v>135</v>
      </c>
      <c r="B7" s="95" t="s">
        <v>136</v>
      </c>
      <c r="C7" s="1829" t="s">
        <v>362</v>
      </c>
      <c r="D7" s="1830"/>
      <c r="E7" s="1831"/>
      <c r="F7" s="1829" t="s">
        <v>167</v>
      </c>
      <c r="G7" s="1830"/>
      <c r="H7" s="1831"/>
      <c r="I7" s="1829" t="s">
        <v>168</v>
      </c>
      <c r="J7" s="1830"/>
      <c r="K7" s="1831"/>
      <c r="L7" s="1829" t="s">
        <v>170</v>
      </c>
      <c r="M7" s="1830"/>
      <c r="N7" s="1831"/>
      <c r="O7" s="1829" t="s">
        <v>171</v>
      </c>
      <c r="P7" s="1830"/>
      <c r="Q7" s="1831"/>
    </row>
    <row r="8" spans="1:17" s="26" customFormat="1" ht="24.75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24" t="s">
        <v>463</v>
      </c>
      <c r="P8" s="23" t="s">
        <v>139</v>
      </c>
      <c r="Q8" s="11" t="s">
        <v>665</v>
      </c>
    </row>
    <row r="9" spans="1:17" s="91" customFormat="1" ht="12" thickBot="1">
      <c r="A9" s="467">
        <v>1</v>
      </c>
      <c r="B9" s="88">
        <v>2</v>
      </c>
      <c r="C9" s="945">
        <v>3</v>
      </c>
      <c r="D9" s="946">
        <v>4</v>
      </c>
      <c r="E9" s="947">
        <v>5</v>
      </c>
      <c r="F9" s="945">
        <v>6</v>
      </c>
      <c r="G9" s="946">
        <v>7</v>
      </c>
      <c r="H9" s="947">
        <v>8</v>
      </c>
      <c r="I9" s="945">
        <v>9</v>
      </c>
      <c r="J9" s="946">
        <v>10</v>
      </c>
      <c r="K9" s="947">
        <v>11</v>
      </c>
      <c r="L9" s="945">
        <v>12</v>
      </c>
      <c r="M9" s="946">
        <v>13</v>
      </c>
      <c r="N9" s="947">
        <v>14</v>
      </c>
      <c r="O9" s="945">
        <v>15</v>
      </c>
      <c r="P9" s="946">
        <v>16</v>
      </c>
      <c r="Q9" s="947">
        <v>17</v>
      </c>
    </row>
    <row r="10" spans="1:17" s="26" customFormat="1" ht="18.75" thickBot="1">
      <c r="A10" s="427"/>
      <c r="B10" s="472" t="s">
        <v>140</v>
      </c>
      <c r="C10" s="431"/>
      <c r="D10" s="998"/>
      <c r="E10" s="474"/>
      <c r="F10" s="428"/>
      <c r="G10" s="429"/>
      <c r="H10" s="474"/>
      <c r="I10" s="428"/>
      <c r="J10" s="429"/>
      <c r="K10" s="474"/>
      <c r="L10" s="428"/>
      <c r="M10" s="429"/>
      <c r="N10" s="474"/>
      <c r="O10" s="428"/>
      <c r="P10" s="429"/>
      <c r="Q10" s="474"/>
    </row>
    <row r="11" spans="1:17" s="188" customFormat="1" ht="17.25" customHeight="1" thickBot="1">
      <c r="A11" s="357">
        <v>1</v>
      </c>
      <c r="B11" s="348" t="s">
        <v>123</v>
      </c>
      <c r="C11" s="363">
        <v>858158</v>
      </c>
      <c r="D11" s="360">
        <v>25719</v>
      </c>
      <c r="E11" s="359">
        <f>SUM(C11:D11)</f>
        <v>883877</v>
      </c>
      <c r="F11" s="363">
        <v>330047</v>
      </c>
      <c r="G11" s="360">
        <v>20969</v>
      </c>
      <c r="H11" s="359">
        <f>F11+G11</f>
        <v>351016</v>
      </c>
      <c r="I11" s="358">
        <v>204114</v>
      </c>
      <c r="J11" s="358">
        <v>-23811</v>
      </c>
      <c r="K11" s="359">
        <f>I11+J11</f>
        <v>180303</v>
      </c>
      <c r="L11" s="358">
        <v>209399</v>
      </c>
      <c r="M11" s="358">
        <v>2959</v>
      </c>
      <c r="N11" s="359">
        <f>L11+M11</f>
        <v>212358</v>
      </c>
      <c r="O11" s="360">
        <v>108205</v>
      </c>
      <c r="P11" s="358">
        <v>4931</v>
      </c>
      <c r="Q11" s="359">
        <f aca="true" t="shared" si="0" ref="Q11:Q16">SUM(O11:P11)</f>
        <v>113136</v>
      </c>
    </row>
    <row r="12" spans="1:17" s="189" customFormat="1" ht="17.25" customHeight="1" thickBot="1">
      <c r="A12" s="361">
        <v>2</v>
      </c>
      <c r="B12" s="369" t="s">
        <v>213</v>
      </c>
      <c r="C12" s="363">
        <v>192664</v>
      </c>
      <c r="D12" s="360">
        <v>11408</v>
      </c>
      <c r="E12" s="359">
        <f>SUM(C12:D12)</f>
        <v>204072</v>
      </c>
      <c r="F12" s="363">
        <v>74548</v>
      </c>
      <c r="G12" s="360">
        <v>5498</v>
      </c>
      <c r="H12" s="359">
        <f>SUM(F12:G12)</f>
        <v>80046</v>
      </c>
      <c r="I12" s="358">
        <v>44736</v>
      </c>
      <c r="J12" s="358">
        <v>-2453</v>
      </c>
      <c r="K12" s="359">
        <f>SUM(I12:J12)</f>
        <v>42283</v>
      </c>
      <c r="L12" s="358">
        <v>45903</v>
      </c>
      <c r="M12" s="358">
        <v>529</v>
      </c>
      <c r="N12" s="359">
        <f>SUM(L12:M12)</f>
        <v>46432</v>
      </c>
      <c r="O12" s="358">
        <v>24265</v>
      </c>
      <c r="P12" s="358">
        <v>978</v>
      </c>
      <c r="Q12" s="359">
        <f t="shared" si="0"/>
        <v>25243</v>
      </c>
    </row>
    <row r="13" spans="1:17" s="220" customFormat="1" ht="17.25" customHeight="1" thickBot="1">
      <c r="A13" s="361">
        <v>3</v>
      </c>
      <c r="B13" s="348" t="s">
        <v>126</v>
      </c>
      <c r="C13" s="363">
        <v>298687</v>
      </c>
      <c r="D13" s="360">
        <v>1556</v>
      </c>
      <c r="E13" s="359">
        <f>SUM(C13:D13)</f>
        <v>300243</v>
      </c>
      <c r="F13" s="363">
        <v>77247</v>
      </c>
      <c r="G13" s="360">
        <v>2018</v>
      </c>
      <c r="H13" s="359">
        <f>F13+G13</f>
        <v>79265</v>
      </c>
      <c r="I13" s="358">
        <v>26997</v>
      </c>
      <c r="J13" s="358">
        <v>12373</v>
      </c>
      <c r="K13" s="359">
        <f>I13+J13</f>
        <v>39370</v>
      </c>
      <c r="L13" s="358">
        <v>103735</v>
      </c>
      <c r="M13" s="358">
        <v>332</v>
      </c>
      <c r="N13" s="359">
        <f>L13+M13</f>
        <v>104067</v>
      </c>
      <c r="O13" s="360">
        <v>12122</v>
      </c>
      <c r="P13" s="358">
        <v>-248</v>
      </c>
      <c r="Q13" s="359">
        <f t="shared" si="0"/>
        <v>11874</v>
      </c>
    </row>
    <row r="14" spans="1:17" s="220" customFormat="1" ht="17.25" customHeight="1" thickBot="1">
      <c r="A14" s="361">
        <v>4</v>
      </c>
      <c r="B14" s="348" t="s">
        <v>180</v>
      </c>
      <c r="C14" s="363"/>
      <c r="D14" s="360"/>
      <c r="E14" s="364">
        <f>SUM(C14:D14)</f>
        <v>0</v>
      </c>
      <c r="F14" s="360"/>
      <c r="G14" s="360"/>
      <c r="H14" s="364">
        <f>SUM(F14:G14)</f>
        <v>0</v>
      </c>
      <c r="I14" s="363"/>
      <c r="J14" s="360"/>
      <c r="K14" s="364">
        <f>SUM(I14:J14)</f>
        <v>0</v>
      </c>
      <c r="L14" s="363"/>
      <c r="M14" s="360"/>
      <c r="N14" s="364">
        <f>SUM(L14:M14)</f>
        <v>0</v>
      </c>
      <c r="O14" s="363"/>
      <c r="P14" s="360"/>
      <c r="Q14" s="364">
        <f t="shared" si="0"/>
        <v>0</v>
      </c>
    </row>
    <row r="15" spans="1:17" s="188" customFormat="1" ht="17.25" customHeight="1">
      <c r="A15" s="171" t="s">
        <v>108</v>
      </c>
      <c r="B15" s="160" t="s">
        <v>405</v>
      </c>
      <c r="C15" s="257"/>
      <c r="D15" s="256"/>
      <c r="E15" s="274">
        <f>C15+D15</f>
        <v>0</v>
      </c>
      <c r="F15" s="257"/>
      <c r="G15" s="256"/>
      <c r="H15" s="274">
        <f>F15+G15</f>
        <v>0</v>
      </c>
      <c r="I15" s="257"/>
      <c r="J15" s="256"/>
      <c r="K15" s="274">
        <f>I15+J15</f>
        <v>0</v>
      </c>
      <c r="L15" s="257"/>
      <c r="M15" s="256"/>
      <c r="N15" s="274">
        <f>L15+M15</f>
        <v>0</v>
      </c>
      <c r="O15" s="257"/>
      <c r="P15" s="256"/>
      <c r="Q15" s="274">
        <f t="shared" si="0"/>
        <v>0</v>
      </c>
    </row>
    <row r="16" spans="1:17" s="188" customFormat="1" ht="17.25" customHeight="1">
      <c r="A16" s="168" t="s">
        <v>109</v>
      </c>
      <c r="B16" s="164" t="s">
        <v>406</v>
      </c>
      <c r="C16" s="158"/>
      <c r="D16" s="154"/>
      <c r="E16" s="274">
        <f>C16+D16</f>
        <v>0</v>
      </c>
      <c r="F16" s="158"/>
      <c r="G16" s="154"/>
      <c r="H16" s="274">
        <f>F16+G16</f>
        <v>0</v>
      </c>
      <c r="I16" s="158"/>
      <c r="J16" s="154"/>
      <c r="K16" s="274">
        <f>I16+J16</f>
        <v>0</v>
      </c>
      <c r="L16" s="158"/>
      <c r="M16" s="154"/>
      <c r="N16" s="274">
        <f>L16+M16</f>
        <v>0</v>
      </c>
      <c r="O16" s="158"/>
      <c r="P16" s="154"/>
      <c r="Q16" s="274">
        <f t="shared" si="0"/>
        <v>0</v>
      </c>
    </row>
    <row r="17" spans="1:17" s="188" customFormat="1" ht="17.25" customHeight="1">
      <c r="A17" s="168" t="s">
        <v>110</v>
      </c>
      <c r="B17" s="164" t="s">
        <v>407</v>
      </c>
      <c r="C17" s="954"/>
      <c r="D17" s="154"/>
      <c r="E17" s="405">
        <f aca="true" t="shared" si="1" ref="E17:E22">C17+D17</f>
        <v>0</v>
      </c>
      <c r="F17" s="158"/>
      <c r="G17" s="154"/>
      <c r="H17" s="274">
        <f aca="true" t="shared" si="2" ref="H17:H22">F17+G17</f>
        <v>0</v>
      </c>
      <c r="I17" s="158"/>
      <c r="J17" s="154"/>
      <c r="K17" s="274">
        <f aca="true" t="shared" si="3" ref="K17:K22">I17+J17</f>
        <v>0</v>
      </c>
      <c r="L17" s="158"/>
      <c r="M17" s="154"/>
      <c r="N17" s="274">
        <f aca="true" t="shared" si="4" ref="N17:N22">L17+M17</f>
        <v>0</v>
      </c>
      <c r="O17" s="158"/>
      <c r="P17" s="154"/>
      <c r="Q17" s="274">
        <f aca="true" t="shared" si="5" ref="Q17:Q22">SUM(O17:P17)</f>
        <v>0</v>
      </c>
    </row>
    <row r="18" spans="1:17" s="188" customFormat="1" ht="17.25" customHeight="1">
      <c r="A18" s="168" t="s">
        <v>111</v>
      </c>
      <c r="B18" s="162" t="s">
        <v>408</v>
      </c>
      <c r="C18" s="954"/>
      <c r="D18" s="154"/>
      <c r="E18" s="405">
        <f t="shared" si="1"/>
        <v>0</v>
      </c>
      <c r="F18" s="158"/>
      <c r="G18" s="154"/>
      <c r="H18" s="274">
        <f t="shared" si="2"/>
        <v>0</v>
      </c>
      <c r="I18" s="158"/>
      <c r="J18" s="154"/>
      <c r="K18" s="274">
        <f t="shared" si="3"/>
        <v>0</v>
      </c>
      <c r="L18" s="158"/>
      <c r="M18" s="154"/>
      <c r="N18" s="274">
        <f t="shared" si="4"/>
        <v>0</v>
      </c>
      <c r="O18" s="158"/>
      <c r="P18" s="154"/>
      <c r="Q18" s="274">
        <f t="shared" si="5"/>
        <v>0</v>
      </c>
    </row>
    <row r="19" spans="1:17" s="188" customFormat="1" ht="17.25" customHeight="1">
      <c r="A19" s="163" t="s">
        <v>202</v>
      </c>
      <c r="B19" s="164" t="s">
        <v>409</v>
      </c>
      <c r="C19" s="932"/>
      <c r="D19" s="154"/>
      <c r="E19" s="405">
        <f>C19+D19</f>
        <v>0</v>
      </c>
      <c r="F19" s="156"/>
      <c r="G19" s="154"/>
      <c r="H19" s="274">
        <f>F19+G19</f>
        <v>0</v>
      </c>
      <c r="I19" s="156"/>
      <c r="J19" s="154"/>
      <c r="K19" s="274">
        <f>I19+J19</f>
        <v>0</v>
      </c>
      <c r="L19" s="156"/>
      <c r="M19" s="154"/>
      <c r="N19" s="274">
        <f>L19+M19</f>
        <v>0</v>
      </c>
      <c r="O19" s="156"/>
      <c r="P19" s="154"/>
      <c r="Q19" s="274">
        <f>SUM(O19:P19)</f>
        <v>0</v>
      </c>
    </row>
    <row r="20" spans="1:17" s="188" customFormat="1" ht="17.25" customHeight="1">
      <c r="A20" s="163" t="s">
        <v>359</v>
      </c>
      <c r="B20" s="164" t="s">
        <v>410</v>
      </c>
      <c r="C20" s="932"/>
      <c r="D20" s="154"/>
      <c r="E20" s="405">
        <f t="shared" si="1"/>
        <v>0</v>
      </c>
      <c r="F20" s="932"/>
      <c r="G20" s="154"/>
      <c r="H20" s="405">
        <f t="shared" si="2"/>
        <v>0</v>
      </c>
      <c r="I20" s="932"/>
      <c r="J20" s="154"/>
      <c r="K20" s="405">
        <f t="shared" si="3"/>
        <v>0</v>
      </c>
      <c r="L20" s="932"/>
      <c r="M20" s="154"/>
      <c r="N20" s="405">
        <f t="shared" si="4"/>
        <v>0</v>
      </c>
      <c r="O20" s="932"/>
      <c r="P20" s="154"/>
      <c r="Q20" s="405">
        <f t="shared" si="5"/>
        <v>0</v>
      </c>
    </row>
    <row r="21" spans="1:17" s="188" customFormat="1" ht="17.25" customHeight="1">
      <c r="A21" s="163" t="s">
        <v>361</v>
      </c>
      <c r="B21" s="162" t="s">
        <v>411</v>
      </c>
      <c r="C21" s="932"/>
      <c r="D21" s="154"/>
      <c r="E21" s="405">
        <f t="shared" si="1"/>
        <v>0</v>
      </c>
      <c r="F21" s="932"/>
      <c r="G21" s="154"/>
      <c r="H21" s="405">
        <f t="shared" si="2"/>
        <v>0</v>
      </c>
      <c r="I21" s="932"/>
      <c r="J21" s="154"/>
      <c r="K21" s="405">
        <f t="shared" si="3"/>
        <v>0</v>
      </c>
      <c r="L21" s="932"/>
      <c r="M21" s="154"/>
      <c r="N21" s="405">
        <f t="shared" si="4"/>
        <v>0</v>
      </c>
      <c r="O21" s="932"/>
      <c r="P21" s="154"/>
      <c r="Q21" s="405">
        <f t="shared" si="5"/>
        <v>0</v>
      </c>
    </row>
    <row r="22" spans="1:17" s="188" customFormat="1" ht="15" customHeight="1" thickBot="1">
      <c r="A22" s="16" t="s">
        <v>74</v>
      </c>
      <c r="B22" s="378" t="s">
        <v>412</v>
      </c>
      <c r="C22" s="933"/>
      <c r="D22" s="166"/>
      <c r="E22" s="405">
        <f t="shared" si="1"/>
        <v>0</v>
      </c>
      <c r="F22" s="933"/>
      <c r="G22" s="166"/>
      <c r="H22" s="405">
        <f t="shared" si="2"/>
        <v>0</v>
      </c>
      <c r="I22" s="933"/>
      <c r="J22" s="166"/>
      <c r="K22" s="405">
        <f t="shared" si="3"/>
        <v>0</v>
      </c>
      <c r="L22" s="933"/>
      <c r="M22" s="166"/>
      <c r="N22" s="405">
        <f t="shared" si="4"/>
        <v>0</v>
      </c>
      <c r="O22" s="933"/>
      <c r="P22" s="166"/>
      <c r="Q22" s="405">
        <f t="shared" si="5"/>
        <v>0</v>
      </c>
    </row>
    <row r="23" spans="1:17" s="220" customFormat="1" ht="17.25" customHeight="1" thickBot="1">
      <c r="A23" s="361">
        <v>5</v>
      </c>
      <c r="B23" s="348" t="s">
        <v>179</v>
      </c>
      <c r="C23" s="392">
        <f aca="true" t="shared" si="6" ref="C23:Q23">SUM(C15:C22)</f>
        <v>0</v>
      </c>
      <c r="D23" s="358">
        <f t="shared" si="6"/>
        <v>0</v>
      </c>
      <c r="E23" s="364">
        <f t="shared" si="6"/>
        <v>0</v>
      </c>
      <c r="F23" s="374">
        <f t="shared" si="6"/>
        <v>0</v>
      </c>
      <c r="G23" s="358">
        <f t="shared" si="6"/>
        <v>0</v>
      </c>
      <c r="H23" s="374">
        <f t="shared" si="6"/>
        <v>0</v>
      </c>
      <c r="I23" s="392">
        <f t="shared" si="6"/>
        <v>0</v>
      </c>
      <c r="J23" s="358">
        <f t="shared" si="6"/>
        <v>0</v>
      </c>
      <c r="K23" s="364">
        <f t="shared" si="6"/>
        <v>0</v>
      </c>
      <c r="L23" s="392">
        <f t="shared" si="6"/>
        <v>0</v>
      </c>
      <c r="M23" s="358">
        <f t="shared" si="6"/>
        <v>0</v>
      </c>
      <c r="N23" s="364">
        <f t="shared" si="6"/>
        <v>0</v>
      </c>
      <c r="O23" s="392">
        <f t="shared" si="6"/>
        <v>0</v>
      </c>
      <c r="P23" s="358">
        <f t="shared" si="6"/>
        <v>0</v>
      </c>
      <c r="Q23" s="364">
        <f t="shared" si="6"/>
        <v>0</v>
      </c>
    </row>
    <row r="24" spans="1:17" s="188" customFormat="1" ht="17.25" customHeight="1" thickBot="1">
      <c r="A24" s="357">
        <v>6</v>
      </c>
      <c r="B24" s="348" t="s">
        <v>182</v>
      </c>
      <c r="C24" s="362">
        <v>6684</v>
      </c>
      <c r="D24" s="358">
        <v>2099</v>
      </c>
      <c r="E24" s="331">
        <f aca="true" t="shared" si="7" ref="E24:E30">C24+D24</f>
        <v>8783</v>
      </c>
      <c r="F24" s="362">
        <v>3274</v>
      </c>
      <c r="G24" s="358">
        <v>800</v>
      </c>
      <c r="H24" s="331">
        <f aca="true" t="shared" si="8" ref="H24:H30">F24+G24</f>
        <v>4074</v>
      </c>
      <c r="I24" s="362">
        <v>5756</v>
      </c>
      <c r="J24" s="358">
        <v>4</v>
      </c>
      <c r="K24" s="331">
        <f aca="true" t="shared" si="9" ref="K24:K30">I24+J24</f>
        <v>5760</v>
      </c>
      <c r="L24" s="362">
        <v>10154</v>
      </c>
      <c r="M24" s="358"/>
      <c r="N24" s="331">
        <f aca="true" t="shared" si="10" ref="N24:N30">L24+M24</f>
        <v>10154</v>
      </c>
      <c r="O24" s="392">
        <v>1097</v>
      </c>
      <c r="P24" s="358"/>
      <c r="Q24" s="331">
        <f>SUM(O24:P24)</f>
        <v>1097</v>
      </c>
    </row>
    <row r="25" spans="1:17" s="220" customFormat="1" ht="17.25" customHeight="1" thickBot="1">
      <c r="A25" s="357">
        <v>7</v>
      </c>
      <c r="B25" s="348" t="s">
        <v>464</v>
      </c>
      <c r="C25" s="392"/>
      <c r="D25" s="358"/>
      <c r="E25" s="331">
        <f t="shared" si="7"/>
        <v>0</v>
      </c>
      <c r="F25" s="392"/>
      <c r="G25" s="358"/>
      <c r="H25" s="331">
        <f t="shared" si="8"/>
        <v>0</v>
      </c>
      <c r="I25" s="392"/>
      <c r="J25" s="358"/>
      <c r="K25" s="331">
        <f t="shared" si="9"/>
        <v>0</v>
      </c>
      <c r="L25" s="392"/>
      <c r="M25" s="358"/>
      <c r="N25" s="331">
        <f t="shared" si="10"/>
        <v>0</v>
      </c>
      <c r="O25" s="392"/>
      <c r="P25" s="358"/>
      <c r="Q25" s="331">
        <f>SUM(O25:P25)</f>
        <v>0</v>
      </c>
    </row>
    <row r="26" spans="1:17" s="188" customFormat="1" ht="17.25" customHeight="1">
      <c r="A26" s="171" t="s">
        <v>108</v>
      </c>
      <c r="B26" s="164" t="s">
        <v>413</v>
      </c>
      <c r="C26" s="1180"/>
      <c r="D26" s="256"/>
      <c r="E26" s="405">
        <f t="shared" si="7"/>
        <v>0</v>
      </c>
      <c r="F26" s="1180"/>
      <c r="G26" s="256"/>
      <c r="H26" s="405">
        <f t="shared" si="8"/>
        <v>0</v>
      </c>
      <c r="I26" s="1180"/>
      <c r="J26" s="256"/>
      <c r="K26" s="405">
        <f t="shared" si="9"/>
        <v>0</v>
      </c>
      <c r="L26" s="1180"/>
      <c r="M26" s="256"/>
      <c r="N26" s="405">
        <f t="shared" si="10"/>
        <v>0</v>
      </c>
      <c r="O26" s="1180"/>
      <c r="P26" s="256"/>
      <c r="Q26" s="405">
        <f>SUM(O26:P26)</f>
        <v>0</v>
      </c>
    </row>
    <row r="27" spans="1:17" s="188" customFormat="1" ht="17.25" customHeight="1">
      <c r="A27" s="171" t="s">
        <v>109</v>
      </c>
      <c r="B27" s="164" t="s">
        <v>414</v>
      </c>
      <c r="C27" s="1180"/>
      <c r="D27" s="256"/>
      <c r="E27" s="405">
        <f t="shared" si="7"/>
        <v>0</v>
      </c>
      <c r="F27" s="1180"/>
      <c r="G27" s="256"/>
      <c r="H27" s="405">
        <f t="shared" si="8"/>
        <v>0</v>
      </c>
      <c r="I27" s="1180"/>
      <c r="J27" s="256"/>
      <c r="K27" s="405">
        <f t="shared" si="9"/>
        <v>0</v>
      </c>
      <c r="L27" s="1180"/>
      <c r="M27" s="256"/>
      <c r="N27" s="405">
        <f t="shared" si="10"/>
        <v>0</v>
      </c>
      <c r="O27" s="1180"/>
      <c r="P27" s="256"/>
      <c r="Q27" s="405">
        <f aca="true" t="shared" si="11" ref="Q27:Q32">SUM(O27:P27)</f>
        <v>0</v>
      </c>
    </row>
    <row r="28" spans="1:17" s="188" customFormat="1" ht="17.25" customHeight="1">
      <c r="A28" s="171" t="s">
        <v>110</v>
      </c>
      <c r="B28" s="162" t="s">
        <v>415</v>
      </c>
      <c r="C28" s="1180"/>
      <c r="D28" s="256"/>
      <c r="E28" s="405">
        <f t="shared" si="7"/>
        <v>0</v>
      </c>
      <c r="F28" s="1180"/>
      <c r="G28" s="256"/>
      <c r="H28" s="405">
        <f t="shared" si="8"/>
        <v>0</v>
      </c>
      <c r="I28" s="1180"/>
      <c r="J28" s="256"/>
      <c r="K28" s="405">
        <f t="shared" si="9"/>
        <v>0</v>
      </c>
      <c r="L28" s="1180"/>
      <c r="M28" s="256"/>
      <c r="N28" s="405">
        <f t="shared" si="10"/>
        <v>0</v>
      </c>
      <c r="O28" s="1180"/>
      <c r="P28" s="256"/>
      <c r="Q28" s="405">
        <f t="shared" si="11"/>
        <v>0</v>
      </c>
    </row>
    <row r="29" spans="1:17" s="188" customFormat="1" ht="17.25" customHeight="1">
      <c r="A29" s="171" t="s">
        <v>111</v>
      </c>
      <c r="B29" s="164" t="s">
        <v>416</v>
      </c>
      <c r="C29" s="1180"/>
      <c r="D29" s="256"/>
      <c r="E29" s="405">
        <f t="shared" si="7"/>
        <v>0</v>
      </c>
      <c r="F29" s="1180"/>
      <c r="G29" s="256"/>
      <c r="H29" s="405">
        <f t="shared" si="8"/>
        <v>0</v>
      </c>
      <c r="I29" s="1180"/>
      <c r="J29" s="256"/>
      <c r="K29" s="405">
        <f t="shared" si="9"/>
        <v>0</v>
      </c>
      <c r="L29" s="1180"/>
      <c r="M29" s="256"/>
      <c r="N29" s="405">
        <f t="shared" si="10"/>
        <v>0</v>
      </c>
      <c r="O29" s="1180"/>
      <c r="P29" s="256"/>
      <c r="Q29" s="405">
        <f t="shared" si="11"/>
        <v>0</v>
      </c>
    </row>
    <row r="30" spans="1:17" s="188" customFormat="1" ht="17.25" customHeight="1" thickBot="1">
      <c r="A30" s="379" t="s">
        <v>202</v>
      </c>
      <c r="B30" s="162" t="s">
        <v>417</v>
      </c>
      <c r="C30" s="1181"/>
      <c r="D30" s="365"/>
      <c r="E30" s="406">
        <f t="shared" si="7"/>
        <v>0</v>
      </c>
      <c r="F30" s="1181"/>
      <c r="G30" s="365"/>
      <c r="H30" s="406">
        <f t="shared" si="8"/>
        <v>0</v>
      </c>
      <c r="I30" s="1181"/>
      <c r="J30" s="365"/>
      <c r="K30" s="406">
        <f t="shared" si="9"/>
        <v>0</v>
      </c>
      <c r="L30" s="1181"/>
      <c r="M30" s="365"/>
      <c r="N30" s="406">
        <f t="shared" si="10"/>
        <v>0</v>
      </c>
      <c r="O30" s="1181"/>
      <c r="P30" s="365"/>
      <c r="Q30" s="406">
        <f t="shared" si="11"/>
        <v>0</v>
      </c>
    </row>
    <row r="31" spans="1:17" s="220" customFormat="1" ht="17.25" customHeight="1" thickBot="1">
      <c r="A31" s="357">
        <v>8</v>
      </c>
      <c r="B31" s="348" t="s">
        <v>181</v>
      </c>
      <c r="C31" s="392">
        <f aca="true" t="shared" si="12" ref="C31:Q31">SUM(C26:C30)</f>
        <v>0</v>
      </c>
      <c r="D31" s="358">
        <f t="shared" si="12"/>
        <v>0</v>
      </c>
      <c r="E31" s="360">
        <f t="shared" si="12"/>
        <v>0</v>
      </c>
      <c r="F31" s="392">
        <f t="shared" si="12"/>
        <v>0</v>
      </c>
      <c r="G31" s="358">
        <f t="shared" si="12"/>
        <v>0</v>
      </c>
      <c r="H31" s="360">
        <f t="shared" si="12"/>
        <v>0</v>
      </c>
      <c r="I31" s="392">
        <f t="shared" si="12"/>
        <v>0</v>
      </c>
      <c r="J31" s="358">
        <f t="shared" si="12"/>
        <v>0</v>
      </c>
      <c r="K31" s="360">
        <f t="shared" si="12"/>
        <v>0</v>
      </c>
      <c r="L31" s="392">
        <f t="shared" si="12"/>
        <v>0</v>
      </c>
      <c r="M31" s="358">
        <f t="shared" si="12"/>
        <v>0</v>
      </c>
      <c r="N31" s="360">
        <f t="shared" si="12"/>
        <v>0</v>
      </c>
      <c r="O31" s="392">
        <f t="shared" si="12"/>
        <v>0</v>
      </c>
      <c r="P31" s="358">
        <f t="shared" si="12"/>
        <v>0</v>
      </c>
      <c r="Q31" s="364">
        <f t="shared" si="12"/>
        <v>0</v>
      </c>
    </row>
    <row r="32" spans="1:17" s="188" customFormat="1" ht="17.25" customHeight="1" thickBot="1">
      <c r="A32" s="357">
        <v>9</v>
      </c>
      <c r="B32" s="348" t="s">
        <v>187</v>
      </c>
      <c r="C32" s="392"/>
      <c r="D32" s="358"/>
      <c r="E32" s="331">
        <f>C32+D32</f>
        <v>0</v>
      </c>
      <c r="F32" s="392"/>
      <c r="G32" s="358"/>
      <c r="H32" s="331">
        <f>F32+G32</f>
        <v>0</v>
      </c>
      <c r="I32" s="392"/>
      <c r="J32" s="358"/>
      <c r="K32" s="331">
        <f>I32+J32</f>
        <v>0</v>
      </c>
      <c r="L32" s="392"/>
      <c r="M32" s="358"/>
      <c r="N32" s="331">
        <f>L32+M32</f>
        <v>0</v>
      </c>
      <c r="O32" s="392"/>
      <c r="P32" s="358"/>
      <c r="Q32" s="331">
        <f t="shared" si="11"/>
        <v>0</v>
      </c>
    </row>
    <row r="33" spans="1:17" s="167" customFormat="1" ht="17.25" customHeight="1" thickBot="1">
      <c r="A33" s="412">
        <v>10</v>
      </c>
      <c r="B33" s="413"/>
      <c r="C33" s="173"/>
      <c r="D33" s="414"/>
      <c r="E33" s="417">
        <f>SUM(C33:D33)</f>
        <v>0</v>
      </c>
      <c r="F33" s="173"/>
      <c r="G33" s="414"/>
      <c r="H33" s="417">
        <f>SUM(F33:G33)</f>
        <v>0</v>
      </c>
      <c r="I33" s="173"/>
      <c r="J33" s="414"/>
      <c r="K33" s="417">
        <f>SUM(I33:J33)</f>
        <v>0</v>
      </c>
      <c r="L33" s="173"/>
      <c r="M33" s="414"/>
      <c r="N33" s="417">
        <f>SUM(L33:M33)</f>
        <v>0</v>
      </c>
      <c r="O33" s="173"/>
      <c r="P33" s="414"/>
      <c r="Q33" s="417">
        <f>SUM(O33:P33)</f>
        <v>0</v>
      </c>
    </row>
    <row r="34" spans="1:18" s="175" customFormat="1" ht="17.25" customHeight="1" thickBot="1" thickTop="1">
      <c r="A34" s="387" t="s">
        <v>118</v>
      </c>
      <c r="B34" s="411" t="s">
        <v>188</v>
      </c>
      <c r="C34" s="410">
        <f aca="true" t="shared" si="13" ref="C34:Q34">C11+C12+C13+C23+C14+C31+C25+C24+C32+C33</f>
        <v>1356193</v>
      </c>
      <c r="D34" s="388">
        <f t="shared" si="13"/>
        <v>40782</v>
      </c>
      <c r="E34" s="824">
        <f t="shared" si="13"/>
        <v>1396975</v>
      </c>
      <c r="F34" s="410">
        <f t="shared" si="13"/>
        <v>485116</v>
      </c>
      <c r="G34" s="388">
        <f t="shared" si="13"/>
        <v>29285</v>
      </c>
      <c r="H34" s="824">
        <f t="shared" si="13"/>
        <v>514401</v>
      </c>
      <c r="I34" s="410">
        <f t="shared" si="13"/>
        <v>281603</v>
      </c>
      <c r="J34" s="388">
        <f t="shared" si="13"/>
        <v>-13887</v>
      </c>
      <c r="K34" s="824">
        <f t="shared" si="13"/>
        <v>267716</v>
      </c>
      <c r="L34" s="410">
        <f t="shared" si="13"/>
        <v>369191</v>
      </c>
      <c r="M34" s="388">
        <f t="shared" si="13"/>
        <v>3820</v>
      </c>
      <c r="N34" s="824">
        <f t="shared" si="13"/>
        <v>373011</v>
      </c>
      <c r="O34" s="410">
        <f t="shared" si="13"/>
        <v>145689</v>
      </c>
      <c r="P34" s="388">
        <f t="shared" si="13"/>
        <v>5661</v>
      </c>
      <c r="Q34" s="421">
        <f t="shared" si="13"/>
        <v>151350</v>
      </c>
      <c r="R34" s="174"/>
    </row>
    <row r="35" spans="1:21" s="96" customFormat="1" ht="17.25" customHeight="1" thickBot="1" thickTop="1">
      <c r="A35" s="159"/>
      <c r="B35" s="391" t="s">
        <v>142</v>
      </c>
      <c r="C35" s="1182"/>
      <c r="D35" s="345"/>
      <c r="E35" s="1188"/>
      <c r="F35" s="1182"/>
      <c r="G35" s="345"/>
      <c r="H35" s="1188"/>
      <c r="I35" s="1182"/>
      <c r="J35" s="345"/>
      <c r="K35" s="1188"/>
      <c r="L35" s="1182"/>
      <c r="M35" s="345"/>
      <c r="N35" s="1188"/>
      <c r="O35" s="1182"/>
      <c r="P35" s="345"/>
      <c r="Q35" s="1188"/>
      <c r="R35" s="402"/>
      <c r="S35" s="268"/>
      <c r="T35" s="268"/>
      <c r="U35" s="268"/>
    </row>
    <row r="36" spans="1:21" s="806" customFormat="1" ht="17.25" customHeight="1">
      <c r="A36" s="815" t="s">
        <v>108</v>
      </c>
      <c r="B36" s="816" t="s">
        <v>418</v>
      </c>
      <c r="C36" s="818"/>
      <c r="D36" s="817"/>
      <c r="E36" s="819">
        <f>SUM(C36:D36)</f>
        <v>0</v>
      </c>
      <c r="F36" s="818"/>
      <c r="G36" s="817"/>
      <c r="H36" s="819">
        <f>SUM(F36:G36)</f>
        <v>0</v>
      </c>
      <c r="I36" s="818"/>
      <c r="J36" s="817"/>
      <c r="K36" s="819">
        <f>SUM(I36:J36)</f>
        <v>0</v>
      </c>
      <c r="L36" s="818"/>
      <c r="M36" s="817"/>
      <c r="N36" s="819">
        <f>SUM(L36:M36)</f>
        <v>0</v>
      </c>
      <c r="O36" s="1190"/>
      <c r="P36" s="817"/>
      <c r="Q36" s="819">
        <f aca="true" t="shared" si="14" ref="Q36:Q44">SUM(O36:P36)</f>
        <v>0</v>
      </c>
      <c r="R36" s="810"/>
      <c r="S36" s="810"/>
      <c r="T36" s="810"/>
      <c r="U36" s="810"/>
    </row>
    <row r="37" spans="1:21" s="806" customFormat="1" ht="17.25" customHeight="1">
      <c r="A37" s="168" t="s">
        <v>109</v>
      </c>
      <c r="B37" s="164" t="s">
        <v>259</v>
      </c>
      <c r="C37" s="350"/>
      <c r="D37" s="154"/>
      <c r="E37" s="481">
        <f aca="true" t="shared" si="15" ref="E37:E44">C37+D37</f>
        <v>0</v>
      </c>
      <c r="F37" s="350"/>
      <c r="G37" s="154"/>
      <c r="H37" s="481">
        <f aca="true" t="shared" si="16" ref="H37:H44">F37+G37</f>
        <v>0</v>
      </c>
      <c r="I37" s="350"/>
      <c r="J37" s="154"/>
      <c r="K37" s="481">
        <f aca="true" t="shared" si="17" ref="K37:K44">I37+J37</f>
        <v>0</v>
      </c>
      <c r="L37" s="350"/>
      <c r="M37" s="154"/>
      <c r="N37" s="481">
        <f aca="true" t="shared" si="18" ref="N37:N44">L37+M37</f>
        <v>0</v>
      </c>
      <c r="O37" s="954"/>
      <c r="P37" s="154"/>
      <c r="Q37" s="481">
        <f t="shared" si="14"/>
        <v>0</v>
      </c>
      <c r="R37" s="810"/>
      <c r="S37" s="810"/>
      <c r="T37" s="810"/>
      <c r="U37" s="810"/>
    </row>
    <row r="38" spans="1:17" s="806" customFormat="1" ht="17.25" customHeight="1">
      <c r="A38" s="379" t="s">
        <v>110</v>
      </c>
      <c r="B38" s="157" t="s">
        <v>419</v>
      </c>
      <c r="C38" s="373"/>
      <c r="D38" s="365"/>
      <c r="E38" s="406">
        <f t="shared" si="15"/>
        <v>0</v>
      </c>
      <c r="F38" s="373"/>
      <c r="G38" s="365"/>
      <c r="H38" s="406">
        <f t="shared" si="16"/>
        <v>0</v>
      </c>
      <c r="I38" s="373"/>
      <c r="J38" s="365"/>
      <c r="K38" s="406">
        <f t="shared" si="17"/>
        <v>0</v>
      </c>
      <c r="L38" s="373"/>
      <c r="M38" s="365"/>
      <c r="N38" s="406">
        <f t="shared" si="18"/>
        <v>0</v>
      </c>
      <c r="O38" s="1181"/>
      <c r="P38" s="365"/>
      <c r="Q38" s="406">
        <f t="shared" si="14"/>
        <v>0</v>
      </c>
    </row>
    <row r="39" spans="1:17" s="806" customFormat="1" ht="17.25" customHeight="1" thickBot="1">
      <c r="A39" s="169" t="s">
        <v>111</v>
      </c>
      <c r="B39" s="170" t="s">
        <v>423</v>
      </c>
      <c r="C39" s="351"/>
      <c r="D39" s="166"/>
      <c r="E39" s="483">
        <f t="shared" si="15"/>
        <v>0</v>
      </c>
      <c r="F39" s="351"/>
      <c r="G39" s="166"/>
      <c r="H39" s="483">
        <f t="shared" si="16"/>
        <v>0</v>
      </c>
      <c r="I39" s="351"/>
      <c r="J39" s="166"/>
      <c r="K39" s="483">
        <f t="shared" si="17"/>
        <v>0</v>
      </c>
      <c r="L39" s="351"/>
      <c r="M39" s="166"/>
      <c r="N39" s="483">
        <f t="shared" si="18"/>
        <v>0</v>
      </c>
      <c r="O39" s="955"/>
      <c r="P39" s="166"/>
      <c r="Q39" s="483">
        <f t="shared" si="14"/>
        <v>0</v>
      </c>
    </row>
    <row r="40" spans="1:17" s="220" customFormat="1" ht="17.25" customHeight="1" thickBot="1">
      <c r="A40" s="357">
        <v>1</v>
      </c>
      <c r="B40" s="348" t="s">
        <v>185</v>
      </c>
      <c r="C40" s="392">
        <f aca="true" t="shared" si="19" ref="C40:Q40">SUM(C36:C39)</f>
        <v>0</v>
      </c>
      <c r="D40" s="358">
        <f t="shared" si="19"/>
        <v>0</v>
      </c>
      <c r="E40" s="364">
        <f t="shared" si="19"/>
        <v>0</v>
      </c>
      <c r="F40" s="392">
        <f t="shared" si="19"/>
        <v>0</v>
      </c>
      <c r="G40" s="358">
        <f t="shared" si="19"/>
        <v>0</v>
      </c>
      <c r="H40" s="364">
        <f t="shared" si="19"/>
        <v>0</v>
      </c>
      <c r="I40" s="392">
        <f t="shared" si="19"/>
        <v>0</v>
      </c>
      <c r="J40" s="358">
        <f t="shared" si="19"/>
        <v>0</v>
      </c>
      <c r="K40" s="364">
        <f t="shared" si="19"/>
        <v>0</v>
      </c>
      <c r="L40" s="392">
        <f t="shared" si="19"/>
        <v>0</v>
      </c>
      <c r="M40" s="358">
        <f t="shared" si="19"/>
        <v>0</v>
      </c>
      <c r="N40" s="364">
        <f t="shared" si="19"/>
        <v>0</v>
      </c>
      <c r="O40" s="392">
        <f t="shared" si="19"/>
        <v>0</v>
      </c>
      <c r="P40" s="358">
        <f t="shared" si="19"/>
        <v>0</v>
      </c>
      <c r="Q40" s="364">
        <f t="shared" si="19"/>
        <v>0</v>
      </c>
    </row>
    <row r="41" spans="1:17" s="188" customFormat="1" ht="17.25" customHeight="1">
      <c r="A41" s="171" t="s">
        <v>108</v>
      </c>
      <c r="B41" s="160" t="s">
        <v>445</v>
      </c>
      <c r="C41" s="349"/>
      <c r="D41" s="256"/>
      <c r="E41" s="406">
        <f t="shared" si="15"/>
        <v>0</v>
      </c>
      <c r="F41" s="349"/>
      <c r="G41" s="256"/>
      <c r="H41" s="406">
        <f t="shared" si="16"/>
        <v>0</v>
      </c>
      <c r="I41" s="349"/>
      <c r="J41" s="256"/>
      <c r="K41" s="406">
        <f t="shared" si="17"/>
        <v>0</v>
      </c>
      <c r="L41" s="349"/>
      <c r="M41" s="256"/>
      <c r="N41" s="406">
        <f t="shared" si="18"/>
        <v>0</v>
      </c>
      <c r="O41" s="1180"/>
      <c r="P41" s="256"/>
      <c r="Q41" s="405">
        <f t="shared" si="14"/>
        <v>0</v>
      </c>
    </row>
    <row r="42" spans="1:17" s="188" customFormat="1" ht="17.25" customHeight="1">
      <c r="A42" s="168" t="s">
        <v>109</v>
      </c>
      <c r="B42" s="164" t="s">
        <v>420</v>
      </c>
      <c r="C42" s="350"/>
      <c r="D42" s="154"/>
      <c r="E42" s="483">
        <f t="shared" si="15"/>
        <v>0</v>
      </c>
      <c r="F42" s="350"/>
      <c r="G42" s="154"/>
      <c r="H42" s="483">
        <f t="shared" si="16"/>
        <v>0</v>
      </c>
      <c r="I42" s="350"/>
      <c r="J42" s="154"/>
      <c r="K42" s="483">
        <f t="shared" si="17"/>
        <v>0</v>
      </c>
      <c r="L42" s="350"/>
      <c r="M42" s="154"/>
      <c r="N42" s="483">
        <f t="shared" si="18"/>
        <v>0</v>
      </c>
      <c r="O42" s="954"/>
      <c r="P42" s="154"/>
      <c r="Q42" s="481">
        <f t="shared" si="14"/>
        <v>0</v>
      </c>
    </row>
    <row r="43" spans="1:17" s="188" customFormat="1" ht="17.25" customHeight="1">
      <c r="A43" s="168" t="s">
        <v>110</v>
      </c>
      <c r="B43" s="164" t="s">
        <v>421</v>
      </c>
      <c r="C43" s="350"/>
      <c r="D43" s="154"/>
      <c r="E43" s="483">
        <f t="shared" si="15"/>
        <v>0</v>
      </c>
      <c r="F43" s="350"/>
      <c r="G43" s="154"/>
      <c r="H43" s="483">
        <f t="shared" si="16"/>
        <v>0</v>
      </c>
      <c r="I43" s="350"/>
      <c r="J43" s="154"/>
      <c r="K43" s="483">
        <f t="shared" si="17"/>
        <v>0</v>
      </c>
      <c r="L43" s="350"/>
      <c r="M43" s="154"/>
      <c r="N43" s="483">
        <f t="shared" si="18"/>
        <v>0</v>
      </c>
      <c r="O43" s="954"/>
      <c r="P43" s="154"/>
      <c r="Q43" s="481">
        <f t="shared" si="14"/>
        <v>0</v>
      </c>
    </row>
    <row r="44" spans="1:17" s="188" customFormat="1" ht="17.25" customHeight="1" thickBot="1">
      <c r="A44" s="169" t="s">
        <v>111</v>
      </c>
      <c r="B44" s="170" t="s">
        <v>183</v>
      </c>
      <c r="C44" s="351"/>
      <c r="D44" s="166"/>
      <c r="E44" s="483">
        <f t="shared" si="15"/>
        <v>0</v>
      </c>
      <c r="F44" s="351"/>
      <c r="G44" s="166"/>
      <c r="H44" s="483">
        <f t="shared" si="16"/>
        <v>0</v>
      </c>
      <c r="I44" s="351"/>
      <c r="J44" s="166"/>
      <c r="K44" s="483">
        <f t="shared" si="17"/>
        <v>0</v>
      </c>
      <c r="L44" s="351"/>
      <c r="M44" s="166"/>
      <c r="N44" s="483">
        <f t="shared" si="18"/>
        <v>0</v>
      </c>
      <c r="O44" s="955"/>
      <c r="P44" s="166"/>
      <c r="Q44" s="483">
        <f t="shared" si="14"/>
        <v>0</v>
      </c>
    </row>
    <row r="45" spans="1:17" s="220" customFormat="1" ht="17.25" customHeight="1" thickBot="1">
      <c r="A45" s="357">
        <v>2</v>
      </c>
      <c r="B45" s="348" t="s">
        <v>184</v>
      </c>
      <c r="C45" s="392">
        <f>SUM(C41:C44)</f>
        <v>0</v>
      </c>
      <c r="D45" s="358">
        <f aca="true" t="shared" si="20" ref="D45:Q45">SUM(D41:D44)</f>
        <v>0</v>
      </c>
      <c r="E45" s="360">
        <f t="shared" si="20"/>
        <v>0</v>
      </c>
      <c r="F45" s="392">
        <f t="shared" si="20"/>
        <v>0</v>
      </c>
      <c r="G45" s="358">
        <f t="shared" si="20"/>
        <v>0</v>
      </c>
      <c r="H45" s="360">
        <f t="shared" si="20"/>
        <v>0</v>
      </c>
      <c r="I45" s="392">
        <f t="shared" si="20"/>
        <v>0</v>
      </c>
      <c r="J45" s="358">
        <f t="shared" si="20"/>
        <v>0</v>
      </c>
      <c r="K45" s="360">
        <f t="shared" si="20"/>
        <v>0</v>
      </c>
      <c r="L45" s="392">
        <f t="shared" si="20"/>
        <v>0</v>
      </c>
      <c r="M45" s="358">
        <f t="shared" si="20"/>
        <v>0</v>
      </c>
      <c r="N45" s="374">
        <f t="shared" si="20"/>
        <v>0</v>
      </c>
      <c r="O45" s="392">
        <f t="shared" si="20"/>
        <v>0</v>
      </c>
      <c r="P45" s="358">
        <f t="shared" si="20"/>
        <v>0</v>
      </c>
      <c r="Q45" s="364">
        <f t="shared" si="20"/>
        <v>0</v>
      </c>
    </row>
    <row r="46" spans="1:17" s="220" customFormat="1" ht="17.25" customHeight="1" thickBot="1">
      <c r="A46" s="357">
        <v>3</v>
      </c>
      <c r="B46" s="348" t="s">
        <v>278</v>
      </c>
      <c r="C46" s="392">
        <v>50804</v>
      </c>
      <c r="D46" s="358">
        <v>9599</v>
      </c>
      <c r="E46" s="360">
        <f>SUM(C46:D46)</f>
        <v>60403</v>
      </c>
      <c r="F46" s="392">
        <v>9147</v>
      </c>
      <c r="G46" s="358">
        <v>3098</v>
      </c>
      <c r="H46" s="360">
        <f>SUM(F46:G46)</f>
        <v>12245</v>
      </c>
      <c r="I46" s="392">
        <v>3100</v>
      </c>
      <c r="J46" s="358">
        <v>565</v>
      </c>
      <c r="K46" s="360">
        <f>SUM(I46:J46)</f>
        <v>3665</v>
      </c>
      <c r="L46" s="392">
        <v>34175</v>
      </c>
      <c r="M46" s="358">
        <v>1040</v>
      </c>
      <c r="N46" s="374">
        <f>SUM(L46:M46)</f>
        <v>35215</v>
      </c>
      <c r="O46" s="392"/>
      <c r="P46" s="358">
        <v>2</v>
      </c>
      <c r="Q46" s="364">
        <f>SUM(O46:P46)</f>
        <v>2</v>
      </c>
    </row>
    <row r="47" spans="1:17" s="188" customFormat="1" ht="17.25" customHeight="1" thickBot="1">
      <c r="A47" s="357">
        <v>4</v>
      </c>
      <c r="B47" s="348" t="s">
        <v>299</v>
      </c>
      <c r="C47" s="392"/>
      <c r="D47" s="358"/>
      <c r="E47" s="360">
        <f>SUM(C47:D47)</f>
        <v>0</v>
      </c>
      <c r="F47" s="392"/>
      <c r="G47" s="358"/>
      <c r="H47" s="360">
        <f>SUM(F47:G47)</f>
        <v>0</v>
      </c>
      <c r="I47" s="392"/>
      <c r="J47" s="358"/>
      <c r="K47" s="360">
        <f>SUM(I47:J47)</f>
        <v>0</v>
      </c>
      <c r="L47" s="392"/>
      <c r="M47" s="358"/>
      <c r="N47" s="374">
        <f>SUM(L47:M47)</f>
        <v>0</v>
      </c>
      <c r="O47" s="392"/>
      <c r="P47" s="358"/>
      <c r="Q47" s="364">
        <f>SUM(O47:P47)</f>
        <v>0</v>
      </c>
    </row>
    <row r="48" spans="1:17" s="806" customFormat="1" ht="17.25" customHeight="1">
      <c r="A48" s="171" t="s">
        <v>108</v>
      </c>
      <c r="B48" s="157" t="s">
        <v>305</v>
      </c>
      <c r="C48" s="1180"/>
      <c r="D48" s="256"/>
      <c r="E48" s="406">
        <f>C48+D48</f>
        <v>0</v>
      </c>
      <c r="F48" s="1180"/>
      <c r="G48" s="256"/>
      <c r="H48" s="406">
        <f>F48+G48</f>
        <v>0</v>
      </c>
      <c r="I48" s="1180"/>
      <c r="J48" s="256"/>
      <c r="K48" s="406">
        <f>I48+J48</f>
        <v>0</v>
      </c>
      <c r="L48" s="1180"/>
      <c r="M48" s="256"/>
      <c r="N48" s="406">
        <f>L48+M48</f>
        <v>0</v>
      </c>
      <c r="O48" s="1180"/>
      <c r="P48" s="256"/>
      <c r="Q48" s="405">
        <f>SUM(O48:P48)</f>
        <v>0</v>
      </c>
    </row>
    <row r="49" spans="1:17" s="188" customFormat="1" ht="17.25" customHeight="1">
      <c r="A49" s="169" t="s">
        <v>109</v>
      </c>
      <c r="B49" s="378" t="s">
        <v>422</v>
      </c>
      <c r="C49" s="954"/>
      <c r="D49" s="154"/>
      <c r="E49" s="481">
        <f>C49+D49</f>
        <v>0</v>
      </c>
      <c r="F49" s="954"/>
      <c r="G49" s="154"/>
      <c r="H49" s="481">
        <f>F49+G49</f>
        <v>0</v>
      </c>
      <c r="I49" s="954"/>
      <c r="J49" s="154"/>
      <c r="K49" s="481">
        <f>I49+J49</f>
        <v>0</v>
      </c>
      <c r="L49" s="954"/>
      <c r="M49" s="154"/>
      <c r="N49" s="481">
        <f>L49+M49</f>
        <v>0</v>
      </c>
      <c r="O49" s="954"/>
      <c r="P49" s="154"/>
      <c r="Q49" s="481">
        <f>SUM(O49:P49)</f>
        <v>0</v>
      </c>
    </row>
    <row r="50" spans="1:17" s="188" customFormat="1" ht="17.25" customHeight="1" thickBot="1">
      <c r="A50" s="169" t="s">
        <v>110</v>
      </c>
      <c r="B50" s="378" t="s">
        <v>455</v>
      </c>
      <c r="C50" s="954"/>
      <c r="D50" s="154"/>
      <c r="E50" s="481">
        <f>C50+D50</f>
        <v>0</v>
      </c>
      <c r="F50" s="954"/>
      <c r="G50" s="154"/>
      <c r="H50" s="481">
        <f>F50+G50</f>
        <v>0</v>
      </c>
      <c r="I50" s="954"/>
      <c r="J50" s="154"/>
      <c r="K50" s="481">
        <f>I50+J50</f>
        <v>0</v>
      </c>
      <c r="L50" s="954"/>
      <c r="M50" s="154"/>
      <c r="N50" s="481">
        <f>L50+M50</f>
        <v>0</v>
      </c>
      <c r="O50" s="954"/>
      <c r="P50" s="154"/>
      <c r="Q50" s="481">
        <f>SUM(O50:P50)</f>
        <v>0</v>
      </c>
    </row>
    <row r="51" spans="1:17" s="220" customFormat="1" ht="17.25" customHeight="1" thickBot="1">
      <c r="A51" s="357">
        <v>5</v>
      </c>
      <c r="B51" s="348" t="s">
        <v>186</v>
      </c>
      <c r="C51" s="392">
        <f>SUM(C48:C50)</f>
        <v>0</v>
      </c>
      <c r="D51" s="358">
        <f>SUM(D48:D50)</f>
        <v>0</v>
      </c>
      <c r="E51" s="360">
        <f aca="true" t="shared" si="21" ref="E51:Q51">SUM(E48:E50)</f>
        <v>0</v>
      </c>
      <c r="F51" s="392">
        <f t="shared" si="21"/>
        <v>0</v>
      </c>
      <c r="G51" s="358">
        <f t="shared" si="21"/>
        <v>0</v>
      </c>
      <c r="H51" s="360">
        <f t="shared" si="21"/>
        <v>0</v>
      </c>
      <c r="I51" s="392">
        <f t="shared" si="21"/>
        <v>0</v>
      </c>
      <c r="J51" s="358">
        <f t="shared" si="21"/>
        <v>0</v>
      </c>
      <c r="K51" s="360">
        <f t="shared" si="21"/>
        <v>0</v>
      </c>
      <c r="L51" s="392">
        <f t="shared" si="21"/>
        <v>0</v>
      </c>
      <c r="M51" s="358">
        <f t="shared" si="21"/>
        <v>0</v>
      </c>
      <c r="N51" s="360">
        <f t="shared" si="21"/>
        <v>0</v>
      </c>
      <c r="O51" s="392">
        <f t="shared" si="21"/>
        <v>0</v>
      </c>
      <c r="P51" s="358">
        <f t="shared" si="21"/>
        <v>0</v>
      </c>
      <c r="Q51" s="364">
        <f t="shared" si="21"/>
        <v>0</v>
      </c>
    </row>
    <row r="52" spans="1:17" s="220" customFormat="1" ht="17.25" customHeight="1" thickBot="1">
      <c r="A52" s="811">
        <v>6</v>
      </c>
      <c r="B52" s="812" t="s">
        <v>309</v>
      </c>
      <c r="C52" s="1183"/>
      <c r="D52" s="383"/>
      <c r="E52" s="332">
        <f>C52+D52</f>
        <v>0</v>
      </c>
      <c r="F52" s="1189"/>
      <c r="G52" s="383"/>
      <c r="H52" s="332">
        <f>F52+G52</f>
        <v>0</v>
      </c>
      <c r="I52" s="1189"/>
      <c r="J52" s="383"/>
      <c r="K52" s="332">
        <f>I52+J52</f>
        <v>0</v>
      </c>
      <c r="L52" s="1189"/>
      <c r="M52" s="383"/>
      <c r="N52" s="332">
        <f>L52+M52</f>
        <v>0</v>
      </c>
      <c r="O52" s="1189"/>
      <c r="P52" s="383"/>
      <c r="Q52" s="332">
        <f>SUM(O52:P52)</f>
        <v>0</v>
      </c>
    </row>
    <row r="53" spans="1:17" s="188" customFormat="1" ht="17.25" customHeight="1">
      <c r="A53" s="152" t="s">
        <v>108</v>
      </c>
      <c r="B53" s="153" t="s">
        <v>424</v>
      </c>
      <c r="C53" s="1184"/>
      <c r="D53" s="155"/>
      <c r="E53" s="487">
        <f>C53+D53</f>
        <v>0</v>
      </c>
      <c r="F53" s="1184"/>
      <c r="G53" s="155"/>
      <c r="H53" s="487">
        <f>F53+G53</f>
        <v>0</v>
      </c>
      <c r="I53" s="1184"/>
      <c r="J53" s="155"/>
      <c r="K53" s="487">
        <f>I53+J53</f>
        <v>0</v>
      </c>
      <c r="L53" s="1184"/>
      <c r="M53" s="155"/>
      <c r="N53" s="487">
        <f>L53+M53</f>
        <v>0</v>
      </c>
      <c r="O53" s="1184"/>
      <c r="P53" s="155"/>
      <c r="Q53" s="487">
        <f>SUM(O53:P53)</f>
        <v>0</v>
      </c>
    </row>
    <row r="54" spans="1:17" s="188" customFormat="1" ht="17.25" customHeight="1" thickBot="1">
      <c r="A54" s="379" t="s">
        <v>109</v>
      </c>
      <c r="B54" s="157" t="s">
        <v>425</v>
      </c>
      <c r="C54" s="1181"/>
      <c r="D54" s="365"/>
      <c r="E54" s="406">
        <f>C54+D54</f>
        <v>0</v>
      </c>
      <c r="F54" s="1181"/>
      <c r="G54" s="365"/>
      <c r="H54" s="406">
        <f>F54+G54</f>
        <v>0</v>
      </c>
      <c r="I54" s="1181"/>
      <c r="J54" s="365"/>
      <c r="K54" s="406">
        <f>I54+J54</f>
        <v>0</v>
      </c>
      <c r="L54" s="1181"/>
      <c r="M54" s="365"/>
      <c r="N54" s="406">
        <f>L54+M54</f>
        <v>0</v>
      </c>
      <c r="O54" s="1181"/>
      <c r="P54" s="365"/>
      <c r="Q54" s="406">
        <f>SUM(O54:P54)</f>
        <v>0</v>
      </c>
    </row>
    <row r="55" spans="1:17" s="220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>
        <f aca="true" t="shared" si="22" ref="D55:Q55">SUM(D53:D54)</f>
        <v>0</v>
      </c>
      <c r="E55" s="360">
        <f t="shared" si="22"/>
        <v>0</v>
      </c>
      <c r="F55" s="392">
        <f t="shared" si="22"/>
        <v>0</v>
      </c>
      <c r="G55" s="358">
        <f t="shared" si="22"/>
        <v>0</v>
      </c>
      <c r="H55" s="360">
        <f t="shared" si="22"/>
        <v>0</v>
      </c>
      <c r="I55" s="392">
        <f t="shared" si="22"/>
        <v>0</v>
      </c>
      <c r="J55" s="358">
        <f t="shared" si="22"/>
        <v>0</v>
      </c>
      <c r="K55" s="360">
        <f t="shared" si="22"/>
        <v>0</v>
      </c>
      <c r="L55" s="392">
        <f t="shared" si="22"/>
        <v>0</v>
      </c>
      <c r="M55" s="358">
        <f t="shared" si="22"/>
        <v>0</v>
      </c>
      <c r="N55" s="360">
        <f t="shared" si="22"/>
        <v>0</v>
      </c>
      <c r="O55" s="1191">
        <f t="shared" si="22"/>
        <v>0</v>
      </c>
      <c r="P55" s="1193">
        <f t="shared" si="22"/>
        <v>0</v>
      </c>
      <c r="Q55" s="1195">
        <f t="shared" si="22"/>
        <v>0</v>
      </c>
    </row>
    <row r="56" spans="1:18" s="188" customFormat="1" ht="17.25" customHeight="1" thickBot="1">
      <c r="A56" s="394">
        <v>8</v>
      </c>
      <c r="B56" s="395" t="s">
        <v>45</v>
      </c>
      <c r="C56" s="1185">
        <f>C34-C40-C45-C46-C47-C51-C52-C55-C57-C58-C59</f>
        <v>1304885</v>
      </c>
      <c r="D56" s="1187">
        <f>D34-D40-D45-D46-D47-D51-D52-D55-D57-D58-D59</f>
        <v>31183</v>
      </c>
      <c r="E56" s="830">
        <f aca="true" t="shared" si="23" ref="E56:Q56">E34-E40-E45-E46-E47-E51-E52-E55-E57-E58-E59</f>
        <v>1336068</v>
      </c>
      <c r="F56" s="1185">
        <f t="shared" si="23"/>
        <v>475608</v>
      </c>
      <c r="G56" s="1187">
        <f t="shared" si="23"/>
        <v>26187</v>
      </c>
      <c r="H56" s="830">
        <f t="shared" si="23"/>
        <v>501795</v>
      </c>
      <c r="I56" s="1185">
        <f t="shared" si="23"/>
        <v>278464</v>
      </c>
      <c r="J56" s="1187">
        <f t="shared" si="23"/>
        <v>-14452</v>
      </c>
      <c r="K56" s="830">
        <f t="shared" si="23"/>
        <v>264012</v>
      </c>
      <c r="L56" s="1185">
        <f t="shared" si="23"/>
        <v>334532</v>
      </c>
      <c r="M56" s="1187">
        <f t="shared" si="23"/>
        <v>2780</v>
      </c>
      <c r="N56" s="830">
        <f t="shared" si="23"/>
        <v>337312</v>
      </c>
      <c r="O56" s="1192">
        <f t="shared" si="23"/>
        <v>145688</v>
      </c>
      <c r="P56" s="1194">
        <f t="shared" si="23"/>
        <v>5659</v>
      </c>
      <c r="Q56" s="829">
        <f t="shared" si="23"/>
        <v>151347</v>
      </c>
      <c r="R56" s="191"/>
    </row>
    <row r="57" spans="1:21" s="220" customFormat="1" ht="17.25" customHeight="1">
      <c r="A57" s="380" t="s">
        <v>427</v>
      </c>
      <c r="B57" s="381" t="s">
        <v>192</v>
      </c>
      <c r="C57" s="1186">
        <v>504</v>
      </c>
      <c r="D57" s="371"/>
      <c r="E57" s="488">
        <f>SUM(C57:D57)</f>
        <v>504</v>
      </c>
      <c r="F57" s="1186">
        <v>361</v>
      </c>
      <c r="G57" s="371"/>
      <c r="H57" s="488">
        <f>SUM(F57:G57)</f>
        <v>361</v>
      </c>
      <c r="I57" s="1186">
        <v>39</v>
      </c>
      <c r="J57" s="371"/>
      <c r="K57" s="488">
        <f>SUM(I57:J57)</f>
        <v>39</v>
      </c>
      <c r="L57" s="370">
        <v>484</v>
      </c>
      <c r="M57" s="371"/>
      <c r="N57" s="382">
        <f>SUM(L57:M57)</f>
        <v>484</v>
      </c>
      <c r="O57" s="370">
        <v>1</v>
      </c>
      <c r="P57" s="371"/>
      <c r="Q57" s="382">
        <f>SUM(O57:P57)</f>
        <v>1</v>
      </c>
      <c r="R57" s="167"/>
      <c r="S57" s="167"/>
      <c r="T57" s="167"/>
      <c r="U57" s="167"/>
    </row>
    <row r="58" spans="1:21" s="220" customFormat="1" ht="17.25" customHeight="1">
      <c r="A58" s="380" t="s">
        <v>191</v>
      </c>
      <c r="B58" s="381" t="s">
        <v>426</v>
      </c>
      <c r="C58" s="370"/>
      <c r="D58" s="371"/>
      <c r="E58" s="384">
        <f>SUM(C58:D58)</f>
        <v>0</v>
      </c>
      <c r="F58" s="370"/>
      <c r="G58" s="371"/>
      <c r="H58" s="384">
        <f>SUM(F58:G58)</f>
        <v>0</v>
      </c>
      <c r="I58" s="370"/>
      <c r="J58" s="371"/>
      <c r="K58" s="384">
        <f>SUM(I58:J58)</f>
        <v>0</v>
      </c>
      <c r="L58" s="370"/>
      <c r="M58" s="371"/>
      <c r="N58" s="384">
        <f>SUM(L58:M58)</f>
        <v>0</v>
      </c>
      <c r="O58" s="370"/>
      <c r="P58" s="371"/>
      <c r="Q58" s="382">
        <f>SUM(O58:P58)</f>
        <v>0</v>
      </c>
      <c r="R58" s="167"/>
      <c r="S58" s="167"/>
      <c r="T58" s="167"/>
      <c r="U58" s="167"/>
    </row>
    <row r="59" spans="1:21" s="220" customFormat="1" ht="17.25" customHeight="1" thickBot="1">
      <c r="A59" s="396">
        <v>10</v>
      </c>
      <c r="B59" s="397"/>
      <c r="C59" s="398"/>
      <c r="D59" s="399"/>
      <c r="E59" s="400">
        <f>SUM(C59:D59)</f>
        <v>0</v>
      </c>
      <c r="F59" s="398"/>
      <c r="G59" s="399"/>
      <c r="H59" s="400">
        <f>SUM(F59:G59)</f>
        <v>0</v>
      </c>
      <c r="I59" s="398"/>
      <c r="J59" s="399"/>
      <c r="K59" s="400">
        <f>SUM(I59:J59)</f>
        <v>0</v>
      </c>
      <c r="L59" s="398"/>
      <c r="M59" s="399"/>
      <c r="N59" s="400">
        <f>SUM(L59:M59)</f>
        <v>0</v>
      </c>
      <c r="O59" s="401"/>
      <c r="P59" s="399"/>
      <c r="Q59" s="400">
        <f>SUM(O59:P59)</f>
        <v>0</v>
      </c>
      <c r="R59" s="167"/>
      <c r="S59" s="167"/>
      <c r="T59" s="167"/>
      <c r="U59" s="167"/>
    </row>
    <row r="60" spans="1:17" s="167" customFormat="1" ht="17.25" customHeight="1" thickBot="1" thickTop="1">
      <c r="A60" s="387" t="s">
        <v>119</v>
      </c>
      <c r="B60" s="390" t="s">
        <v>190</v>
      </c>
      <c r="C60" s="825">
        <f>C40+C45+C46+C47+C51+C52+C55+C56+C57+C58+C59</f>
        <v>1356193</v>
      </c>
      <c r="D60" s="826">
        <f aca="true" t="shared" si="24" ref="D60:Q60">D40+D45+D46+D47+D51+D52+D55+D56+D57+D58+D59</f>
        <v>40782</v>
      </c>
      <c r="E60" s="408">
        <f t="shared" si="24"/>
        <v>1396975</v>
      </c>
      <c r="F60" s="409">
        <f t="shared" si="24"/>
        <v>485116</v>
      </c>
      <c r="G60" s="388">
        <f t="shared" si="24"/>
        <v>29285</v>
      </c>
      <c r="H60" s="408">
        <f t="shared" si="24"/>
        <v>514401</v>
      </c>
      <c r="I60" s="825">
        <f t="shared" si="24"/>
        <v>281603</v>
      </c>
      <c r="J60" s="826">
        <f t="shared" si="24"/>
        <v>-13887</v>
      </c>
      <c r="K60" s="408">
        <f t="shared" si="24"/>
        <v>267716</v>
      </c>
      <c r="L60" s="409">
        <f t="shared" si="24"/>
        <v>369191</v>
      </c>
      <c r="M60" s="388">
        <f t="shared" si="24"/>
        <v>3820</v>
      </c>
      <c r="N60" s="408">
        <f t="shared" si="24"/>
        <v>373011</v>
      </c>
      <c r="O60" s="409">
        <f t="shared" si="24"/>
        <v>145689</v>
      </c>
      <c r="P60" s="388">
        <f t="shared" si="24"/>
        <v>5661</v>
      </c>
      <c r="Q60" s="421">
        <f t="shared" si="24"/>
        <v>151350</v>
      </c>
    </row>
    <row r="61" spans="1:21" s="96" customFormat="1" ht="13.5" customHeight="1" thickBot="1" thickTop="1">
      <c r="A61" s="178"/>
      <c r="B61" s="179"/>
      <c r="C61" s="180"/>
      <c r="D61" s="180"/>
      <c r="E61" s="181"/>
      <c r="F61" s="180"/>
      <c r="G61" s="180"/>
      <c r="H61" s="181"/>
      <c r="I61" s="180"/>
      <c r="J61" s="180"/>
      <c r="K61" s="181"/>
      <c r="L61" s="180"/>
      <c r="M61" s="180"/>
      <c r="N61" s="181"/>
      <c r="O61" s="180"/>
      <c r="P61" s="180"/>
      <c r="Q61" s="181"/>
      <c r="R61" s="268"/>
      <c r="S61" s="268"/>
      <c r="T61" s="268"/>
      <c r="U61" s="268"/>
    </row>
    <row r="62" spans="1:17" s="188" customFormat="1" ht="17.25" customHeight="1" thickBot="1" thickTop="1">
      <c r="A62" s="182"/>
      <c r="B62" s="183" t="s">
        <v>580</v>
      </c>
      <c r="C62" s="184">
        <v>255.5</v>
      </c>
      <c r="D62" s="185">
        <v>5</v>
      </c>
      <c r="E62" s="186">
        <f>C62+D62</f>
        <v>260.5</v>
      </c>
      <c r="F62" s="184">
        <v>100</v>
      </c>
      <c r="G62" s="185">
        <v>6</v>
      </c>
      <c r="H62" s="186">
        <f>F62+G62</f>
        <v>106</v>
      </c>
      <c r="I62" s="184">
        <v>58</v>
      </c>
      <c r="J62" s="185"/>
      <c r="K62" s="186">
        <f>I62+J62</f>
        <v>58</v>
      </c>
      <c r="L62" s="184">
        <v>65</v>
      </c>
      <c r="M62" s="185"/>
      <c r="N62" s="186">
        <f>L62+M62</f>
        <v>65</v>
      </c>
      <c r="O62" s="184">
        <v>25.25</v>
      </c>
      <c r="P62" s="185"/>
      <c r="Q62" s="187">
        <f>SUM(O62:P62)</f>
        <v>25.25</v>
      </c>
    </row>
    <row r="63" spans="1:17" s="188" customFormat="1" ht="17.25" customHeight="1" thickBot="1" thickTop="1">
      <c r="A63" s="182"/>
      <c r="B63" s="183" t="s">
        <v>581</v>
      </c>
      <c r="C63" s="184">
        <v>0</v>
      </c>
      <c r="D63" s="185"/>
      <c r="E63" s="186">
        <f>C63+D63</f>
        <v>0</v>
      </c>
      <c r="F63" s="184">
        <v>0</v>
      </c>
      <c r="G63" s="185"/>
      <c r="H63" s="186">
        <f>F63+G63</f>
        <v>0</v>
      </c>
      <c r="I63" s="184">
        <v>0</v>
      </c>
      <c r="J63" s="185"/>
      <c r="K63" s="186">
        <f>I63+J63</f>
        <v>0</v>
      </c>
      <c r="L63" s="184">
        <v>0</v>
      </c>
      <c r="M63" s="185"/>
      <c r="N63" s="186">
        <f>L63+M63</f>
        <v>0</v>
      </c>
      <c r="O63" s="184">
        <v>0</v>
      </c>
      <c r="P63" s="185"/>
      <c r="Q63" s="187">
        <f>SUM(O63:P63)</f>
        <v>0</v>
      </c>
    </row>
    <row r="64" ht="16.5" thickTop="1">
      <c r="A64" s="465"/>
    </row>
  </sheetData>
  <sheetProtection/>
  <mergeCells count="5">
    <mergeCell ref="C7:E7"/>
    <mergeCell ref="O7:Q7"/>
    <mergeCell ref="I7:K7"/>
    <mergeCell ref="F7:H7"/>
    <mergeCell ref="L7:N7"/>
  </mergeCells>
  <printOptions horizontalCentered="1" verticalCentered="1"/>
  <pageMargins left="0.31496062992125984" right="0.2362204724409449" top="0.48" bottom="0.6692913385826772" header="0.34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4"/>
  <sheetViews>
    <sheetView showGridLines="0" zoomScale="75" zoomScaleNormal="75" zoomScaleSheetLayoutView="50" zoomScalePageLayoutView="0" workbookViewId="0" topLeftCell="A1">
      <pane xSplit="2" ySplit="9" topLeftCell="I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" sqref="T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3" width="15.875" style="96" customWidth="1"/>
    <col min="4" max="4" width="14.375" style="96" customWidth="1"/>
    <col min="5" max="6" width="15.875" style="96" customWidth="1"/>
    <col min="7" max="7" width="14.375" style="96" customWidth="1"/>
    <col min="8" max="11" width="15.875" style="96" customWidth="1"/>
    <col min="12" max="12" width="16.625" style="96" customWidth="1"/>
    <col min="13" max="13" width="17.125" style="96" customWidth="1"/>
    <col min="14" max="14" width="17.625" style="220" customWidth="1"/>
    <col min="15" max="15" width="15.875" style="96" customWidth="1"/>
    <col min="16" max="16" width="14.375" style="96" customWidth="1"/>
    <col min="17" max="17" width="15.875" style="96" customWidth="1"/>
    <col min="18" max="18" width="15.875" style="0" customWidth="1"/>
    <col min="19" max="19" width="14.375" style="0" customWidth="1"/>
    <col min="20" max="20" width="15.875" style="0" customWidth="1"/>
    <col min="21" max="21" width="9.625" style="0" customWidth="1"/>
    <col min="22" max="22" width="13.375" style="0" customWidth="1"/>
  </cols>
  <sheetData>
    <row r="1" spans="1:20" ht="10.5" customHeight="1">
      <c r="A1" s="346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O1" s="433"/>
      <c r="P1" s="433"/>
      <c r="Q1" s="433"/>
      <c r="R1" s="5"/>
      <c r="S1" s="144"/>
      <c r="T1" s="144" t="s">
        <v>869</v>
      </c>
    </row>
    <row r="2" spans="1:20" ht="12.75" customHeight="1">
      <c r="A2" s="346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O2" s="433"/>
      <c r="P2" s="433"/>
      <c r="Q2" s="433"/>
      <c r="R2" s="5"/>
      <c r="S2" s="144"/>
      <c r="T2" s="144" t="s">
        <v>102</v>
      </c>
    </row>
    <row r="3" spans="1:20" ht="10.5" customHeight="1">
      <c r="A3" s="346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O3" s="433"/>
      <c r="P3" s="433"/>
      <c r="Q3" s="433"/>
      <c r="R3" s="5"/>
      <c r="S3" s="190"/>
      <c r="T3" s="190" t="s">
        <v>143</v>
      </c>
    </row>
    <row r="4" spans="1:20" ht="20.25">
      <c r="A4" s="942" t="s">
        <v>134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7"/>
      <c r="S4" s="7"/>
      <c r="T4" s="7"/>
    </row>
    <row r="5" spans="1:20" ht="18">
      <c r="A5" s="943" t="s">
        <v>569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8"/>
      <c r="S5" s="8"/>
      <c r="T5" s="8"/>
    </row>
    <row r="6" spans="1:20" ht="18.75" thickBot="1">
      <c r="A6" s="943"/>
      <c r="B6" s="943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3"/>
      <c r="R6" s="8"/>
      <c r="S6" s="8"/>
      <c r="T6" s="134" t="s">
        <v>145</v>
      </c>
    </row>
    <row r="7" spans="1:20" ht="32.25" customHeight="1">
      <c r="A7" s="260" t="s">
        <v>135</v>
      </c>
      <c r="B7" s="95" t="s">
        <v>136</v>
      </c>
      <c r="C7" s="1829"/>
      <c r="D7" s="1832"/>
      <c r="E7" s="1831"/>
      <c r="F7" s="1833" t="s">
        <v>52</v>
      </c>
      <c r="G7" s="1830"/>
      <c r="H7" s="1831"/>
      <c r="I7" s="1838" t="s">
        <v>86</v>
      </c>
      <c r="J7" s="1838"/>
      <c r="K7" s="1839"/>
      <c r="L7" s="1837" t="s">
        <v>204</v>
      </c>
      <c r="M7" s="1838"/>
      <c r="N7" s="1839"/>
      <c r="O7" s="1840" t="s">
        <v>372</v>
      </c>
      <c r="P7" s="1838"/>
      <c r="Q7" s="1839"/>
      <c r="R7" s="1834" t="s">
        <v>166</v>
      </c>
      <c r="S7" s="1835"/>
      <c r="T7" s="1836"/>
    </row>
    <row r="8" spans="1:20" s="26" customFormat="1" ht="27" customHeight="1" thickBot="1">
      <c r="A8" s="275" t="s">
        <v>137</v>
      </c>
      <c r="B8" s="16" t="s">
        <v>138</v>
      </c>
      <c r="C8" s="24" t="s">
        <v>97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24" t="s">
        <v>463</v>
      </c>
      <c r="P8" s="23" t="s">
        <v>139</v>
      </c>
      <c r="Q8" s="11" t="s">
        <v>665</v>
      </c>
      <c r="R8" s="24" t="s">
        <v>463</v>
      </c>
      <c r="S8" s="23" t="s">
        <v>139</v>
      </c>
      <c r="T8" s="11" t="s">
        <v>665</v>
      </c>
    </row>
    <row r="9" spans="1:20" s="91" customFormat="1" ht="12" thickBot="1">
      <c r="A9" s="467">
        <v>1</v>
      </c>
      <c r="B9" s="88">
        <v>2</v>
      </c>
      <c r="C9" s="945">
        <v>3</v>
      </c>
      <c r="D9" s="946">
        <v>4</v>
      </c>
      <c r="E9" s="947">
        <v>5</v>
      </c>
      <c r="F9" s="1481">
        <v>6</v>
      </c>
      <c r="G9" s="946">
        <v>7</v>
      </c>
      <c r="H9" s="947">
        <v>8</v>
      </c>
      <c r="I9" s="1323">
        <v>9</v>
      </c>
      <c r="J9" s="946">
        <v>10</v>
      </c>
      <c r="K9" s="1323">
        <v>11</v>
      </c>
      <c r="L9" s="945">
        <v>12</v>
      </c>
      <c r="M9" s="946">
        <v>12</v>
      </c>
      <c r="N9" s="947">
        <v>14</v>
      </c>
      <c r="O9" s="945">
        <v>15</v>
      </c>
      <c r="P9" s="946">
        <v>16</v>
      </c>
      <c r="Q9" s="947">
        <v>17</v>
      </c>
      <c r="R9" s="1494">
        <v>18</v>
      </c>
      <c r="S9" s="33">
        <v>19</v>
      </c>
      <c r="T9" s="34">
        <v>20</v>
      </c>
    </row>
    <row r="10" spans="1:20" s="26" customFormat="1" ht="18.75" thickBot="1">
      <c r="A10" s="427"/>
      <c r="B10" s="472" t="s">
        <v>140</v>
      </c>
      <c r="C10" s="428"/>
      <c r="D10" s="429"/>
      <c r="E10" s="474"/>
      <c r="F10" s="1482"/>
      <c r="G10" s="429"/>
      <c r="H10" s="474"/>
      <c r="I10" s="1324"/>
      <c r="J10" s="429"/>
      <c r="K10" s="1324"/>
      <c r="L10" s="1482"/>
      <c r="M10" s="432"/>
      <c r="N10" s="1483"/>
      <c r="O10" s="428"/>
      <c r="P10" s="429"/>
      <c r="Q10" s="474"/>
      <c r="R10" s="1495"/>
      <c r="S10" s="9"/>
      <c r="T10" s="10"/>
    </row>
    <row r="11" spans="1:20" s="188" customFormat="1" ht="17.25" customHeight="1" thickBot="1">
      <c r="A11" s="357">
        <v>1</v>
      </c>
      <c r="B11" s="348" t="s">
        <v>123</v>
      </c>
      <c r="C11" s="358"/>
      <c r="D11" s="358"/>
      <c r="E11" s="359">
        <f>SUM(C11:D11)</f>
        <v>0</v>
      </c>
      <c r="F11" s="392">
        <v>181461</v>
      </c>
      <c r="G11" s="358">
        <v>12552</v>
      </c>
      <c r="H11" s="359">
        <f>F11+G11</f>
        <v>194013</v>
      </c>
      <c r="I11" s="374">
        <v>122144</v>
      </c>
      <c r="J11" s="358">
        <v>6473</v>
      </c>
      <c r="K11" s="1486">
        <f>I11+J11</f>
        <v>128617</v>
      </c>
      <c r="L11" s="392">
        <f>'önállóan működő'!C11+'önállóan működő'!F11+'önállóan működő'!I11+'önállóan működő'!L11+'önállóan működő'!O11+'önállóan gazd.'!C11+'önállóan gazd.'!F11+I11</f>
        <v>2013528</v>
      </c>
      <c r="M11" s="358">
        <f>'önállóan működő'!D11+'önállóan működő'!G11+'önállóan működő'!J11+'önállóan működő'!M11+'önállóan működő'!P11+'önállóan gazd.'!D11+'önállóan gazd.'!G11+J11</f>
        <v>49792</v>
      </c>
      <c r="N11" s="364">
        <f>'önállóan működő'!E11+'önállóan működő'!H11+'önállóan működő'!K11+'önállóan működő'!N11+'önállóan működő'!Q11+'önállóan gazd.'!E11+'önállóan gazd.'!H11+K11</f>
        <v>2063320</v>
      </c>
      <c r="O11" s="363">
        <v>880802</v>
      </c>
      <c r="P11" s="358">
        <f>254+1005+7872+80+13151+228</f>
        <v>22590</v>
      </c>
      <c r="Q11" s="359">
        <f>O11+P11</f>
        <v>903392</v>
      </c>
      <c r="R11" s="480">
        <f aca="true" t="shared" si="0" ref="R11:R34">L11+O11</f>
        <v>2894330</v>
      </c>
      <c r="S11" s="333">
        <f aca="true" t="shared" si="1" ref="S11:S34">M11+P11</f>
        <v>72382</v>
      </c>
      <c r="T11" s="331">
        <f aca="true" t="shared" si="2" ref="T11:T34">N11+Q11</f>
        <v>2966712</v>
      </c>
    </row>
    <row r="12" spans="1:21" s="189" customFormat="1" ht="17.25" customHeight="1" thickBot="1">
      <c r="A12" s="361">
        <v>2</v>
      </c>
      <c r="B12" s="369" t="s">
        <v>213</v>
      </c>
      <c r="C12" s="358"/>
      <c r="D12" s="358"/>
      <c r="E12" s="359">
        <f>SUM(C12:D12)</f>
        <v>0</v>
      </c>
      <c r="F12" s="392">
        <v>39787</v>
      </c>
      <c r="G12" s="358">
        <v>2536</v>
      </c>
      <c r="H12" s="359">
        <f>SUM(F12:G12)</f>
        <v>42323</v>
      </c>
      <c r="I12" s="362">
        <v>32337</v>
      </c>
      <c r="J12" s="358">
        <v>1253</v>
      </c>
      <c r="K12" s="1486">
        <f>SUM(I12:J12)</f>
        <v>33590</v>
      </c>
      <c r="L12" s="392">
        <f>'önállóan működő'!C12+'önállóan működő'!F12+'önállóan működő'!I12+'önállóan működő'!L12+'önállóan működő'!O12+'önállóan gazd.'!C12+'önállóan gazd.'!F12+I12</f>
        <v>454240</v>
      </c>
      <c r="M12" s="358">
        <f>'önállóan működő'!D12+'önállóan működő'!G12+'önállóan működő'!J12+'önállóan működő'!M12+'önállóan működő'!P12+'önállóan gazd.'!D12+'önállóan gazd.'!G12+J12</f>
        <v>19749</v>
      </c>
      <c r="N12" s="364">
        <f>'önállóan működő'!E12+'önállóan működő'!H12+'önállóan működő'!K12+'önállóan működő'!N12+'önállóan működő'!Q12+'önállóan gazd.'!E12+'önállóan gazd.'!H12+K12</f>
        <v>473989</v>
      </c>
      <c r="O12" s="363">
        <v>196340</v>
      </c>
      <c r="P12" s="358">
        <f>55+196+1544+16+2481+3+61</f>
        <v>4356</v>
      </c>
      <c r="Q12" s="359">
        <f>SUM(O12:P12)</f>
        <v>200696</v>
      </c>
      <c r="R12" s="480">
        <f t="shared" si="0"/>
        <v>650580</v>
      </c>
      <c r="S12" s="333">
        <f t="shared" si="1"/>
        <v>24105</v>
      </c>
      <c r="T12" s="331">
        <f t="shared" si="2"/>
        <v>674685</v>
      </c>
      <c r="U12" s="259"/>
    </row>
    <row r="13" spans="1:20" s="220" customFormat="1" ht="17.25" customHeight="1" thickBot="1">
      <c r="A13" s="361">
        <v>3</v>
      </c>
      <c r="B13" s="348" t="s">
        <v>126</v>
      </c>
      <c r="C13" s="358"/>
      <c r="D13" s="358"/>
      <c r="E13" s="359">
        <f>SUM(C13:D13)</f>
        <v>0</v>
      </c>
      <c r="F13" s="392">
        <v>549884</v>
      </c>
      <c r="G13" s="358">
        <v>45553</v>
      </c>
      <c r="H13" s="359">
        <f>F13+G13</f>
        <v>595437</v>
      </c>
      <c r="I13" s="374">
        <v>236762</v>
      </c>
      <c r="J13" s="358">
        <v>2921</v>
      </c>
      <c r="K13" s="1486">
        <f>I13+J13</f>
        <v>239683</v>
      </c>
      <c r="L13" s="392">
        <f>'önállóan működő'!C13+'önállóan működő'!F13+'önállóan működő'!I13+'önállóan működő'!L13+'önállóan működő'!O13+'önállóan gazd.'!C13+'önállóan gazd.'!F13+I13</f>
        <v>1305434</v>
      </c>
      <c r="M13" s="358">
        <f>'önállóan működő'!D13+'önállóan működő'!G13+'önállóan működő'!J13+'önállóan működő'!M13+'önállóan működő'!P13+'önállóan gazd.'!D13+'önállóan gazd.'!G13+J13</f>
        <v>64505</v>
      </c>
      <c r="N13" s="364">
        <f>'önállóan működő'!E13+'önállóan működő'!H13+'önállóan működő'!K13+'önállóan működő'!N13+'önállóan működő'!Q13+'önállóan gazd.'!E13+'önállóan gazd.'!H13+K13</f>
        <v>1369939</v>
      </c>
      <c r="O13" s="363">
        <v>308778</v>
      </c>
      <c r="P13" s="358">
        <f>440+947+22+217-1162-532-15632-259+4-289+3693+1388</f>
        <v>-11163</v>
      </c>
      <c r="Q13" s="359">
        <f>O13+P13</f>
        <v>297615</v>
      </c>
      <c r="R13" s="480">
        <f t="shared" si="0"/>
        <v>1614212</v>
      </c>
      <c r="S13" s="333">
        <f t="shared" si="1"/>
        <v>53342</v>
      </c>
      <c r="T13" s="331">
        <f t="shared" si="2"/>
        <v>1667554</v>
      </c>
    </row>
    <row r="14" spans="1:20" s="220" customFormat="1" ht="17.25" customHeight="1" thickBot="1">
      <c r="A14" s="361">
        <v>4</v>
      </c>
      <c r="B14" s="348" t="s">
        <v>180</v>
      </c>
      <c r="C14" s="363"/>
      <c r="D14" s="360"/>
      <c r="E14" s="364">
        <f>SUM(C14:D14)</f>
        <v>0</v>
      </c>
      <c r="F14" s="374"/>
      <c r="G14" s="358"/>
      <c r="H14" s="364">
        <f>SUM(F14:G14)</f>
        <v>0</v>
      </c>
      <c r="I14" s="360"/>
      <c r="J14" s="360"/>
      <c r="K14" s="374">
        <f>SUM(I14:J14)</f>
        <v>0</v>
      </c>
      <c r="L14" s="392">
        <f>'önállóan működő'!C14+'önállóan működő'!F14+'önállóan működő'!I14+'önállóan működő'!L14+'önállóan működő'!O14+'önállóan gazd.'!C14+'önállóan gazd.'!F14+I14</f>
        <v>0</v>
      </c>
      <c r="M14" s="358">
        <f>'önállóan működő'!D14+'önállóan működő'!G14+'önállóan működő'!J14+'önállóan működő'!M14+'önállóan működő'!P14+'önállóan gazd.'!D14+'önállóan gazd.'!G14+J14</f>
        <v>0</v>
      </c>
      <c r="N14" s="364">
        <f>'önállóan működő'!E14+'önállóan működő'!H14+'önállóan működő'!K14+'önállóan működő'!N14+'önállóan működő'!Q14+'önállóan gazd.'!E14+'önállóan gazd.'!H14+K14</f>
        <v>0</v>
      </c>
      <c r="O14" s="363">
        <v>1</v>
      </c>
      <c r="P14" s="360">
        <v>107</v>
      </c>
      <c r="Q14" s="364">
        <f>SUM(O14:P14)</f>
        <v>108</v>
      </c>
      <c r="R14" s="480">
        <f t="shared" si="0"/>
        <v>1</v>
      </c>
      <c r="S14" s="333">
        <f t="shared" si="1"/>
        <v>107</v>
      </c>
      <c r="T14" s="331">
        <f t="shared" si="2"/>
        <v>108</v>
      </c>
    </row>
    <row r="15" spans="1:20" s="188" customFormat="1" ht="17.25" customHeight="1">
      <c r="A15" s="171" t="s">
        <v>108</v>
      </c>
      <c r="B15" s="160" t="s">
        <v>405</v>
      </c>
      <c r="C15" s="257"/>
      <c r="D15" s="256"/>
      <c r="E15" s="274">
        <f>C15+D15</f>
        <v>0</v>
      </c>
      <c r="F15" s="1180"/>
      <c r="G15" s="256"/>
      <c r="H15" s="274">
        <f>F15+G15</f>
        <v>0</v>
      </c>
      <c r="I15" s="273"/>
      <c r="J15" s="256"/>
      <c r="K15" s="1327">
        <f aca="true" t="shared" si="3" ref="K15:K22">I15+J15</f>
        <v>0</v>
      </c>
      <c r="L15" s="1180">
        <f>'önállóan működő'!C15+'önállóan működő'!F15+'önállóan működő'!I15+'önállóan működő'!L15+'önállóan működő'!O15+'önállóan gazd.'!C15+'önállóan gazd.'!F15+I15</f>
        <v>0</v>
      </c>
      <c r="M15" s="256">
        <f>'önállóan működő'!D15+'önállóan működő'!G15+'önállóan működő'!J15+'önállóan működő'!M15+'önállóan működő'!P15+'önállóan gazd.'!D15+'önállóan gazd.'!G15+J15</f>
        <v>0</v>
      </c>
      <c r="N15" s="258">
        <f>'önállóan működő'!E15+'önállóan működő'!H15+'önállóan működő'!K15+'önállóan működő'!N15+'önállóan működő'!Q15+'önállóan gazd.'!E15+'önállóan gazd.'!H15+K15</f>
        <v>0</v>
      </c>
      <c r="O15" s="257"/>
      <c r="P15" s="256"/>
      <c r="Q15" s="274">
        <f>O15+P15</f>
        <v>0</v>
      </c>
      <c r="R15" s="1496">
        <f t="shared" si="0"/>
        <v>0</v>
      </c>
      <c r="S15" s="344">
        <f t="shared" si="1"/>
        <v>0</v>
      </c>
      <c r="T15" s="405">
        <f t="shared" si="2"/>
        <v>0</v>
      </c>
    </row>
    <row r="16" spans="1:20" s="188" customFormat="1" ht="17.25" customHeight="1">
      <c r="A16" s="168" t="s">
        <v>109</v>
      </c>
      <c r="B16" s="164" t="s">
        <v>406</v>
      </c>
      <c r="C16" s="158"/>
      <c r="D16" s="154"/>
      <c r="E16" s="274">
        <f>C16+D16</f>
        <v>0</v>
      </c>
      <c r="F16" s="954"/>
      <c r="G16" s="154"/>
      <c r="H16" s="274">
        <f>F16+G16</f>
        <v>0</v>
      </c>
      <c r="I16" s="156"/>
      <c r="J16" s="154"/>
      <c r="K16" s="1327">
        <f t="shared" si="3"/>
        <v>0</v>
      </c>
      <c r="L16" s="1180">
        <f>'önállóan működő'!C16+'önállóan működő'!F16+'önállóan működő'!I16+'önállóan működő'!L16+'önállóan működő'!O16+'önállóan gazd.'!C16+'önállóan gazd.'!F16+I16</f>
        <v>0</v>
      </c>
      <c r="M16" s="256">
        <f>'önállóan működő'!D16+'önállóan működő'!G16+'önállóan működő'!J16+'önállóan működő'!M16+'önállóan működő'!P16+'önállóan gazd.'!D16+'önállóan gazd.'!G16+J16</f>
        <v>0</v>
      </c>
      <c r="N16" s="258">
        <f>'önállóan működő'!E16+'önállóan működő'!H16+'önállóan működő'!K16+'önállóan működő'!N16+'önállóan működő'!Q16+'önállóan gazd.'!E16+'önállóan gazd.'!H16+K16</f>
        <v>0</v>
      </c>
      <c r="O16" s="158"/>
      <c r="P16" s="154"/>
      <c r="Q16" s="274">
        <f>O16+P16</f>
        <v>0</v>
      </c>
      <c r="R16" s="1496">
        <f t="shared" si="0"/>
        <v>0</v>
      </c>
      <c r="S16" s="344">
        <f t="shared" si="1"/>
        <v>0</v>
      </c>
      <c r="T16" s="405">
        <f t="shared" si="2"/>
        <v>0</v>
      </c>
    </row>
    <row r="17" spans="1:20" s="188" customFormat="1" ht="17.25" customHeight="1">
      <c r="A17" s="168" t="s">
        <v>110</v>
      </c>
      <c r="B17" s="164" t="s">
        <v>407</v>
      </c>
      <c r="C17" s="158"/>
      <c r="D17" s="154"/>
      <c r="E17" s="274">
        <f aca="true" t="shared" si="4" ref="E17:E22">C17+D17</f>
        <v>0</v>
      </c>
      <c r="F17" s="158"/>
      <c r="G17" s="154"/>
      <c r="H17" s="274">
        <f aca="true" t="shared" si="5" ref="H17:H22">F17+G17</f>
        <v>0</v>
      </c>
      <c r="I17" s="156"/>
      <c r="J17" s="154"/>
      <c r="K17" s="1327">
        <f t="shared" si="3"/>
        <v>0</v>
      </c>
      <c r="L17" s="1180">
        <f>'önállóan működő'!C17+'önállóan működő'!F17+'önállóan működő'!I17+'önállóan működő'!L17+'önállóan működő'!O17+'önállóan gazd.'!C17+'önállóan gazd.'!F17+I17</f>
        <v>0</v>
      </c>
      <c r="M17" s="256">
        <f>'önállóan működő'!D17+'önállóan működő'!G17+'önállóan működő'!J17+'önállóan működő'!M17+'önállóan működő'!P17+'önállóan gazd.'!D17+'önállóan gazd.'!G17+J17</f>
        <v>0</v>
      </c>
      <c r="N17" s="258">
        <f>'önállóan működő'!E17+'önállóan működő'!H17+'önállóan működő'!K17+'önállóan működő'!N17+'önállóan működő'!Q17+'önállóan gazd.'!E17+'önállóan gazd.'!H17+K17</f>
        <v>0</v>
      </c>
      <c r="O17" s="158"/>
      <c r="P17" s="154"/>
      <c r="Q17" s="274">
        <f aca="true" t="shared" si="6" ref="Q17:Q22">O17+P17</f>
        <v>0</v>
      </c>
      <c r="R17" s="1496">
        <f t="shared" si="0"/>
        <v>0</v>
      </c>
      <c r="S17" s="344">
        <f t="shared" si="1"/>
        <v>0</v>
      </c>
      <c r="T17" s="405">
        <f t="shared" si="2"/>
        <v>0</v>
      </c>
    </row>
    <row r="18" spans="1:20" s="188" customFormat="1" ht="17.25" customHeight="1">
      <c r="A18" s="168" t="s">
        <v>111</v>
      </c>
      <c r="B18" s="162" t="s">
        <v>408</v>
      </c>
      <c r="C18" s="158"/>
      <c r="D18" s="154"/>
      <c r="E18" s="274">
        <f t="shared" si="4"/>
        <v>0</v>
      </c>
      <c r="F18" s="158"/>
      <c r="G18" s="154"/>
      <c r="H18" s="274">
        <f t="shared" si="5"/>
        <v>0</v>
      </c>
      <c r="I18" s="156"/>
      <c r="J18" s="154"/>
      <c r="K18" s="1327">
        <f t="shared" si="3"/>
        <v>0</v>
      </c>
      <c r="L18" s="1180">
        <f>'önállóan működő'!C18+'önállóan működő'!F18+'önállóan működő'!I18+'önállóan működő'!L18+'önállóan működő'!O18+'önállóan gazd.'!C18+'önállóan gazd.'!F18+I18</f>
        <v>0</v>
      </c>
      <c r="M18" s="256">
        <f>'önállóan működő'!D18+'önállóan működő'!G18+'önállóan működő'!J18+'önállóan működő'!M18+'önállóan működő'!P18+'önállóan gazd.'!D18+'önállóan gazd.'!G18+J18</f>
        <v>0</v>
      </c>
      <c r="N18" s="258">
        <f>'önállóan működő'!E18+'önállóan működő'!H18+'önállóan működő'!K18+'önállóan működő'!N18+'önállóan működő'!Q18+'önállóan gazd.'!E18+'önállóan gazd.'!H18+K18</f>
        <v>0</v>
      </c>
      <c r="O18" s="158"/>
      <c r="P18" s="154">
        <v>81</v>
      </c>
      <c r="Q18" s="274">
        <f t="shared" si="6"/>
        <v>81</v>
      </c>
      <c r="R18" s="1496">
        <f t="shared" si="0"/>
        <v>0</v>
      </c>
      <c r="S18" s="344">
        <f t="shared" si="1"/>
        <v>81</v>
      </c>
      <c r="T18" s="405">
        <f t="shared" si="2"/>
        <v>81</v>
      </c>
    </row>
    <row r="19" spans="1:20" s="188" customFormat="1" ht="17.25" customHeight="1">
      <c r="A19" s="163" t="s">
        <v>202</v>
      </c>
      <c r="B19" s="164" t="s">
        <v>409</v>
      </c>
      <c r="C19" s="156"/>
      <c r="D19" s="154"/>
      <c r="E19" s="274">
        <f>C19+D19</f>
        <v>0</v>
      </c>
      <c r="F19" s="156"/>
      <c r="G19" s="154"/>
      <c r="H19" s="274">
        <f>F19+G19</f>
        <v>0</v>
      </c>
      <c r="I19" s="156"/>
      <c r="J19" s="154"/>
      <c r="K19" s="1327">
        <f t="shared" si="3"/>
        <v>0</v>
      </c>
      <c r="L19" s="1180">
        <f>'önállóan működő'!C19+'önállóan működő'!F19+'önállóan működő'!I19+'önállóan működő'!L19+'önállóan működő'!O19+'önállóan gazd.'!C19+'önállóan gazd.'!F19+I19</f>
        <v>0</v>
      </c>
      <c r="M19" s="256">
        <f>'önállóan működő'!D19+'önállóan működő'!G19+'önállóan működő'!J19+'önállóan működő'!M19+'önállóan működő'!P19+'önállóan gazd.'!D19+'önállóan gazd.'!G19+J19</f>
        <v>0</v>
      </c>
      <c r="N19" s="258">
        <f>'önállóan működő'!E19+'önállóan működő'!H19+'önállóan működő'!K19+'önállóan működő'!N19+'önállóan működő'!Q19+'önállóan gazd.'!E19+'önállóan gazd.'!H19+K19</f>
        <v>0</v>
      </c>
      <c r="O19" s="158"/>
      <c r="P19" s="154"/>
      <c r="Q19" s="274">
        <f>O19+P19</f>
        <v>0</v>
      </c>
      <c r="R19" s="1496">
        <f t="shared" si="0"/>
        <v>0</v>
      </c>
      <c r="S19" s="344">
        <f t="shared" si="1"/>
        <v>0</v>
      </c>
      <c r="T19" s="405">
        <f t="shared" si="2"/>
        <v>0</v>
      </c>
    </row>
    <row r="20" spans="1:20" s="188" customFormat="1" ht="17.25" customHeight="1">
      <c r="A20" s="163" t="s">
        <v>359</v>
      </c>
      <c r="B20" s="164" t="s">
        <v>410</v>
      </c>
      <c r="C20" s="156"/>
      <c r="D20" s="154"/>
      <c r="E20" s="274">
        <f t="shared" si="4"/>
        <v>0</v>
      </c>
      <c r="F20" s="156"/>
      <c r="G20" s="154"/>
      <c r="H20" s="274">
        <f t="shared" si="5"/>
        <v>0</v>
      </c>
      <c r="I20" s="156"/>
      <c r="J20" s="154"/>
      <c r="K20" s="1327">
        <f t="shared" si="3"/>
        <v>0</v>
      </c>
      <c r="L20" s="1180">
        <f>'önállóan működő'!C20+'önállóan működő'!F20+'önállóan működő'!I20+'önállóan működő'!L20+'önállóan működő'!O20+'önállóan gazd.'!C20+'önállóan gazd.'!F20+I20</f>
        <v>0</v>
      </c>
      <c r="M20" s="256">
        <f>'önállóan működő'!D20+'önállóan működő'!G20+'önállóan működő'!J20+'önállóan működő'!M20+'önállóan működő'!P20+'önállóan gazd.'!D20+'önállóan gazd.'!G20+J20</f>
        <v>0</v>
      </c>
      <c r="N20" s="258">
        <f>'önállóan működő'!E20+'önállóan működő'!H20+'önállóan működő'!K20+'önállóan működő'!N20+'önállóan működő'!Q20+'önállóan gazd.'!E20+'önállóan gazd.'!H20+K20</f>
        <v>0</v>
      </c>
      <c r="O20" s="158"/>
      <c r="P20" s="154"/>
      <c r="Q20" s="274">
        <f t="shared" si="6"/>
        <v>0</v>
      </c>
      <c r="R20" s="1496">
        <f t="shared" si="0"/>
        <v>0</v>
      </c>
      <c r="S20" s="344">
        <f t="shared" si="1"/>
        <v>0</v>
      </c>
      <c r="T20" s="405">
        <f t="shared" si="2"/>
        <v>0</v>
      </c>
    </row>
    <row r="21" spans="1:20" s="188" customFormat="1" ht="17.25" customHeight="1">
      <c r="A21" s="163" t="s">
        <v>361</v>
      </c>
      <c r="B21" s="162" t="s">
        <v>411</v>
      </c>
      <c r="C21" s="932"/>
      <c r="D21" s="154"/>
      <c r="E21" s="405">
        <f t="shared" si="4"/>
        <v>0</v>
      </c>
      <c r="F21" s="932"/>
      <c r="G21" s="154"/>
      <c r="H21" s="405">
        <f t="shared" si="5"/>
        <v>0</v>
      </c>
      <c r="I21" s="932"/>
      <c r="J21" s="154"/>
      <c r="K21" s="1325">
        <f t="shared" si="3"/>
        <v>0</v>
      </c>
      <c r="L21" s="1180">
        <f>'önállóan működő'!C21+'önállóan működő'!F21+'önállóan működő'!I21+'önállóan működő'!L21+'önállóan működő'!O21+'önállóan gazd.'!C21+'önállóan gazd.'!F21+I21</f>
        <v>0</v>
      </c>
      <c r="M21" s="256">
        <f>'önállóan működő'!D21+'önállóan működő'!G21+'önállóan működő'!J21+'önállóan működő'!M21+'önállóan működő'!P21+'önállóan gazd.'!D21+'önállóan gazd.'!G21+J21</f>
        <v>0</v>
      </c>
      <c r="N21" s="258">
        <f>'önállóan működő'!E21+'önállóan működő'!H21+'önállóan működő'!K21+'önállóan működő'!N21+'önállóan működő'!Q21+'önállóan gazd.'!E21+'önállóan gazd.'!H21+K21</f>
        <v>0</v>
      </c>
      <c r="O21" s="158"/>
      <c r="P21" s="154">
        <f>269-4</f>
        <v>265</v>
      </c>
      <c r="Q21" s="274">
        <f t="shared" si="6"/>
        <v>265</v>
      </c>
      <c r="R21" s="1496">
        <f t="shared" si="0"/>
        <v>0</v>
      </c>
      <c r="S21" s="344">
        <f t="shared" si="1"/>
        <v>265</v>
      </c>
      <c r="T21" s="405">
        <f t="shared" si="2"/>
        <v>265</v>
      </c>
    </row>
    <row r="22" spans="1:20" s="188" customFormat="1" ht="15" customHeight="1" thickBot="1">
      <c r="A22" s="16" t="s">
        <v>74</v>
      </c>
      <c r="B22" s="378" t="s">
        <v>412</v>
      </c>
      <c r="C22" s="933"/>
      <c r="D22" s="166"/>
      <c r="E22" s="405">
        <f t="shared" si="4"/>
        <v>0</v>
      </c>
      <c r="F22" s="933"/>
      <c r="G22" s="166"/>
      <c r="H22" s="405">
        <f t="shared" si="5"/>
        <v>0</v>
      </c>
      <c r="I22" s="933"/>
      <c r="J22" s="166"/>
      <c r="K22" s="1325">
        <f t="shared" si="3"/>
        <v>0</v>
      </c>
      <c r="L22" s="1180">
        <f>'önállóan működő'!C22+'önállóan működő'!F22+'önállóan működő'!I22+'önállóan működő'!L22+'önállóan működő'!O22+'önállóan gazd.'!C22+'önállóan gazd.'!F22+I22</f>
        <v>0</v>
      </c>
      <c r="M22" s="256">
        <f>'önállóan működő'!D22+'önállóan működő'!G22+'önállóan működő'!J22+'önállóan működő'!M22+'önállóan működő'!P22+'önállóan gazd.'!D22+'önállóan gazd.'!G22+J22</f>
        <v>0</v>
      </c>
      <c r="N22" s="258">
        <f>'önállóan működő'!E22+'önállóan működő'!H22+'önállóan működő'!K22+'önállóan működő'!N22+'önállóan működő'!Q22+'önállóan gazd.'!E22+'önállóan gazd.'!H22+K22</f>
        <v>0</v>
      </c>
      <c r="O22" s="955"/>
      <c r="P22" s="166"/>
      <c r="Q22" s="405">
        <f t="shared" si="6"/>
        <v>0</v>
      </c>
      <c r="R22" s="1496">
        <f t="shared" si="0"/>
        <v>0</v>
      </c>
      <c r="S22" s="344">
        <f t="shared" si="1"/>
        <v>0</v>
      </c>
      <c r="T22" s="405">
        <f t="shared" si="2"/>
        <v>0</v>
      </c>
    </row>
    <row r="23" spans="1:20" s="220" customFormat="1" ht="17.25" customHeight="1" thickBot="1">
      <c r="A23" s="361">
        <v>5</v>
      </c>
      <c r="B23" s="348" t="s">
        <v>179</v>
      </c>
      <c r="C23" s="392">
        <f aca="true" t="shared" si="7" ref="C23:Q23">SUM(C15:C22)</f>
        <v>0</v>
      </c>
      <c r="D23" s="358">
        <f t="shared" si="7"/>
        <v>0</v>
      </c>
      <c r="E23" s="364">
        <f t="shared" si="7"/>
        <v>0</v>
      </c>
      <c r="F23" s="374">
        <f t="shared" si="7"/>
        <v>0</v>
      </c>
      <c r="G23" s="358">
        <f t="shared" si="7"/>
        <v>0</v>
      </c>
      <c r="H23" s="374">
        <f t="shared" si="7"/>
        <v>0</v>
      </c>
      <c r="I23" s="392">
        <f>SUM(I15:I22)</f>
        <v>0</v>
      </c>
      <c r="J23" s="358">
        <f>SUM(J15:J22)</f>
        <v>0</v>
      </c>
      <c r="K23" s="374">
        <f>SUM(K15:K22)</f>
        <v>0</v>
      </c>
      <c r="L23" s="392">
        <f t="shared" si="7"/>
        <v>0</v>
      </c>
      <c r="M23" s="358">
        <f t="shared" si="7"/>
        <v>0</v>
      </c>
      <c r="N23" s="364">
        <f t="shared" si="7"/>
        <v>0</v>
      </c>
      <c r="O23" s="392">
        <f t="shared" si="7"/>
        <v>0</v>
      </c>
      <c r="P23" s="358">
        <f t="shared" si="7"/>
        <v>346</v>
      </c>
      <c r="Q23" s="364">
        <f t="shared" si="7"/>
        <v>346</v>
      </c>
      <c r="R23" s="480">
        <f t="shared" si="0"/>
        <v>0</v>
      </c>
      <c r="S23" s="333">
        <f t="shared" si="1"/>
        <v>346</v>
      </c>
      <c r="T23" s="331">
        <f t="shared" si="2"/>
        <v>346</v>
      </c>
    </row>
    <row r="24" spans="1:20" s="188" customFormat="1" ht="17.25" customHeight="1" thickBot="1">
      <c r="A24" s="357">
        <v>6</v>
      </c>
      <c r="B24" s="348" t="s">
        <v>182</v>
      </c>
      <c r="C24" s="362"/>
      <c r="D24" s="358"/>
      <c r="E24" s="331">
        <f aca="true" t="shared" si="8" ref="E24:E30">C24+D24</f>
        <v>0</v>
      </c>
      <c r="F24" s="362">
        <v>5348</v>
      </c>
      <c r="G24" s="358">
        <v>912</v>
      </c>
      <c r="H24" s="331">
        <f aca="true" t="shared" si="9" ref="H24:H30">F24+G24</f>
        <v>6260</v>
      </c>
      <c r="I24" s="374">
        <v>37226</v>
      </c>
      <c r="J24" s="358">
        <v>-6687</v>
      </c>
      <c r="K24" s="1486">
        <f aca="true" t="shared" si="10" ref="K24:K30">I24+J24</f>
        <v>30539</v>
      </c>
      <c r="L24" s="392">
        <f>'önállóan működő'!C24+'önállóan működő'!F24+'önállóan működő'!I24+'önállóan működő'!L24+'önállóan működő'!O24+'önállóan gazd.'!C24+'önállóan gazd.'!F24+I24</f>
        <v>69539</v>
      </c>
      <c r="M24" s="358">
        <f>'önállóan működő'!D24+'önállóan működő'!G24+'önállóan működő'!J24+'önállóan működő'!M24+'önállóan működő'!P24+'önállóan gazd.'!D24+'önállóan gazd.'!G24+J24</f>
        <v>-2872</v>
      </c>
      <c r="N24" s="364">
        <f>'önállóan működő'!E24+'önállóan működő'!H24+'önállóan működő'!K24+'önállóan működő'!N24+'önállóan működő'!Q24+'önállóan gazd.'!E24+'önállóan gazd.'!H24+K24</f>
        <v>66667</v>
      </c>
      <c r="O24" s="392">
        <v>46958</v>
      </c>
      <c r="P24" s="358">
        <f>-8900+4400+1162+532+256-3693-1388</f>
        <v>-7631</v>
      </c>
      <c r="Q24" s="331">
        <f aca="true" t="shared" si="11" ref="Q24:Q30">O24+P24</f>
        <v>39327</v>
      </c>
      <c r="R24" s="480">
        <f t="shared" si="0"/>
        <v>116497</v>
      </c>
      <c r="S24" s="333">
        <f t="shared" si="1"/>
        <v>-10503</v>
      </c>
      <c r="T24" s="331">
        <f t="shared" si="2"/>
        <v>105994</v>
      </c>
    </row>
    <row r="25" spans="1:20" s="220" customFormat="1" ht="17.25" customHeight="1" thickBot="1">
      <c r="A25" s="357">
        <v>7</v>
      </c>
      <c r="B25" s="348" t="s">
        <v>464</v>
      </c>
      <c r="C25" s="392"/>
      <c r="D25" s="358"/>
      <c r="E25" s="331">
        <f t="shared" si="8"/>
        <v>0</v>
      </c>
      <c r="F25" s="392"/>
      <c r="G25" s="358"/>
      <c r="H25" s="331">
        <f t="shared" si="9"/>
        <v>0</v>
      </c>
      <c r="I25" s="374"/>
      <c r="J25" s="358">
        <v>9900</v>
      </c>
      <c r="K25" s="1486">
        <f t="shared" si="10"/>
        <v>9900</v>
      </c>
      <c r="L25" s="392">
        <f>'önállóan működő'!C25+'önállóan működő'!F25+'önállóan működő'!I25+'önállóan működő'!L25+'önállóan működő'!O25+'önállóan gazd.'!C25+'önállóan gazd.'!F25+I25</f>
        <v>0</v>
      </c>
      <c r="M25" s="358">
        <f>'önállóan működő'!D25+'önállóan működő'!G25+'önállóan működő'!J25+'önállóan működő'!M25+'önállóan működő'!P25+'önállóan gazd.'!D25+'önállóan gazd.'!G25+J25</f>
        <v>9900</v>
      </c>
      <c r="N25" s="364">
        <f>'önállóan működő'!E25+'önállóan működő'!H25+'önállóan működő'!K25+'önállóan működő'!N25+'önállóan működő'!Q25+'önállóan gazd.'!E25+'önállóan gazd.'!H25+K25</f>
        <v>9900</v>
      </c>
      <c r="O25" s="392"/>
      <c r="P25" s="358"/>
      <c r="Q25" s="331">
        <f t="shared" si="11"/>
        <v>0</v>
      </c>
      <c r="R25" s="480">
        <f t="shared" si="0"/>
        <v>0</v>
      </c>
      <c r="S25" s="333">
        <f t="shared" si="1"/>
        <v>9900</v>
      </c>
      <c r="T25" s="331">
        <f t="shared" si="2"/>
        <v>9900</v>
      </c>
    </row>
    <row r="26" spans="1:20" s="188" customFormat="1" ht="17.25" customHeight="1">
      <c r="A26" s="171" t="s">
        <v>108</v>
      </c>
      <c r="B26" s="164" t="s">
        <v>413</v>
      </c>
      <c r="C26" s="1180"/>
      <c r="D26" s="256"/>
      <c r="E26" s="405">
        <f t="shared" si="8"/>
        <v>0</v>
      </c>
      <c r="F26" s="1180"/>
      <c r="G26" s="256"/>
      <c r="H26" s="405">
        <f t="shared" si="9"/>
        <v>0</v>
      </c>
      <c r="I26" s="934"/>
      <c r="J26" s="256"/>
      <c r="K26" s="1325">
        <f t="shared" si="10"/>
        <v>0</v>
      </c>
      <c r="L26" s="1180">
        <f>'önállóan működő'!C26+'önállóan működő'!F26+'önállóan működő'!I26+'önállóan működő'!L26+'önállóan működő'!O26+'önállóan gazd.'!C26+'önállóan gazd.'!F26+I26</f>
        <v>0</v>
      </c>
      <c r="M26" s="256">
        <f>'önállóan működő'!D26+'önállóan működő'!G26+'önállóan működő'!J26+'önállóan működő'!M26+'önállóan működő'!P26+'önállóan gazd.'!D26+'önállóan gazd.'!G26+J26</f>
        <v>0</v>
      </c>
      <c r="N26" s="258">
        <f>'önállóan működő'!E26+'önállóan működő'!H26+'önállóan működő'!K26+'önállóan működő'!N26+'önállóan működő'!Q26+'önállóan gazd.'!E26+'önállóan gazd.'!H26+K26</f>
        <v>0</v>
      </c>
      <c r="O26" s="1180"/>
      <c r="P26" s="256"/>
      <c r="Q26" s="405">
        <f t="shared" si="11"/>
        <v>0</v>
      </c>
      <c r="R26" s="1496">
        <f t="shared" si="0"/>
        <v>0</v>
      </c>
      <c r="S26" s="344">
        <f t="shared" si="1"/>
        <v>0</v>
      </c>
      <c r="T26" s="405">
        <f t="shared" si="2"/>
        <v>0</v>
      </c>
    </row>
    <row r="27" spans="1:20" s="188" customFormat="1" ht="17.25" customHeight="1">
      <c r="A27" s="171" t="s">
        <v>109</v>
      </c>
      <c r="B27" s="164" t="s">
        <v>414</v>
      </c>
      <c r="C27" s="1180"/>
      <c r="D27" s="256"/>
      <c r="E27" s="405">
        <f t="shared" si="8"/>
        <v>0</v>
      </c>
      <c r="F27" s="1180"/>
      <c r="G27" s="256"/>
      <c r="H27" s="405">
        <f t="shared" si="9"/>
        <v>0</v>
      </c>
      <c r="I27" s="934"/>
      <c r="J27" s="256"/>
      <c r="K27" s="1325">
        <f t="shared" si="10"/>
        <v>0</v>
      </c>
      <c r="L27" s="1180">
        <f>'önállóan működő'!C27+'önállóan működő'!F27+'önállóan működő'!I27+'önállóan működő'!L27+'önállóan működő'!O27+'önállóan gazd.'!C27+'önállóan gazd.'!F27+I27</f>
        <v>0</v>
      </c>
      <c r="M27" s="256">
        <f>'önállóan működő'!D27+'önállóan működő'!G27+'önállóan működő'!J27+'önállóan működő'!M27+'önállóan működő'!P27+'önállóan gazd.'!D27+'önállóan gazd.'!G27+J27</f>
        <v>0</v>
      </c>
      <c r="N27" s="258">
        <f>'önállóan működő'!E27+'önállóan működő'!H27+'önállóan működő'!K27+'önállóan működő'!N27+'önállóan működő'!Q27+'önállóan gazd.'!E27+'önállóan gazd.'!H27+K27</f>
        <v>0</v>
      </c>
      <c r="O27" s="1180"/>
      <c r="P27" s="256"/>
      <c r="Q27" s="405">
        <f t="shared" si="11"/>
        <v>0</v>
      </c>
      <c r="R27" s="1496">
        <f t="shared" si="0"/>
        <v>0</v>
      </c>
      <c r="S27" s="344">
        <f t="shared" si="1"/>
        <v>0</v>
      </c>
      <c r="T27" s="405">
        <f t="shared" si="2"/>
        <v>0</v>
      </c>
    </row>
    <row r="28" spans="1:20" s="188" customFormat="1" ht="17.25" customHeight="1">
      <c r="A28" s="171" t="s">
        <v>110</v>
      </c>
      <c r="B28" s="162" t="s">
        <v>415</v>
      </c>
      <c r="C28" s="1180"/>
      <c r="D28" s="256"/>
      <c r="E28" s="405">
        <f t="shared" si="8"/>
        <v>0</v>
      </c>
      <c r="F28" s="1180"/>
      <c r="G28" s="256"/>
      <c r="H28" s="405">
        <f t="shared" si="9"/>
        <v>0</v>
      </c>
      <c r="I28" s="934"/>
      <c r="J28" s="256"/>
      <c r="K28" s="1325">
        <f t="shared" si="10"/>
        <v>0</v>
      </c>
      <c r="L28" s="1180">
        <f>'önállóan működő'!C28+'önállóan működő'!F28+'önállóan működő'!I28+'önállóan működő'!L28+'önállóan működő'!O28+'önállóan gazd.'!C28+'önállóan gazd.'!F28+I28</f>
        <v>0</v>
      </c>
      <c r="M28" s="256">
        <f>'önállóan működő'!D28+'önállóan működő'!G28+'önállóan működő'!J28+'önállóan működő'!M28+'önállóan működő'!P28+'önállóan gazd.'!D28+'önállóan gazd.'!G28+J28</f>
        <v>0</v>
      </c>
      <c r="N28" s="258">
        <f>'önállóan működő'!E28+'önállóan működő'!H28+'önállóan működő'!K28+'önállóan működő'!N28+'önállóan működő'!Q28+'önállóan gazd.'!E28+'önállóan gazd.'!H28+K28</f>
        <v>0</v>
      </c>
      <c r="O28" s="1180"/>
      <c r="P28" s="256"/>
      <c r="Q28" s="405">
        <f t="shared" si="11"/>
        <v>0</v>
      </c>
      <c r="R28" s="1496">
        <f t="shared" si="0"/>
        <v>0</v>
      </c>
      <c r="S28" s="344">
        <f t="shared" si="1"/>
        <v>0</v>
      </c>
      <c r="T28" s="405">
        <f t="shared" si="2"/>
        <v>0</v>
      </c>
    </row>
    <row r="29" spans="1:20" s="188" customFormat="1" ht="17.25" customHeight="1">
      <c r="A29" s="171" t="s">
        <v>111</v>
      </c>
      <c r="B29" s="164" t="s">
        <v>416</v>
      </c>
      <c r="C29" s="1180"/>
      <c r="D29" s="256"/>
      <c r="E29" s="405">
        <f t="shared" si="8"/>
        <v>0</v>
      </c>
      <c r="F29" s="1180"/>
      <c r="G29" s="256"/>
      <c r="H29" s="405">
        <f t="shared" si="9"/>
        <v>0</v>
      </c>
      <c r="I29" s="934"/>
      <c r="J29" s="256"/>
      <c r="K29" s="1325">
        <f t="shared" si="10"/>
        <v>0</v>
      </c>
      <c r="L29" s="1180">
        <f>'önállóan működő'!C29+'önállóan működő'!F29+'önállóan működő'!I29+'önállóan működő'!L29+'önállóan működő'!O29+'önállóan gazd.'!C29+'önállóan gazd.'!F29+I29</f>
        <v>0</v>
      </c>
      <c r="M29" s="256">
        <f>'önállóan működő'!D29+'önállóan működő'!G29+'önállóan működő'!J29+'önállóan működő'!M29+'önállóan működő'!P29+'önállóan gazd.'!D29+'önállóan gazd.'!G29+J29</f>
        <v>0</v>
      </c>
      <c r="N29" s="258">
        <f>'önállóan működő'!E29+'önállóan működő'!H29+'önállóan működő'!K29+'önállóan működő'!N29+'önállóan működő'!Q29+'önállóan gazd.'!E29+'önállóan gazd.'!H29+K29</f>
        <v>0</v>
      </c>
      <c r="O29" s="1180"/>
      <c r="P29" s="256"/>
      <c r="Q29" s="405">
        <f t="shared" si="11"/>
        <v>0</v>
      </c>
      <c r="R29" s="1496">
        <f t="shared" si="0"/>
        <v>0</v>
      </c>
      <c r="S29" s="344">
        <f t="shared" si="1"/>
        <v>0</v>
      </c>
      <c r="T29" s="405">
        <f t="shared" si="2"/>
        <v>0</v>
      </c>
    </row>
    <row r="30" spans="1:20" s="188" customFormat="1" ht="17.25" customHeight="1" thickBot="1">
      <c r="A30" s="379" t="s">
        <v>202</v>
      </c>
      <c r="B30" s="162" t="s">
        <v>417</v>
      </c>
      <c r="C30" s="1181"/>
      <c r="D30" s="365"/>
      <c r="E30" s="406">
        <f t="shared" si="8"/>
        <v>0</v>
      </c>
      <c r="F30" s="1181"/>
      <c r="G30" s="365"/>
      <c r="H30" s="406">
        <f t="shared" si="9"/>
        <v>0</v>
      </c>
      <c r="I30" s="172"/>
      <c r="J30" s="365"/>
      <c r="K30" s="1326">
        <f t="shared" si="10"/>
        <v>0</v>
      </c>
      <c r="L30" s="1180">
        <f>'önállóan működő'!C30+'önállóan működő'!F30+'önállóan működő'!I30+'önállóan működő'!L30+'önállóan működő'!O30+'önállóan gazd.'!C30+'önállóan gazd.'!F30+I30</f>
        <v>0</v>
      </c>
      <c r="M30" s="256">
        <f>'önállóan működő'!D30+'önállóan működő'!G30+'önállóan működő'!J30+'önállóan működő'!M30+'önállóan működő'!P30+'önállóan gazd.'!D30+'önállóan gazd.'!G30+J30</f>
        <v>0</v>
      </c>
      <c r="N30" s="258">
        <f>'önállóan működő'!E30+'önállóan működő'!H30+'önállóan működő'!K30+'önállóan működő'!N30+'önállóan működő'!Q30+'önállóan gazd.'!E30+'önállóan gazd.'!H30+K30</f>
        <v>0</v>
      </c>
      <c r="O30" s="1181"/>
      <c r="P30" s="365"/>
      <c r="Q30" s="406">
        <f t="shared" si="11"/>
        <v>0</v>
      </c>
      <c r="R30" s="1496">
        <f t="shared" si="0"/>
        <v>0</v>
      </c>
      <c r="S30" s="344">
        <f t="shared" si="1"/>
        <v>0</v>
      </c>
      <c r="T30" s="405">
        <f t="shared" si="2"/>
        <v>0</v>
      </c>
    </row>
    <row r="31" spans="1:20" s="220" customFormat="1" ht="17.25" customHeight="1" thickBot="1">
      <c r="A31" s="357">
        <v>8</v>
      </c>
      <c r="B31" s="348" t="s">
        <v>181</v>
      </c>
      <c r="C31" s="392">
        <f aca="true" t="shared" si="12" ref="C31:H31">SUM(C26:C30)</f>
        <v>0</v>
      </c>
      <c r="D31" s="358">
        <f t="shared" si="12"/>
        <v>0</v>
      </c>
      <c r="E31" s="360">
        <f t="shared" si="12"/>
        <v>0</v>
      </c>
      <c r="F31" s="392">
        <f t="shared" si="12"/>
        <v>0</v>
      </c>
      <c r="G31" s="358">
        <f t="shared" si="12"/>
        <v>0</v>
      </c>
      <c r="H31" s="360">
        <f t="shared" si="12"/>
        <v>0</v>
      </c>
      <c r="I31" s="374">
        <f>SUM(I26:I30)</f>
        <v>0</v>
      </c>
      <c r="J31" s="358">
        <f>SUM(J26:J30)</f>
        <v>0</v>
      </c>
      <c r="K31" s="374">
        <f>SUM(K26:K30)</f>
        <v>0</v>
      </c>
      <c r="L31" s="392">
        <f>'önállóan működő'!C31+'önállóan működő'!F31+'önállóan működő'!I31+'önállóan működő'!L31+'önállóan működő'!O31+'önállóan gazd.'!C31+'önállóan gazd.'!F31+I31</f>
        <v>0</v>
      </c>
      <c r="M31" s="358">
        <f>'önállóan működő'!D31+'önállóan működő'!G31+'önállóan működő'!J31+'önállóan működő'!M31+'önállóan működő'!P31+'önállóan gazd.'!D31+'önállóan gazd.'!G31+J31</f>
        <v>0</v>
      </c>
      <c r="N31" s="364">
        <f>'önállóan működő'!E31+'önállóan működő'!H31+'önállóan működő'!K31+'önállóan működő'!N31+'önállóan működő'!Q31+'önállóan gazd.'!E31+'önállóan gazd.'!H31+K31</f>
        <v>0</v>
      </c>
      <c r="O31" s="392">
        <f>SUM(O26:O30)</f>
        <v>0</v>
      </c>
      <c r="P31" s="358">
        <f>SUM(P26:P30)</f>
        <v>0</v>
      </c>
      <c r="Q31" s="364">
        <f>SUM(Q26:Q30)</f>
        <v>0</v>
      </c>
      <c r="R31" s="480">
        <f t="shared" si="0"/>
        <v>0</v>
      </c>
      <c r="S31" s="333">
        <f t="shared" si="1"/>
        <v>0</v>
      </c>
      <c r="T31" s="331">
        <f t="shared" si="2"/>
        <v>0</v>
      </c>
    </row>
    <row r="32" spans="1:20" s="188" customFormat="1" ht="17.25" customHeight="1" thickBot="1">
      <c r="A32" s="357">
        <v>9</v>
      </c>
      <c r="B32" s="348" t="s">
        <v>187</v>
      </c>
      <c r="C32" s="392"/>
      <c r="D32" s="358"/>
      <c r="E32" s="331">
        <f>C32+D32</f>
        <v>0</v>
      </c>
      <c r="F32" s="392"/>
      <c r="G32" s="358"/>
      <c r="H32" s="331">
        <f>F32+G32</f>
        <v>0</v>
      </c>
      <c r="I32" s="374"/>
      <c r="J32" s="358"/>
      <c r="K32" s="1486">
        <f>I32+J32</f>
        <v>0</v>
      </c>
      <c r="L32" s="392">
        <f>'önállóan működő'!C32+'önállóan működő'!F32+'önállóan működő'!I32+'önállóan működő'!L32+'önállóan működő'!O32+'önállóan gazd.'!C32+'önállóan gazd.'!F32+I32</f>
        <v>0</v>
      </c>
      <c r="M32" s="358">
        <f>'önállóan működő'!D32+'önállóan működő'!G32+'önállóan működő'!J32+'önállóan működő'!M32+'önállóan működő'!P32+'önállóan gazd.'!D32+'önállóan gazd.'!G32+J32</f>
        <v>0</v>
      </c>
      <c r="N32" s="364">
        <f>'önállóan működő'!E32+'önállóan működő'!H32+'önállóan működő'!K32+'önállóan működő'!N32+'önállóan működő'!Q32+'önállóan gazd.'!E32+'önállóan gazd.'!H32+K32</f>
        <v>0</v>
      </c>
      <c r="O32" s="392"/>
      <c r="P32" s="358"/>
      <c r="Q32" s="331">
        <f>O32+P32</f>
        <v>0</v>
      </c>
      <c r="R32" s="480">
        <f t="shared" si="0"/>
        <v>0</v>
      </c>
      <c r="S32" s="333">
        <f t="shared" si="1"/>
        <v>0</v>
      </c>
      <c r="T32" s="331">
        <f t="shared" si="2"/>
        <v>0</v>
      </c>
    </row>
    <row r="33" spans="1:20" s="167" customFormat="1" ht="17.25" customHeight="1" thickBot="1">
      <c r="A33" s="412">
        <v>10</v>
      </c>
      <c r="B33" s="413"/>
      <c r="C33" s="173"/>
      <c r="D33" s="414"/>
      <c r="E33" s="417">
        <f>SUM(C33:D33)</f>
        <v>0</v>
      </c>
      <c r="F33" s="173"/>
      <c r="G33" s="414"/>
      <c r="H33" s="415">
        <f>SUM(F33:G33)</f>
        <v>0</v>
      </c>
      <c r="I33" s="336"/>
      <c r="J33" s="414"/>
      <c r="K33" s="336">
        <f>SUM(I33:J33)</f>
        <v>0</v>
      </c>
      <c r="L33" s="392">
        <f>'önállóan működő'!C33+'önállóan működő'!F33+'önállóan működő'!I33+'önállóan működő'!L33+'önállóan működő'!O33+'önállóan gazd.'!C33+'önállóan gazd.'!F33+I33</f>
        <v>0</v>
      </c>
      <c r="M33" s="358">
        <f>'önállóan működő'!D33+'önállóan működő'!G33+'önállóan működő'!J33+'önállóan működő'!M33+'önállóan működő'!P33+'önállóan gazd.'!D33+'önállóan gazd.'!G33+J33</f>
        <v>0</v>
      </c>
      <c r="N33" s="364">
        <f>'önállóan működő'!E33+'önállóan működő'!H33+'önállóan működő'!K33+'önállóan működő'!N33+'önállóan működő'!Q33+'önállóan gazd.'!E33+'önállóan gazd.'!H33+K33</f>
        <v>0</v>
      </c>
      <c r="O33" s="173"/>
      <c r="P33" s="414"/>
      <c r="Q33" s="1212">
        <f>SUM(O33:P33)</f>
        <v>0</v>
      </c>
      <c r="R33" s="480">
        <f t="shared" si="0"/>
        <v>0</v>
      </c>
      <c r="S33" s="333">
        <f t="shared" si="1"/>
        <v>0</v>
      </c>
      <c r="T33" s="331">
        <f t="shared" si="2"/>
        <v>0</v>
      </c>
    </row>
    <row r="34" spans="1:21" s="175" customFormat="1" ht="17.25" customHeight="1" thickBot="1" thickTop="1">
      <c r="A34" s="387" t="s">
        <v>118</v>
      </c>
      <c r="B34" s="411" t="s">
        <v>188</v>
      </c>
      <c r="C34" s="410">
        <f aca="true" t="shared" si="13" ref="C34:K34">C11+C12+C13+C23+C14+C31+C25+C24+C32+C33</f>
        <v>0</v>
      </c>
      <c r="D34" s="388">
        <f t="shared" si="13"/>
        <v>0</v>
      </c>
      <c r="E34" s="824">
        <f t="shared" si="13"/>
        <v>0</v>
      </c>
      <c r="F34" s="410">
        <f t="shared" si="13"/>
        <v>776480</v>
      </c>
      <c r="G34" s="388">
        <f t="shared" si="13"/>
        <v>61553</v>
      </c>
      <c r="H34" s="824">
        <f t="shared" si="13"/>
        <v>838033</v>
      </c>
      <c r="I34" s="410">
        <f t="shared" si="13"/>
        <v>428469</v>
      </c>
      <c r="J34" s="388">
        <f t="shared" si="13"/>
        <v>13860</v>
      </c>
      <c r="K34" s="824">
        <f t="shared" si="13"/>
        <v>442329</v>
      </c>
      <c r="L34" s="410">
        <f>'önállóan működő'!C34+'önállóan működő'!F34+'önállóan működő'!I34+'önállóan működő'!L34+'önállóan működő'!O34+'önállóan gazd.'!C34+'önállóan gazd.'!F34+I34</f>
        <v>3842741</v>
      </c>
      <c r="M34" s="388">
        <f>'önállóan működő'!D34+'önállóan működő'!G34+'önállóan működő'!J34+'önállóan működő'!M34+'önállóan működő'!P34+'önállóan gazd.'!D34+'önállóan gazd.'!G34+J34</f>
        <v>141074</v>
      </c>
      <c r="N34" s="421">
        <f>'önállóan működő'!E34+'önállóan működő'!H34+'önállóan működő'!K34+'önállóan működő'!N34+'önállóan működő'!Q34+'önállóan gazd.'!E34+'önállóan gazd.'!H34+K34</f>
        <v>3983815</v>
      </c>
      <c r="O34" s="410">
        <f>O11+O12+O13+O23+O14+O31+O25+O24+O32+O33</f>
        <v>1432879</v>
      </c>
      <c r="P34" s="388">
        <f>P11+P12+P13+P23+P14+P31+P25+P24+P32+P33</f>
        <v>8605</v>
      </c>
      <c r="Q34" s="421">
        <f>Q11+Q12+Q13+Q23+Q14+Q31+Q25+Q24+Q32+Q33</f>
        <v>1441484</v>
      </c>
      <c r="R34" s="1497">
        <f t="shared" si="0"/>
        <v>5275620</v>
      </c>
      <c r="S34" s="425">
        <f t="shared" si="1"/>
        <v>149679</v>
      </c>
      <c r="T34" s="426">
        <f t="shared" si="2"/>
        <v>5425299</v>
      </c>
      <c r="U34" s="174"/>
    </row>
    <row r="35" spans="1:21" s="96" customFormat="1" ht="19.5" customHeight="1" thickBot="1" thickTop="1">
      <c r="A35" s="159"/>
      <c r="B35" s="391" t="s">
        <v>142</v>
      </c>
      <c r="C35" s="1182"/>
      <c r="D35" s="345"/>
      <c r="E35" s="1188"/>
      <c r="F35" s="1182"/>
      <c r="G35" s="345"/>
      <c r="H35" s="1188"/>
      <c r="I35" s="935"/>
      <c r="J35" s="345"/>
      <c r="K35" s="1487"/>
      <c r="L35" s="1197"/>
      <c r="M35" s="419"/>
      <c r="N35" s="420"/>
      <c r="O35" s="1182"/>
      <c r="P35" s="345"/>
      <c r="Q35" s="1188"/>
      <c r="R35" s="1498"/>
      <c r="S35" s="407"/>
      <c r="T35" s="1204"/>
      <c r="U35" s="176"/>
    </row>
    <row r="36" spans="1:20" s="806" customFormat="1" ht="17.25" customHeight="1">
      <c r="A36" s="815" t="s">
        <v>108</v>
      </c>
      <c r="B36" s="816" t="s">
        <v>418</v>
      </c>
      <c r="C36" s="818"/>
      <c r="D36" s="817"/>
      <c r="E36" s="819">
        <f>SUM(C36:D36)</f>
        <v>0</v>
      </c>
      <c r="F36" s="818"/>
      <c r="G36" s="817"/>
      <c r="H36" s="819">
        <f>SUM(F36:G36)</f>
        <v>0</v>
      </c>
      <c r="I36" s="821"/>
      <c r="J36" s="817"/>
      <c r="K36" s="1488">
        <f>SUM(I36:J36)</f>
        <v>0</v>
      </c>
      <c r="L36" s="1180">
        <f>'önállóan működő'!C36+'önállóan működő'!F36+'önállóan működő'!I36+'önállóan működő'!L36+'önállóan működő'!O36+'önállóan gazd.'!C36+'önállóan gazd.'!F36+I36</f>
        <v>0</v>
      </c>
      <c r="M36" s="256">
        <f>'önállóan működő'!D36+'önállóan működő'!G36+'önállóan működő'!J36+'önállóan működő'!M36+'önállóan működő'!P36+'önállóan gazd.'!D36+'önállóan gazd.'!G36+J36</f>
        <v>0</v>
      </c>
      <c r="N36" s="258">
        <f>'önállóan működő'!E36+'önállóan működő'!H36+'önállóan működő'!K36+'önállóan működő'!N36+'önállóan működő'!Q36+'önállóan gazd.'!E36+'önállóan gazd.'!H36+K36</f>
        <v>0</v>
      </c>
      <c r="O36" s="1190"/>
      <c r="P36" s="817"/>
      <c r="Q36" s="819">
        <f>SUM(O36:P36)</f>
        <v>0</v>
      </c>
      <c r="R36" s="1496">
        <f aca="true" t="shared" si="14" ref="R36:R55">L36+O36</f>
        <v>0</v>
      </c>
      <c r="S36" s="344">
        <f aca="true" t="shared" si="15" ref="S36:S55">M36+P36</f>
        <v>0</v>
      </c>
      <c r="T36" s="405">
        <f aca="true" t="shared" si="16" ref="T36:T55">N36+Q36</f>
        <v>0</v>
      </c>
    </row>
    <row r="37" spans="1:20" s="806" customFormat="1" ht="17.25" customHeight="1">
      <c r="A37" s="168" t="s">
        <v>109</v>
      </c>
      <c r="B37" s="164" t="s">
        <v>259</v>
      </c>
      <c r="C37" s="350"/>
      <c r="D37" s="154"/>
      <c r="E37" s="481">
        <f aca="true" t="shared" si="17" ref="E37:E44">C37+D37</f>
        <v>0</v>
      </c>
      <c r="F37" s="350"/>
      <c r="G37" s="154"/>
      <c r="H37" s="481">
        <f aca="true" t="shared" si="18" ref="H37:H44">F37+G37</f>
        <v>0</v>
      </c>
      <c r="I37" s="932"/>
      <c r="J37" s="154"/>
      <c r="K37" s="1489">
        <f>I37+J37</f>
        <v>0</v>
      </c>
      <c r="L37" s="1180">
        <f>'önállóan működő'!C37+'önállóan működő'!F37+'önállóan működő'!I37+'önállóan működő'!L37+'önállóan működő'!O37+'önállóan gazd.'!C37+'önállóan gazd.'!F37+I37</f>
        <v>0</v>
      </c>
      <c r="M37" s="256">
        <f>'önállóan működő'!D37+'önállóan működő'!G37+'önállóan működő'!J37+'önállóan működő'!M37+'önállóan működő'!P37+'önállóan gazd.'!D37+'önállóan gazd.'!G37+J37</f>
        <v>0</v>
      </c>
      <c r="N37" s="258">
        <f>'önállóan működő'!E37+'önállóan működő'!H37+'önállóan működő'!K37+'önállóan működő'!N37+'önállóan működő'!Q37+'önállóan gazd.'!E37+'önállóan gazd.'!H37+K37</f>
        <v>0</v>
      </c>
      <c r="O37" s="954"/>
      <c r="P37" s="154"/>
      <c r="Q37" s="481">
        <f aca="true" t="shared" si="19" ref="Q37:Q44">O37+P37</f>
        <v>0</v>
      </c>
      <c r="R37" s="1496">
        <f t="shared" si="14"/>
        <v>0</v>
      </c>
      <c r="S37" s="344">
        <f t="shared" si="15"/>
        <v>0</v>
      </c>
      <c r="T37" s="405">
        <f t="shared" si="16"/>
        <v>0</v>
      </c>
    </row>
    <row r="38" spans="1:20" s="806" customFormat="1" ht="17.25" customHeight="1">
      <c r="A38" s="379" t="s">
        <v>110</v>
      </c>
      <c r="B38" s="157" t="s">
        <v>419</v>
      </c>
      <c r="C38" s="373"/>
      <c r="D38" s="365"/>
      <c r="E38" s="406">
        <f t="shared" si="17"/>
        <v>0</v>
      </c>
      <c r="F38" s="373"/>
      <c r="G38" s="365"/>
      <c r="H38" s="406">
        <f t="shared" si="18"/>
        <v>0</v>
      </c>
      <c r="I38" s="172"/>
      <c r="J38" s="365"/>
      <c r="K38" s="1326">
        <f>I38+J38</f>
        <v>0</v>
      </c>
      <c r="L38" s="1180">
        <f>'önállóan működő'!C38+'önállóan működő'!F38+'önállóan működő'!I38+'önállóan működő'!L38+'önállóan működő'!O38+'önállóan gazd.'!C38+'önállóan gazd.'!F38+I38</f>
        <v>0</v>
      </c>
      <c r="M38" s="256">
        <f>'önállóan működő'!D38+'önállóan működő'!G38+'önállóan működő'!J38+'önállóan működő'!M38+'önállóan működő'!P38+'önállóan gazd.'!D38+'önállóan gazd.'!G38+J38</f>
        <v>0</v>
      </c>
      <c r="N38" s="258">
        <f>'önállóan működő'!E38+'önállóan működő'!H38+'önállóan működő'!K38+'önállóan működő'!N38+'önállóan működő'!Q38+'önállóan gazd.'!E38+'önállóan gazd.'!H38+K38</f>
        <v>0</v>
      </c>
      <c r="O38" s="1181"/>
      <c r="P38" s="365"/>
      <c r="Q38" s="406">
        <f t="shared" si="19"/>
        <v>0</v>
      </c>
      <c r="R38" s="1496">
        <f t="shared" si="14"/>
        <v>0</v>
      </c>
      <c r="S38" s="344">
        <f t="shared" si="15"/>
        <v>0</v>
      </c>
      <c r="T38" s="405">
        <f t="shared" si="16"/>
        <v>0</v>
      </c>
    </row>
    <row r="39" spans="1:20" s="806" customFormat="1" ht="17.25" customHeight="1" thickBot="1">
      <c r="A39" s="169" t="s">
        <v>111</v>
      </c>
      <c r="B39" s="170" t="s">
        <v>423</v>
      </c>
      <c r="C39" s="351"/>
      <c r="D39" s="166"/>
      <c r="E39" s="483">
        <f t="shared" si="17"/>
        <v>0</v>
      </c>
      <c r="F39" s="351"/>
      <c r="G39" s="166"/>
      <c r="H39" s="483">
        <f t="shared" si="18"/>
        <v>0</v>
      </c>
      <c r="I39" s="933"/>
      <c r="J39" s="166"/>
      <c r="K39" s="1490">
        <f>I39+J39</f>
        <v>0</v>
      </c>
      <c r="L39" s="1180">
        <f>'önállóan működő'!C39+'önállóan működő'!F39+'önállóan működő'!I39+'önállóan működő'!L39+'önállóan működő'!O39+'önállóan gazd.'!C39+'önállóan gazd.'!F39+I39</f>
        <v>0</v>
      </c>
      <c r="M39" s="256">
        <f>'önállóan működő'!D39+'önállóan működő'!G39+'önállóan működő'!J39+'önállóan működő'!M39+'önállóan működő'!P39+'önállóan gazd.'!D39+'önállóan gazd.'!G39+J39</f>
        <v>0</v>
      </c>
      <c r="N39" s="258">
        <f>'önállóan működő'!E39+'önállóan működő'!H39+'önállóan működő'!K39+'önállóan működő'!N39+'önállóan működő'!Q39+'önállóan gazd.'!E39+'önállóan gazd.'!H39+K39</f>
        <v>0</v>
      </c>
      <c r="O39" s="955"/>
      <c r="P39" s="166">
        <f>10206+947</f>
        <v>11153</v>
      </c>
      <c r="Q39" s="483">
        <f t="shared" si="19"/>
        <v>11153</v>
      </c>
      <c r="R39" s="1496">
        <f t="shared" si="14"/>
        <v>0</v>
      </c>
      <c r="S39" s="344">
        <f t="shared" si="15"/>
        <v>11153</v>
      </c>
      <c r="T39" s="405">
        <f t="shared" si="16"/>
        <v>11153</v>
      </c>
    </row>
    <row r="40" spans="1:20" s="220" customFormat="1" ht="17.25" customHeight="1" thickBot="1">
      <c r="A40" s="357">
        <v>1</v>
      </c>
      <c r="B40" s="348" t="s">
        <v>185</v>
      </c>
      <c r="C40" s="392">
        <f aca="true" t="shared" si="20" ref="C40:Q40">SUM(C36:C39)</f>
        <v>0</v>
      </c>
      <c r="D40" s="358">
        <f t="shared" si="20"/>
        <v>0</v>
      </c>
      <c r="E40" s="364">
        <f t="shared" si="20"/>
        <v>0</v>
      </c>
      <c r="F40" s="392">
        <f t="shared" si="20"/>
        <v>0</v>
      </c>
      <c r="G40" s="358">
        <f t="shared" si="20"/>
        <v>0</v>
      </c>
      <c r="H40" s="364">
        <f t="shared" si="20"/>
        <v>0</v>
      </c>
      <c r="I40" s="392">
        <f>SUM(I36:I39)</f>
        <v>0</v>
      </c>
      <c r="J40" s="358">
        <f>SUM(J36:J39)</f>
        <v>0</v>
      </c>
      <c r="K40" s="374">
        <f>SUM(K36:K39)</f>
        <v>0</v>
      </c>
      <c r="L40" s="392">
        <f t="shared" si="20"/>
        <v>0</v>
      </c>
      <c r="M40" s="358">
        <f t="shared" si="20"/>
        <v>0</v>
      </c>
      <c r="N40" s="364">
        <f t="shared" si="20"/>
        <v>0</v>
      </c>
      <c r="O40" s="392">
        <f t="shared" si="20"/>
        <v>0</v>
      </c>
      <c r="P40" s="358">
        <f t="shared" si="20"/>
        <v>11153</v>
      </c>
      <c r="Q40" s="364">
        <f t="shared" si="20"/>
        <v>11153</v>
      </c>
      <c r="R40" s="480">
        <f t="shared" si="14"/>
        <v>0</v>
      </c>
      <c r="S40" s="333">
        <f t="shared" si="15"/>
        <v>11153</v>
      </c>
      <c r="T40" s="331">
        <f t="shared" si="16"/>
        <v>11153</v>
      </c>
    </row>
    <row r="41" spans="1:20" s="188" customFormat="1" ht="17.25" customHeight="1">
      <c r="A41" s="171" t="s">
        <v>108</v>
      </c>
      <c r="B41" s="160" t="s">
        <v>445</v>
      </c>
      <c r="C41" s="349"/>
      <c r="D41" s="256"/>
      <c r="E41" s="406">
        <f t="shared" si="17"/>
        <v>0</v>
      </c>
      <c r="F41" s="349"/>
      <c r="G41" s="256"/>
      <c r="H41" s="406">
        <f t="shared" si="18"/>
        <v>0</v>
      </c>
      <c r="I41" s="934"/>
      <c r="J41" s="256"/>
      <c r="K41" s="1326">
        <f>I41+J41</f>
        <v>0</v>
      </c>
      <c r="L41" s="1180">
        <f>'önállóan működő'!C41+'önállóan működő'!F41+'önállóan működő'!I41+'önállóan működő'!L41+'önállóan működő'!O41+'önállóan gazd.'!C41+'önállóan gazd.'!F41+I41</f>
        <v>0</v>
      </c>
      <c r="M41" s="256">
        <f>'önállóan működő'!D41+'önállóan működő'!G41+'önállóan működő'!J41+'önállóan működő'!M41+'önállóan működő'!P41+'önállóan gazd.'!D41+'önállóan gazd.'!G41+J41</f>
        <v>0</v>
      </c>
      <c r="N41" s="258">
        <f>'önállóan működő'!E41+'önállóan működő'!H41+'önállóan működő'!K41+'önállóan működő'!N41+'önállóan működő'!Q41+'önállóan gazd.'!E41+'önállóan gazd.'!H41+K41</f>
        <v>0</v>
      </c>
      <c r="O41" s="1180"/>
      <c r="P41" s="256"/>
      <c r="Q41" s="406">
        <f t="shared" si="19"/>
        <v>0</v>
      </c>
      <c r="R41" s="1496">
        <f t="shared" si="14"/>
        <v>0</v>
      </c>
      <c r="S41" s="344">
        <f t="shared" si="15"/>
        <v>0</v>
      </c>
      <c r="T41" s="405">
        <f t="shared" si="16"/>
        <v>0</v>
      </c>
    </row>
    <row r="42" spans="1:20" s="188" customFormat="1" ht="17.25" customHeight="1">
      <c r="A42" s="168" t="s">
        <v>109</v>
      </c>
      <c r="B42" s="164" t="s">
        <v>420</v>
      </c>
      <c r="C42" s="350"/>
      <c r="D42" s="154"/>
      <c r="E42" s="483">
        <f t="shared" si="17"/>
        <v>0</v>
      </c>
      <c r="F42" s="350"/>
      <c r="G42" s="154"/>
      <c r="H42" s="483">
        <f t="shared" si="18"/>
        <v>0</v>
      </c>
      <c r="I42" s="932"/>
      <c r="J42" s="154"/>
      <c r="K42" s="1490">
        <f>I42+J42</f>
        <v>0</v>
      </c>
      <c r="L42" s="1180">
        <f>'önállóan működő'!C42+'önállóan működő'!F42+'önállóan működő'!I42+'önállóan működő'!L42+'önállóan működő'!O42+'önállóan gazd.'!C42+'önállóan gazd.'!F42+I42</f>
        <v>0</v>
      </c>
      <c r="M42" s="256">
        <f>'önállóan működő'!D42+'önállóan működő'!G42+'önállóan működő'!J42+'önállóan működő'!M42+'önállóan működő'!P42+'önállóan gazd.'!D42+'önállóan gazd.'!G42+J42</f>
        <v>0</v>
      </c>
      <c r="N42" s="258">
        <f>'önállóan működő'!E42+'önállóan működő'!H42+'önállóan működő'!K42+'önállóan működő'!N42+'önállóan működő'!Q42+'önállóan gazd.'!E42+'önállóan gazd.'!H42+K42</f>
        <v>0</v>
      </c>
      <c r="O42" s="954"/>
      <c r="P42" s="154"/>
      <c r="Q42" s="483">
        <f t="shared" si="19"/>
        <v>0</v>
      </c>
      <c r="R42" s="1496">
        <f t="shared" si="14"/>
        <v>0</v>
      </c>
      <c r="S42" s="344">
        <f t="shared" si="15"/>
        <v>0</v>
      </c>
      <c r="T42" s="405">
        <f t="shared" si="16"/>
        <v>0</v>
      </c>
    </row>
    <row r="43" spans="1:20" s="188" customFormat="1" ht="17.25" customHeight="1">
      <c r="A43" s="168" t="s">
        <v>110</v>
      </c>
      <c r="B43" s="164" t="s">
        <v>421</v>
      </c>
      <c r="C43" s="350"/>
      <c r="D43" s="154"/>
      <c r="E43" s="483">
        <f t="shared" si="17"/>
        <v>0</v>
      </c>
      <c r="F43" s="350"/>
      <c r="G43" s="154"/>
      <c r="H43" s="483">
        <f t="shared" si="18"/>
        <v>0</v>
      </c>
      <c r="I43" s="932"/>
      <c r="J43" s="154"/>
      <c r="K43" s="1490">
        <f>I43+J43</f>
        <v>0</v>
      </c>
      <c r="L43" s="1180">
        <f>'önállóan működő'!C43+'önállóan működő'!F43+'önállóan működő'!I43+'önállóan működő'!L43+'önállóan működő'!O43+'önállóan gazd.'!C43+'önállóan gazd.'!F43+I43</f>
        <v>0</v>
      </c>
      <c r="M43" s="256">
        <f>'önállóan működő'!D43+'önállóan működő'!G43+'önállóan működő'!J43+'önállóan működő'!M43+'önállóan működő'!P43+'önállóan gazd.'!D43+'önállóan gazd.'!G43+J43</f>
        <v>0</v>
      </c>
      <c r="N43" s="258">
        <f>'önállóan működő'!E43+'önállóan működő'!H43+'önállóan működő'!K43+'önállóan működő'!N43+'önállóan működő'!Q43+'önállóan gazd.'!E43+'önállóan gazd.'!H43+K43</f>
        <v>0</v>
      </c>
      <c r="O43" s="954"/>
      <c r="P43" s="154"/>
      <c r="Q43" s="483">
        <f t="shared" si="19"/>
        <v>0</v>
      </c>
      <c r="R43" s="1496">
        <f t="shared" si="14"/>
        <v>0</v>
      </c>
      <c r="S43" s="344">
        <f t="shared" si="15"/>
        <v>0</v>
      </c>
      <c r="T43" s="405">
        <f t="shared" si="16"/>
        <v>0</v>
      </c>
    </row>
    <row r="44" spans="1:20" s="188" customFormat="1" ht="17.25" customHeight="1" thickBot="1">
      <c r="A44" s="169" t="s">
        <v>111</v>
      </c>
      <c r="B44" s="170" t="s">
        <v>183</v>
      </c>
      <c r="C44" s="351"/>
      <c r="D44" s="166"/>
      <c r="E44" s="483">
        <f t="shared" si="17"/>
        <v>0</v>
      </c>
      <c r="F44" s="351"/>
      <c r="G44" s="166"/>
      <c r="H44" s="483">
        <f t="shared" si="18"/>
        <v>0</v>
      </c>
      <c r="I44" s="933"/>
      <c r="J44" s="166"/>
      <c r="K44" s="1490">
        <f>I44+J44</f>
        <v>0</v>
      </c>
      <c r="L44" s="1180">
        <f>'önállóan működő'!C44+'önállóan működő'!F44+'önállóan működő'!I44+'önállóan működő'!L44+'önállóan működő'!O44+'önállóan gazd.'!C44+'önállóan gazd.'!F44+I44</f>
        <v>0</v>
      </c>
      <c r="M44" s="256">
        <f>'önállóan működő'!D44+'önállóan működő'!G44+'önállóan működő'!J44+'önállóan működő'!M44+'önállóan működő'!P44+'önállóan gazd.'!D44+'önállóan gazd.'!G44+J44</f>
        <v>0</v>
      </c>
      <c r="N44" s="258">
        <f>'önállóan működő'!E44+'önállóan működő'!H44+'önállóan működő'!K44+'önállóan működő'!N44+'önállóan működő'!Q44+'önállóan gazd.'!E44+'önállóan gazd.'!H44+K44</f>
        <v>0</v>
      </c>
      <c r="O44" s="955"/>
      <c r="P44" s="166">
        <v>140</v>
      </c>
      <c r="Q44" s="483">
        <f t="shared" si="19"/>
        <v>140</v>
      </c>
      <c r="R44" s="1496">
        <f t="shared" si="14"/>
        <v>0</v>
      </c>
      <c r="S44" s="344">
        <f t="shared" si="15"/>
        <v>140</v>
      </c>
      <c r="T44" s="405">
        <f t="shared" si="16"/>
        <v>140</v>
      </c>
    </row>
    <row r="45" spans="1:20" s="220" customFormat="1" ht="17.25" customHeight="1" thickBot="1">
      <c r="A45" s="357">
        <v>2</v>
      </c>
      <c r="B45" s="348" t="s">
        <v>184</v>
      </c>
      <c r="C45" s="392">
        <f>SUM(C41:C44)</f>
        <v>0</v>
      </c>
      <c r="D45" s="358">
        <f aca="true" t="shared" si="21" ref="D45:Q45">SUM(D41:D44)</f>
        <v>0</v>
      </c>
      <c r="E45" s="360">
        <f t="shared" si="21"/>
        <v>0</v>
      </c>
      <c r="F45" s="362">
        <f t="shared" si="21"/>
        <v>0</v>
      </c>
      <c r="G45" s="358">
        <f t="shared" si="21"/>
        <v>0</v>
      </c>
      <c r="H45" s="360">
        <f t="shared" si="21"/>
        <v>0</v>
      </c>
      <c r="I45" s="362">
        <f>SUM(I41:I44)</f>
        <v>0</v>
      </c>
      <c r="J45" s="358">
        <f>SUM(J41:J44)</f>
        <v>0</v>
      </c>
      <c r="K45" s="374">
        <f>SUM(K41:K44)</f>
        <v>0</v>
      </c>
      <c r="L45" s="392">
        <f t="shared" si="21"/>
        <v>0</v>
      </c>
      <c r="M45" s="358">
        <f t="shared" si="21"/>
        <v>0</v>
      </c>
      <c r="N45" s="364">
        <f t="shared" si="21"/>
        <v>0</v>
      </c>
      <c r="O45" s="392">
        <f t="shared" si="21"/>
        <v>0</v>
      </c>
      <c r="P45" s="358">
        <f t="shared" si="21"/>
        <v>140</v>
      </c>
      <c r="Q45" s="364">
        <f t="shared" si="21"/>
        <v>140</v>
      </c>
      <c r="R45" s="480">
        <f t="shared" si="14"/>
        <v>0</v>
      </c>
      <c r="S45" s="333">
        <f t="shared" si="15"/>
        <v>140</v>
      </c>
      <c r="T45" s="331">
        <f t="shared" si="16"/>
        <v>140</v>
      </c>
    </row>
    <row r="46" spans="1:20" s="220" customFormat="1" ht="17.25" customHeight="1" thickBot="1">
      <c r="A46" s="357">
        <v>3</v>
      </c>
      <c r="B46" s="348" t="s">
        <v>278</v>
      </c>
      <c r="C46" s="392"/>
      <c r="D46" s="358"/>
      <c r="E46" s="360">
        <f>SUM(C46:D46)</f>
        <v>0</v>
      </c>
      <c r="F46" s="392">
        <v>177887</v>
      </c>
      <c r="G46" s="358">
        <v>54559</v>
      </c>
      <c r="H46" s="360">
        <f>SUM(F46:G46)</f>
        <v>232446</v>
      </c>
      <c r="I46" s="392">
        <v>86496</v>
      </c>
      <c r="J46" s="358"/>
      <c r="K46" s="374">
        <f>SUM(I46:J46)</f>
        <v>86496</v>
      </c>
      <c r="L46" s="392">
        <f>'önállóan működő'!C46+'önállóan működő'!F46+'önállóan működő'!I46+'önállóan működő'!L46+'önállóan működő'!O46+'önállóan gazd.'!C46+'önállóan gazd.'!F46+I46</f>
        <v>361609</v>
      </c>
      <c r="M46" s="358">
        <f>'önállóan működő'!D46+'önállóan működő'!G46+'önállóan működő'!J46+'önállóan működő'!M46+'önállóan működő'!P46+'önállóan gazd.'!D46+'önállóan gazd.'!G46+J46</f>
        <v>68863</v>
      </c>
      <c r="N46" s="364">
        <f>'önállóan működő'!E46+'önállóan működő'!H46+'önállóan működő'!K46+'önállóan működő'!N46+'önállóan működő'!Q46+'önállóan gazd.'!E46+'önállóan gazd.'!H46+K46</f>
        <v>430472</v>
      </c>
      <c r="O46" s="392">
        <v>6810</v>
      </c>
      <c r="P46" s="358">
        <f>22+5+126-1603-944-606</f>
        <v>-3000</v>
      </c>
      <c r="Q46" s="364">
        <f>SUM(O46:P46)</f>
        <v>3810</v>
      </c>
      <c r="R46" s="480">
        <f t="shared" si="14"/>
        <v>368419</v>
      </c>
      <c r="S46" s="333">
        <f t="shared" si="15"/>
        <v>65863</v>
      </c>
      <c r="T46" s="331">
        <f t="shared" si="16"/>
        <v>434282</v>
      </c>
    </row>
    <row r="47" spans="1:20" s="188" customFormat="1" ht="17.25" customHeight="1" thickBot="1">
      <c r="A47" s="357">
        <v>4</v>
      </c>
      <c r="B47" s="348" t="s">
        <v>299</v>
      </c>
      <c r="C47" s="392"/>
      <c r="D47" s="358"/>
      <c r="E47" s="360">
        <f>SUM(C47:D47)</f>
        <v>0</v>
      </c>
      <c r="F47" s="392"/>
      <c r="G47" s="358"/>
      <c r="H47" s="360">
        <f>SUM(F47:G47)</f>
        <v>0</v>
      </c>
      <c r="I47" s="392"/>
      <c r="J47" s="358"/>
      <c r="K47" s="374">
        <f>SUM(I47:J47)</f>
        <v>0</v>
      </c>
      <c r="L47" s="392">
        <f>'önállóan működő'!C47+'önállóan működő'!F47+'önállóan működő'!I47+'önállóan működő'!L47+'önállóan működő'!O47+'önállóan gazd.'!C47+'önállóan gazd.'!F47+I47</f>
        <v>0</v>
      </c>
      <c r="M47" s="358">
        <f>'önállóan működő'!D47+'önállóan működő'!G47+'önállóan működő'!J47+'önállóan működő'!M47+'önállóan működő'!P47+'önállóan gazd.'!D47+'önállóan gazd.'!G47+J47</f>
        <v>0</v>
      </c>
      <c r="N47" s="364">
        <f>'önállóan működő'!E47+'önállóan működő'!H47+'önállóan működő'!K47+'önállóan működő'!N47+'önállóan működő'!Q47+'önállóan gazd.'!E47+'önállóan gazd.'!H47+K47</f>
        <v>0</v>
      </c>
      <c r="O47" s="374"/>
      <c r="P47" s="358"/>
      <c r="Q47" s="364">
        <f>SUM(O47:P47)</f>
        <v>0</v>
      </c>
      <c r="R47" s="330">
        <f t="shared" si="14"/>
        <v>0</v>
      </c>
      <c r="S47" s="333">
        <f t="shared" si="15"/>
        <v>0</v>
      </c>
      <c r="T47" s="331">
        <f t="shared" si="16"/>
        <v>0</v>
      </c>
    </row>
    <row r="48" spans="1:20" s="806" customFormat="1" ht="17.25" customHeight="1">
      <c r="A48" s="171" t="s">
        <v>108</v>
      </c>
      <c r="B48" s="157" t="s">
        <v>305</v>
      </c>
      <c r="C48" s="1180"/>
      <c r="D48" s="256"/>
      <c r="E48" s="406">
        <f>C48+D48</f>
        <v>0</v>
      </c>
      <c r="F48" s="1180"/>
      <c r="G48" s="256"/>
      <c r="H48" s="406">
        <f>F48+G48</f>
        <v>0</v>
      </c>
      <c r="I48" s="934"/>
      <c r="J48" s="256"/>
      <c r="K48" s="1326">
        <f>I48+J48</f>
        <v>0</v>
      </c>
      <c r="L48" s="1180">
        <f>'önállóan működő'!C48+'önállóan működő'!F48+'önállóan működő'!I48+'önállóan működő'!L48+'önállóan működő'!O48+'önállóan gazd.'!C48+'önállóan gazd.'!F48+I48</f>
        <v>0</v>
      </c>
      <c r="M48" s="256">
        <f>'önállóan működő'!D48+'önállóan működő'!G48+'önállóan működő'!J48+'önállóan működő'!M48+'önállóan működő'!P48+'önállóan gazd.'!D48+'önállóan gazd.'!G48+J48</f>
        <v>0</v>
      </c>
      <c r="N48" s="258">
        <f>'önállóan működő'!E48+'önállóan működő'!H48+'önállóan működő'!K48+'önállóan működő'!N48+'önállóan működő'!Q48+'önállóan gazd.'!E48+'önállóan gazd.'!H48+K48</f>
        <v>0</v>
      </c>
      <c r="O48" s="934"/>
      <c r="P48" s="256"/>
      <c r="Q48" s="406">
        <f>O48+P48</f>
        <v>0</v>
      </c>
      <c r="R48" s="344">
        <f t="shared" si="14"/>
        <v>0</v>
      </c>
      <c r="S48" s="344">
        <f t="shared" si="15"/>
        <v>0</v>
      </c>
      <c r="T48" s="405">
        <f t="shared" si="16"/>
        <v>0</v>
      </c>
    </row>
    <row r="49" spans="1:20" s="188" customFormat="1" ht="17.25" customHeight="1">
      <c r="A49" s="169" t="s">
        <v>109</v>
      </c>
      <c r="B49" s="378" t="s">
        <v>422</v>
      </c>
      <c r="C49" s="954"/>
      <c r="D49" s="154"/>
      <c r="E49" s="481">
        <f>C49+D49</f>
        <v>0</v>
      </c>
      <c r="F49" s="954"/>
      <c r="G49" s="154"/>
      <c r="H49" s="481">
        <f>F49+G49</f>
        <v>0</v>
      </c>
      <c r="I49" s="932"/>
      <c r="J49" s="154"/>
      <c r="K49" s="1489">
        <f>I49+J49</f>
        <v>0</v>
      </c>
      <c r="L49" s="1180">
        <f>'önállóan működő'!C49+'önállóan működő'!F49+'önállóan működő'!I49+'önállóan működő'!L49+'önállóan működő'!O49+'önállóan gazd.'!C49+'önállóan gazd.'!F49+I49</f>
        <v>0</v>
      </c>
      <c r="M49" s="256">
        <f>'önállóan működő'!D49+'önállóan működő'!G49+'önállóan működő'!J49+'önállóan működő'!M49+'önállóan működő'!P49+'önállóan gazd.'!D49+'önállóan gazd.'!G49+J49</f>
        <v>0</v>
      </c>
      <c r="N49" s="258">
        <f>'önállóan működő'!E49+'önállóan működő'!H49+'önállóan működő'!K49+'önállóan működő'!N49+'önállóan működő'!Q49+'önállóan gazd.'!E49+'önállóan gazd.'!H49+K49</f>
        <v>0</v>
      </c>
      <c r="O49" s="932"/>
      <c r="P49" s="154"/>
      <c r="Q49" s="481">
        <f>O49+P49</f>
        <v>0</v>
      </c>
      <c r="R49" s="344">
        <f t="shared" si="14"/>
        <v>0</v>
      </c>
      <c r="S49" s="344">
        <f t="shared" si="15"/>
        <v>0</v>
      </c>
      <c r="T49" s="405">
        <f t="shared" si="16"/>
        <v>0</v>
      </c>
    </row>
    <row r="50" spans="1:20" s="188" customFormat="1" ht="17.25" customHeight="1" thickBot="1">
      <c r="A50" s="169" t="s">
        <v>110</v>
      </c>
      <c r="B50" s="378" t="s">
        <v>455</v>
      </c>
      <c r="C50" s="954"/>
      <c r="D50" s="154"/>
      <c r="E50" s="481">
        <f>C50+D50</f>
        <v>0</v>
      </c>
      <c r="F50" s="954"/>
      <c r="G50" s="154"/>
      <c r="H50" s="481">
        <f>F50+G50</f>
        <v>0</v>
      </c>
      <c r="I50" s="932"/>
      <c r="J50" s="154"/>
      <c r="K50" s="1489">
        <f>I50+J50</f>
        <v>0</v>
      </c>
      <c r="L50" s="1180">
        <f>'önállóan működő'!C50+'önállóan működő'!F50+'önállóan működő'!I50+'önállóan működő'!L50+'önállóan működő'!O50+'önállóan gazd.'!C50+'önállóan gazd.'!F50+I50</f>
        <v>0</v>
      </c>
      <c r="M50" s="256">
        <f>'önállóan működő'!D50+'önállóan működő'!G50+'önállóan működő'!J50+'önállóan működő'!M50+'önállóan működő'!P50+'önállóan gazd.'!D50+'önállóan gazd.'!G50+J50</f>
        <v>0</v>
      </c>
      <c r="N50" s="258">
        <f>'önállóan működő'!E50+'önállóan működő'!H50+'önállóan működő'!K50+'önállóan működő'!N50+'önállóan működő'!Q50+'önállóan gazd.'!E50+'önállóan gazd.'!H50+K50</f>
        <v>0</v>
      </c>
      <c r="O50" s="932"/>
      <c r="P50" s="154"/>
      <c r="Q50" s="481">
        <f>O50+P50</f>
        <v>0</v>
      </c>
      <c r="R50" s="344">
        <f t="shared" si="14"/>
        <v>0</v>
      </c>
      <c r="S50" s="344">
        <f t="shared" si="15"/>
        <v>0</v>
      </c>
      <c r="T50" s="405">
        <f t="shared" si="16"/>
        <v>0</v>
      </c>
    </row>
    <row r="51" spans="1:20" s="220" customFormat="1" ht="17.25" customHeight="1" thickBot="1">
      <c r="A51" s="357">
        <v>5</v>
      </c>
      <c r="B51" s="348" t="s">
        <v>186</v>
      </c>
      <c r="C51" s="392">
        <f>SUM(C48:C50)</f>
        <v>0</v>
      </c>
      <c r="D51" s="358">
        <f>SUM(D48:D50)</f>
        <v>0</v>
      </c>
      <c r="E51" s="360">
        <f aca="true" t="shared" si="22" ref="E51:Q51">SUM(E48:E50)</f>
        <v>0</v>
      </c>
      <c r="F51" s="392">
        <f t="shared" si="22"/>
        <v>0</v>
      </c>
      <c r="G51" s="358">
        <f t="shared" si="22"/>
        <v>0</v>
      </c>
      <c r="H51" s="360">
        <f t="shared" si="22"/>
        <v>0</v>
      </c>
      <c r="I51" s="392">
        <f>SUM(I48:I50)</f>
        <v>0</v>
      </c>
      <c r="J51" s="358">
        <f>SUM(J48:J50)</f>
        <v>0</v>
      </c>
      <c r="K51" s="374">
        <f>SUM(K48:K50)</f>
        <v>0</v>
      </c>
      <c r="L51" s="392">
        <f t="shared" si="22"/>
        <v>0</v>
      </c>
      <c r="M51" s="358">
        <f t="shared" si="22"/>
        <v>0</v>
      </c>
      <c r="N51" s="364">
        <f t="shared" si="22"/>
        <v>0</v>
      </c>
      <c r="O51" s="374">
        <f t="shared" si="22"/>
        <v>0</v>
      </c>
      <c r="P51" s="358">
        <f t="shared" si="22"/>
        <v>0</v>
      </c>
      <c r="Q51" s="360">
        <f t="shared" si="22"/>
        <v>0</v>
      </c>
      <c r="R51" s="330">
        <f t="shared" si="14"/>
        <v>0</v>
      </c>
      <c r="S51" s="333">
        <f t="shared" si="15"/>
        <v>0</v>
      </c>
      <c r="T51" s="331">
        <f t="shared" si="16"/>
        <v>0</v>
      </c>
    </row>
    <row r="52" spans="1:20" s="220" customFormat="1" ht="17.25" customHeight="1" thickBot="1">
      <c r="A52" s="811">
        <v>6</v>
      </c>
      <c r="B52" s="812" t="s">
        <v>309</v>
      </c>
      <c r="C52" s="1183"/>
      <c r="D52" s="383"/>
      <c r="E52" s="332">
        <f>C52+D52</f>
        <v>0</v>
      </c>
      <c r="F52" s="1189"/>
      <c r="G52" s="383"/>
      <c r="H52" s="332">
        <f>F52+G52</f>
        <v>0</v>
      </c>
      <c r="I52" s="377"/>
      <c r="J52" s="383"/>
      <c r="K52" s="1491">
        <f>I52+J52</f>
        <v>0</v>
      </c>
      <c r="L52" s="392">
        <f>'önállóan működő'!C52+'önállóan működő'!F52+'önállóan működő'!I52+'önállóan működő'!L52+'önállóan működő'!O52+'önállóan gazd.'!C52+'önállóan gazd.'!F52+I52</f>
        <v>0</v>
      </c>
      <c r="M52" s="358">
        <f>'önállóan működő'!D52+'önállóan működő'!G52+'önállóan működő'!J52+'önállóan működő'!M52+'önállóan működő'!P52+'önállóan gazd.'!D52+'önállóan gazd.'!G52+J52</f>
        <v>0</v>
      </c>
      <c r="N52" s="364">
        <f>'önállóan működő'!E52+'önállóan működő'!H52+'önállóan működő'!K52+'önállóan működő'!N52+'önállóan működő'!Q52+'önállóan gazd.'!E52+'önállóan gazd.'!H52+K52</f>
        <v>0</v>
      </c>
      <c r="O52" s="377"/>
      <c r="P52" s="383">
        <f>1994+3022</f>
        <v>5016</v>
      </c>
      <c r="Q52" s="332">
        <f>O52+P52</f>
        <v>5016</v>
      </c>
      <c r="R52" s="330">
        <f t="shared" si="14"/>
        <v>0</v>
      </c>
      <c r="S52" s="333">
        <f t="shared" si="15"/>
        <v>5016</v>
      </c>
      <c r="T52" s="331">
        <f t="shared" si="16"/>
        <v>5016</v>
      </c>
    </row>
    <row r="53" spans="1:20" s="188" customFormat="1" ht="17.25" customHeight="1">
      <c r="A53" s="152" t="s">
        <v>108</v>
      </c>
      <c r="B53" s="153" t="s">
        <v>424</v>
      </c>
      <c r="C53" s="1184"/>
      <c r="D53" s="155"/>
      <c r="E53" s="487">
        <f>C53+D53</f>
        <v>0</v>
      </c>
      <c r="F53" s="1184"/>
      <c r="G53" s="155"/>
      <c r="H53" s="487">
        <f>F53+G53</f>
        <v>0</v>
      </c>
      <c r="I53" s="936"/>
      <c r="J53" s="155"/>
      <c r="K53" s="1492">
        <f>I53+J53</f>
        <v>0</v>
      </c>
      <c r="L53" s="1180">
        <f>'önállóan működő'!C53+'önállóan működő'!F53+'önállóan működő'!I53+'önállóan működő'!L53+'önállóan működő'!O53+'önállóan gazd.'!C53+'önállóan gazd.'!F53+I53</f>
        <v>0</v>
      </c>
      <c r="M53" s="256">
        <f>'önállóan működő'!D53+'önállóan működő'!G53+'önállóan működő'!J53+'önállóan működő'!M53+'önállóan működő'!P53+'önállóan gazd.'!D53+'önállóan gazd.'!G53+J53</f>
        <v>0</v>
      </c>
      <c r="N53" s="258">
        <f>'önállóan működő'!E53+'önállóan működő'!H53+'önállóan működő'!K53+'önállóan működő'!N53+'önállóan működő'!Q53+'önállóan gazd.'!E53+'önállóan gazd.'!H53+K53</f>
        <v>0</v>
      </c>
      <c r="O53" s="936"/>
      <c r="P53" s="155"/>
      <c r="Q53" s="487">
        <f>O53+P53</f>
        <v>0</v>
      </c>
      <c r="R53" s="344">
        <f t="shared" si="14"/>
        <v>0</v>
      </c>
      <c r="S53" s="344">
        <f t="shared" si="15"/>
        <v>0</v>
      </c>
      <c r="T53" s="405">
        <f t="shared" si="16"/>
        <v>0</v>
      </c>
    </row>
    <row r="54" spans="1:20" s="188" customFormat="1" ht="17.25" customHeight="1" thickBot="1">
      <c r="A54" s="379" t="s">
        <v>109</v>
      </c>
      <c r="B54" s="157" t="s">
        <v>425</v>
      </c>
      <c r="C54" s="1181"/>
      <c r="D54" s="365"/>
      <c r="E54" s="406">
        <f>C54+D54</f>
        <v>0</v>
      </c>
      <c r="F54" s="1181"/>
      <c r="G54" s="365"/>
      <c r="H54" s="406">
        <f>F54+G54</f>
        <v>0</v>
      </c>
      <c r="I54" s="172"/>
      <c r="J54" s="365"/>
      <c r="K54" s="1326">
        <f>I54+J54</f>
        <v>0</v>
      </c>
      <c r="L54" s="1180">
        <f>'önállóan működő'!C54+'önállóan működő'!F54+'önállóan működő'!I54+'önállóan működő'!L54+'önállóan működő'!O54+'önállóan gazd.'!C54+'önállóan gazd.'!F54+I54</f>
        <v>0</v>
      </c>
      <c r="M54" s="256">
        <f>'önállóan működő'!D54+'önállóan működő'!G54+'önállóan működő'!J54+'önállóan működő'!M54+'önállóan működő'!P54+'önállóan gazd.'!D54+'önállóan gazd.'!G54+J54</f>
        <v>0</v>
      </c>
      <c r="N54" s="258">
        <f>'önállóan működő'!E54+'önállóan működő'!H54+'önállóan működő'!K54+'önállóan működő'!N54+'önállóan működő'!Q54+'önállóan gazd.'!E54+'önállóan gazd.'!H54+K54</f>
        <v>0</v>
      </c>
      <c r="O54" s="172"/>
      <c r="P54" s="365"/>
      <c r="Q54" s="406">
        <f>O54+P54</f>
        <v>0</v>
      </c>
      <c r="R54" s="344">
        <f t="shared" si="14"/>
        <v>0</v>
      </c>
      <c r="S54" s="344">
        <f t="shared" si="15"/>
        <v>0</v>
      </c>
      <c r="T54" s="405">
        <f t="shared" si="16"/>
        <v>0</v>
      </c>
    </row>
    <row r="55" spans="1:20" s="220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>
        <f aca="true" t="shared" si="23" ref="D55:Q55">SUM(D53:D54)</f>
        <v>0</v>
      </c>
      <c r="E55" s="360">
        <f t="shared" si="23"/>
        <v>0</v>
      </c>
      <c r="F55" s="392">
        <f t="shared" si="23"/>
        <v>0</v>
      </c>
      <c r="G55" s="358">
        <f t="shared" si="23"/>
        <v>0</v>
      </c>
      <c r="H55" s="360">
        <f t="shared" si="23"/>
        <v>0</v>
      </c>
      <c r="I55" s="392">
        <f>SUM(I53:I54)</f>
        <v>0</v>
      </c>
      <c r="J55" s="358">
        <f>SUM(J53:J54)</f>
        <v>0</v>
      </c>
      <c r="K55" s="374">
        <f>SUM(K53:K54)</f>
        <v>0</v>
      </c>
      <c r="L55" s="392">
        <f>SUM(L53:L54)</f>
        <v>0</v>
      </c>
      <c r="M55" s="358">
        <f t="shared" si="23"/>
        <v>0</v>
      </c>
      <c r="N55" s="364">
        <f t="shared" si="23"/>
        <v>0</v>
      </c>
      <c r="O55" s="1493">
        <f t="shared" si="23"/>
        <v>0</v>
      </c>
      <c r="P55" s="1193">
        <f t="shared" si="23"/>
        <v>0</v>
      </c>
      <c r="Q55" s="938">
        <f t="shared" si="23"/>
        <v>0</v>
      </c>
      <c r="R55" s="330">
        <f t="shared" si="14"/>
        <v>0</v>
      </c>
      <c r="S55" s="333">
        <f t="shared" si="15"/>
        <v>0</v>
      </c>
      <c r="T55" s="331">
        <f t="shared" si="16"/>
        <v>0</v>
      </c>
    </row>
    <row r="56" spans="1:22" s="188" customFormat="1" ht="17.25" customHeight="1" thickBot="1">
      <c r="A56" s="394">
        <v>8</v>
      </c>
      <c r="B56" s="395" t="s">
        <v>45</v>
      </c>
      <c r="C56" s="1185">
        <f>C34-C40-C45-C46-C47-C51-C52-C55-C57-C58-C59</f>
        <v>0</v>
      </c>
      <c r="D56" s="1187">
        <f>D34-D40-D45-D46-D47-D51-D52-D55-D57-D58-D59</f>
        <v>0</v>
      </c>
      <c r="E56" s="830">
        <f aca="true" t="shared" si="24" ref="E56:Q56">E34-E40-E45-E46-E47-E51-E52-E55-E57-E58-E59</f>
        <v>0</v>
      </c>
      <c r="F56" s="1185">
        <f t="shared" si="24"/>
        <v>585037</v>
      </c>
      <c r="G56" s="1187">
        <f t="shared" si="24"/>
        <v>6994</v>
      </c>
      <c r="H56" s="830">
        <f t="shared" si="24"/>
        <v>592031</v>
      </c>
      <c r="I56" s="1185">
        <f>I34-I40-I45-I46-I47-I51-I52-I55-I57-I58-I59</f>
        <v>341640</v>
      </c>
      <c r="J56" s="1187">
        <f>J34-J40-J45-J46-J47-J51-J52-J55-J57-J58-J59</f>
        <v>13860</v>
      </c>
      <c r="K56" s="830">
        <f>K34-K40-K45-K46-K47-K51-K52-K55-K57-K58-K59</f>
        <v>355500</v>
      </c>
      <c r="L56" s="1185">
        <f t="shared" si="24"/>
        <v>3465854</v>
      </c>
      <c r="M56" s="1187">
        <f t="shared" si="24"/>
        <v>72211</v>
      </c>
      <c r="N56" s="830">
        <f t="shared" si="24"/>
        <v>3538065</v>
      </c>
      <c r="O56" s="1192">
        <f t="shared" si="24"/>
        <v>1423190</v>
      </c>
      <c r="P56" s="1194">
        <f t="shared" si="24"/>
        <v>-4704</v>
      </c>
      <c r="Q56" s="829">
        <f t="shared" si="24"/>
        <v>1418486</v>
      </c>
      <c r="R56" s="1192">
        <f>R34-R40-R45-R46-R47-R51-R52-R55-R57-R58-R59</f>
        <v>4889044</v>
      </c>
      <c r="S56" s="1194">
        <f>S34-S40-S45-S46-S47-S51-S52-S55-S57-S58-S59</f>
        <v>67507</v>
      </c>
      <c r="T56" s="829">
        <f>T34-T40-T45-T46-T47-T51-T52-T55-T57-T58-T59</f>
        <v>4956551</v>
      </c>
      <c r="U56" s="191"/>
      <c r="V56" s="192">
        <f>SUM(L56:M56)</f>
        <v>3538065</v>
      </c>
    </row>
    <row r="57" spans="1:20" s="220" customFormat="1" ht="17.25" customHeight="1">
      <c r="A57" s="380" t="s">
        <v>427</v>
      </c>
      <c r="B57" s="381" t="s">
        <v>192</v>
      </c>
      <c r="C57" s="1186"/>
      <c r="D57" s="371"/>
      <c r="E57" s="488">
        <f>SUM(C57:D57)</f>
        <v>0</v>
      </c>
      <c r="F57" s="1186">
        <v>13556</v>
      </c>
      <c r="G57" s="371"/>
      <c r="H57" s="488">
        <f>SUM(F57:G57)</f>
        <v>13556</v>
      </c>
      <c r="I57" s="1186">
        <v>333</v>
      </c>
      <c r="J57" s="371"/>
      <c r="K57" s="488">
        <f>SUM(I57:J57)</f>
        <v>333</v>
      </c>
      <c r="L57" s="1479">
        <f>'önállóan működő'!C57+'önállóan működő'!F57+'önállóan működő'!I57+'önállóan működő'!L57+'önállóan működő'!O57+'önállóan gazd.'!C57+'önállóan gazd.'!F57+I57</f>
        <v>15278</v>
      </c>
      <c r="M57" s="1480">
        <f>'önállóan működő'!D57+'önállóan működő'!G57+'önállóan működő'!J57+'önállóan működő'!M57+'önállóan működő'!P57+'önállóan gazd.'!D57+'önállóan gazd.'!G57+J57</f>
        <v>0</v>
      </c>
      <c r="N57" s="1484">
        <f>'önállóan működő'!E57+'önállóan működő'!H57+'önállóan működő'!K57+'önállóan működő'!N57+'önállóan működő'!Q57+'önállóan gazd.'!E57+'önállóan gazd.'!H57+K57</f>
        <v>15278</v>
      </c>
      <c r="O57" s="1479">
        <v>2879</v>
      </c>
      <c r="P57" s="1480"/>
      <c r="Q57" s="851">
        <f>SUM(O57:P57)</f>
        <v>2879</v>
      </c>
      <c r="R57" s="1477">
        <f aca="true" t="shared" si="25" ref="R57:T59">L57+O57</f>
        <v>18157</v>
      </c>
      <c r="S57" s="1270">
        <f t="shared" si="25"/>
        <v>0</v>
      </c>
      <c r="T57" s="851">
        <f t="shared" si="25"/>
        <v>18157</v>
      </c>
    </row>
    <row r="58" spans="1:20" s="220" customFormat="1" ht="17.25" customHeight="1">
      <c r="A58" s="380" t="s">
        <v>191</v>
      </c>
      <c r="B58" s="381" t="s">
        <v>426</v>
      </c>
      <c r="C58" s="370"/>
      <c r="D58" s="371"/>
      <c r="E58" s="384">
        <f>SUM(C58:D58)</f>
        <v>0</v>
      </c>
      <c r="F58" s="1186"/>
      <c r="G58" s="371"/>
      <c r="H58" s="332">
        <f>SUM(F58:G58)</f>
        <v>0</v>
      </c>
      <c r="I58" s="1186"/>
      <c r="J58" s="371"/>
      <c r="K58" s="332">
        <f>SUM(I58:J58)</f>
        <v>0</v>
      </c>
      <c r="L58" s="1186">
        <f>'önállóan működő'!C58+'önállóan működő'!F58+'önállóan működő'!I58+'önállóan működő'!L58+'önállóan működő'!O58+'önállóan gazd.'!C58+'önállóan gazd.'!F58+I58</f>
        <v>0</v>
      </c>
      <c r="M58" s="371">
        <f>'önállóan működő'!D58+'önállóan működő'!G58+'önállóan működő'!J58+'önállóan működő'!M58+'önállóan működő'!P58+'önállóan gazd.'!D58+'önállóan gazd.'!G58+J58</f>
        <v>0</v>
      </c>
      <c r="N58" s="375">
        <f>'önállóan működő'!E58+'önállóan működő'!H58+'önállóan működő'!K58+'önállóan működő'!N58+'önállóan működő'!Q58+'önállóan gazd.'!E58+'önállóan gazd.'!H58+K58</f>
        <v>0</v>
      </c>
      <c r="O58" s="1186"/>
      <c r="P58" s="371"/>
      <c r="Q58" s="488">
        <f>SUM(O58:P58)</f>
        <v>0</v>
      </c>
      <c r="R58" s="1478">
        <f t="shared" si="25"/>
        <v>0</v>
      </c>
      <c r="S58" s="335">
        <f t="shared" si="25"/>
        <v>0</v>
      </c>
      <c r="T58" s="488">
        <f t="shared" si="25"/>
        <v>0</v>
      </c>
    </row>
    <row r="59" spans="1:20" s="220" customFormat="1" ht="17.25" customHeight="1" thickBot="1">
      <c r="A59" s="396">
        <v>10</v>
      </c>
      <c r="B59" s="397"/>
      <c r="C59" s="398"/>
      <c r="D59" s="399"/>
      <c r="E59" s="400">
        <f>SUM(C59:D59)</f>
        <v>0</v>
      </c>
      <c r="F59" s="398"/>
      <c r="G59" s="399"/>
      <c r="H59" s="400">
        <f>SUM(F59:G59)</f>
        <v>0</v>
      </c>
      <c r="I59" s="398"/>
      <c r="J59" s="399"/>
      <c r="K59" s="400">
        <f>SUM(I59:J59)</f>
        <v>0</v>
      </c>
      <c r="L59" s="1251">
        <f>'önállóan működő'!C59+'önállóan működő'!F59+'önállóan működő'!I59+'önállóan működő'!L59+'önállóan működő'!O59+'önállóan gazd.'!C59+'önállóan gazd.'!F59+I59</f>
        <v>0</v>
      </c>
      <c r="M59" s="849">
        <f>'önállóan működő'!D59+'önállóan működő'!G59+'önállóan működő'!J59+'önállóan működő'!M59+'önállóan működő'!P59+'önállóan gazd.'!D59+'önállóan gazd.'!G59+J59</f>
        <v>0</v>
      </c>
      <c r="N59" s="399">
        <f>'önállóan működő'!E59+'önállóan működő'!H59+'önállóan működő'!K59+'önállóan működő'!N59+'önállóan működő'!Q59+'önállóan gazd.'!E59+'önállóan gazd.'!H59+K59</f>
        <v>0</v>
      </c>
      <c r="O59" s="398"/>
      <c r="P59" s="399"/>
      <c r="Q59" s="400">
        <f>SUM(O59:P59)</f>
        <v>0</v>
      </c>
      <c r="R59" s="492">
        <f t="shared" si="25"/>
        <v>0</v>
      </c>
      <c r="S59" s="1655">
        <f t="shared" si="25"/>
        <v>0</v>
      </c>
      <c r="T59" s="494">
        <f t="shared" si="25"/>
        <v>0</v>
      </c>
    </row>
    <row r="60" spans="1:20" s="167" customFormat="1" ht="17.25" customHeight="1" thickBot="1" thickTop="1">
      <c r="A60" s="387" t="s">
        <v>119</v>
      </c>
      <c r="B60" s="390" t="s">
        <v>190</v>
      </c>
      <c r="C60" s="825">
        <f>C40+C45+C46+C47+C51+C52+C55+C56+C57+C58+C59</f>
        <v>0</v>
      </c>
      <c r="D60" s="826">
        <f aca="true" t="shared" si="26" ref="D60:Q60">D40+D45+D46+D47+D51+D52+D55+D56+D57+D58+D59</f>
        <v>0</v>
      </c>
      <c r="E60" s="408">
        <f t="shared" si="26"/>
        <v>0</v>
      </c>
      <c r="F60" s="409">
        <f t="shared" si="26"/>
        <v>776480</v>
      </c>
      <c r="G60" s="388">
        <f t="shared" si="26"/>
        <v>61553</v>
      </c>
      <c r="H60" s="408">
        <f t="shared" si="26"/>
        <v>838033</v>
      </c>
      <c r="I60" s="409">
        <f>I40+I45+I46+I47+I51+I52+I55+I56+I57+I58+I59</f>
        <v>428469</v>
      </c>
      <c r="J60" s="388">
        <f>J40+J45+J46+J47+J51+J52+J55+J56+J57+J58+J59</f>
        <v>13860</v>
      </c>
      <c r="K60" s="408">
        <f>K40+K45+K46+K47+K51+K52+K55+K56+K57+K58+K59</f>
        <v>442329</v>
      </c>
      <c r="L60" s="1485">
        <f t="shared" si="26"/>
        <v>3842741</v>
      </c>
      <c r="M60" s="826">
        <f t="shared" si="26"/>
        <v>141074</v>
      </c>
      <c r="N60" s="408">
        <f t="shared" si="26"/>
        <v>3983815</v>
      </c>
      <c r="O60" s="409">
        <f t="shared" si="26"/>
        <v>1432879</v>
      </c>
      <c r="P60" s="388">
        <f t="shared" si="26"/>
        <v>8605</v>
      </c>
      <c r="Q60" s="421">
        <f t="shared" si="26"/>
        <v>1441484</v>
      </c>
      <c r="R60" s="389">
        <f>R40+R45+R46+R47+R51+R52+R55+R56+R57+R58+R59</f>
        <v>5275620</v>
      </c>
      <c r="S60" s="389">
        <f>S40+S45+S46+S47+S51+S52+S55+S56+S57+S58+S59</f>
        <v>149679</v>
      </c>
      <c r="T60" s="389">
        <f>T40+T45+T46+T47+T51+T52+T55+T56+T57+T58+T59</f>
        <v>5425299</v>
      </c>
    </row>
    <row r="61" spans="1:20" s="96" customFormat="1" ht="13.5" customHeight="1" thickBot="1" thickTop="1">
      <c r="A61" s="178"/>
      <c r="B61" s="179"/>
      <c r="C61" s="180"/>
      <c r="D61" s="180"/>
      <c r="E61" s="181"/>
      <c r="F61" s="180"/>
      <c r="G61" s="180"/>
      <c r="H61" s="181"/>
      <c r="I61" s="180"/>
      <c r="J61" s="180"/>
      <c r="K61" s="181"/>
      <c r="L61" s="180"/>
      <c r="M61" s="180"/>
      <c r="N61" s="181"/>
      <c r="O61" s="180"/>
      <c r="P61" s="180"/>
      <c r="Q61" s="181"/>
      <c r="R61" s="180"/>
      <c r="S61" s="180"/>
      <c r="T61" s="181"/>
    </row>
    <row r="62" spans="1:20" s="188" customFormat="1" ht="17.25" customHeight="1" thickBot="1" thickTop="1">
      <c r="A62" s="182"/>
      <c r="B62" s="183" t="s">
        <v>580</v>
      </c>
      <c r="C62" s="184">
        <v>0</v>
      </c>
      <c r="D62" s="185"/>
      <c r="E62" s="186">
        <f>C62+D62</f>
        <v>0</v>
      </c>
      <c r="F62" s="184">
        <v>62</v>
      </c>
      <c r="G62" s="185"/>
      <c r="H62" s="186">
        <f>F62+G62</f>
        <v>62</v>
      </c>
      <c r="I62" s="184">
        <v>27.75</v>
      </c>
      <c r="J62" s="185"/>
      <c r="K62" s="186">
        <f>I62+J62</f>
        <v>27.75</v>
      </c>
      <c r="L62" s="216">
        <f>'önállóan működő'!C62+'önállóan működő'!F62+'önállóan működő'!I62+'önállóan működő'!L62+'önállóan működő'!O62+'önállóan gazd.'!C62+'önállóan gazd.'!F62+I62</f>
        <v>593.5</v>
      </c>
      <c r="M62" s="216">
        <f>'önállóan működő'!D62+'önállóan működő'!G62+'önállóan működő'!J62+'önállóan működő'!M62+'önállóan működő'!P62+'önállóan gazd.'!D62+'önállóan gazd.'!G62+J62</f>
        <v>11</v>
      </c>
      <c r="N62" s="216">
        <f>'önállóan működő'!E62+'önállóan működő'!H62+'önállóan működő'!K62+'önállóan működő'!N62+'önállóan működő'!Q62+'önállóan gazd.'!E62+'önállóan gazd.'!H62+K62</f>
        <v>604.5</v>
      </c>
      <c r="O62" s="184">
        <v>184</v>
      </c>
      <c r="P62" s="185"/>
      <c r="Q62" s="186">
        <f>O62+P62</f>
        <v>184</v>
      </c>
      <c r="R62" s="216">
        <f aca="true" t="shared" si="27" ref="R62:T63">L62+O62</f>
        <v>777.5</v>
      </c>
      <c r="S62" s="217">
        <f t="shared" si="27"/>
        <v>11</v>
      </c>
      <c r="T62" s="218">
        <f t="shared" si="27"/>
        <v>788.5</v>
      </c>
    </row>
    <row r="63" spans="1:20" s="188" customFormat="1" ht="17.25" customHeight="1" thickBot="1" thickTop="1">
      <c r="A63" s="182"/>
      <c r="B63" s="183" t="s">
        <v>581</v>
      </c>
      <c r="C63" s="184">
        <v>0</v>
      </c>
      <c r="D63" s="185"/>
      <c r="E63" s="186">
        <f>C63+D63</f>
        <v>0</v>
      </c>
      <c r="F63" s="184">
        <v>0</v>
      </c>
      <c r="G63" s="185"/>
      <c r="H63" s="186">
        <f>F63+G63</f>
        <v>0</v>
      </c>
      <c r="I63" s="184">
        <v>0</v>
      </c>
      <c r="J63" s="185"/>
      <c r="K63" s="186">
        <f>I63+J63</f>
        <v>0</v>
      </c>
      <c r="L63" s="216">
        <f>'önállóan működő'!C63+'önállóan működő'!F63+'önállóan működő'!I63+'önállóan működő'!L63+'önállóan működő'!O63+'önállóan gazd.'!C63+'önállóan gazd.'!F63+I63</f>
        <v>0</v>
      </c>
      <c r="M63" s="216">
        <f>'önállóan működő'!D63+'önállóan működő'!G63+'önállóan működő'!J63+'önállóan működő'!M63+'önállóan működő'!P63+'önállóan gazd.'!D63+'önállóan gazd.'!G63+J63</f>
        <v>0</v>
      </c>
      <c r="N63" s="216">
        <f>'önállóan működő'!E63+'önállóan működő'!H63+'önállóan működő'!K63+'önállóan működő'!N63+'önállóan működő'!Q63+'önállóan gazd.'!E63+'önállóan gazd.'!H63+K63</f>
        <v>0</v>
      </c>
      <c r="O63" s="184">
        <v>0</v>
      </c>
      <c r="P63" s="185"/>
      <c r="Q63" s="186">
        <f>O63+P63</f>
        <v>0</v>
      </c>
      <c r="R63" s="216">
        <f t="shared" si="27"/>
        <v>0</v>
      </c>
      <c r="S63" s="217">
        <f t="shared" si="27"/>
        <v>0</v>
      </c>
      <c r="T63" s="218">
        <f t="shared" si="27"/>
        <v>0</v>
      </c>
    </row>
    <row r="64" ht="16.5" thickTop="1">
      <c r="A64" s="465"/>
    </row>
  </sheetData>
  <sheetProtection/>
  <mergeCells count="6">
    <mergeCell ref="C7:E7"/>
    <mergeCell ref="F7:H7"/>
    <mergeCell ref="R7:T7"/>
    <mergeCell ref="L7:N7"/>
    <mergeCell ref="O7:Q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3" r:id="rId1"/>
  <headerFooter alignWithMargins="0">
    <oddFooter>&amp;L&amp;F&amp;C&amp;D,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1211" customWidth="1"/>
    <col min="2" max="2" width="78.375" style="806" customWidth="1"/>
    <col min="3" max="14" width="14.875" style="806" customWidth="1"/>
    <col min="15" max="17" width="14.875" style="810" customWidth="1"/>
    <col min="18" max="16384" width="9.375" style="808" customWidth="1"/>
  </cols>
  <sheetData>
    <row r="1" spans="1:17" s="2" customFormat="1" ht="10.5" customHeight="1">
      <c r="A1" s="346"/>
      <c r="B1" s="347"/>
      <c r="C1" s="347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991"/>
      <c r="O1" s="447"/>
      <c r="P1" s="447"/>
      <c r="Q1" s="940" t="s">
        <v>870</v>
      </c>
    </row>
    <row r="2" spans="1:17" s="2" customFormat="1" ht="10.5" customHeight="1">
      <c r="A2" s="346"/>
      <c r="B2" s="347"/>
      <c r="C2" s="347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991"/>
      <c r="O2" s="447"/>
      <c r="P2" s="447"/>
      <c r="Q2" s="940" t="s">
        <v>102</v>
      </c>
    </row>
    <row r="3" spans="1:17" s="2" customFormat="1" ht="15.75">
      <c r="A3" s="346"/>
      <c r="B3" s="347"/>
      <c r="C3" s="347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991"/>
      <c r="O3" s="447"/>
      <c r="P3" s="447"/>
      <c r="Q3" s="940" t="s">
        <v>133</v>
      </c>
    </row>
    <row r="4" spans="1:17" s="3" customFormat="1" ht="20.25">
      <c r="A4" s="1844" t="s">
        <v>103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</row>
    <row r="5" spans="1:17" s="4" customFormat="1" ht="18.75">
      <c r="A5" s="1845" t="s">
        <v>572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5"/>
      <c r="L5" s="1845"/>
      <c r="M5" s="1845"/>
      <c r="N5" s="1845"/>
      <c r="O5" s="1845"/>
      <c r="P5" s="1845"/>
      <c r="Q5" s="1845"/>
    </row>
    <row r="6" spans="1:62" s="2" customFormat="1" ht="16.5" customHeight="1" thickBot="1">
      <c r="A6" s="346"/>
      <c r="B6" s="347"/>
      <c r="C6" s="347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944"/>
      <c r="O6" s="944"/>
      <c r="P6" s="944"/>
      <c r="Q6" s="944" t="s">
        <v>145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17" s="63" customFormat="1" ht="18">
      <c r="A7" s="260" t="s">
        <v>135</v>
      </c>
      <c r="B7" s="95" t="s">
        <v>136</v>
      </c>
      <c r="C7" s="1829" t="s">
        <v>375</v>
      </c>
      <c r="D7" s="1830"/>
      <c r="E7" s="1830"/>
      <c r="F7" s="1829" t="s">
        <v>51</v>
      </c>
      <c r="G7" s="1830"/>
      <c r="H7" s="1831"/>
      <c r="I7" s="1829" t="s">
        <v>146</v>
      </c>
      <c r="J7" s="1830"/>
      <c r="K7" s="1831"/>
      <c r="L7" s="1829" t="s">
        <v>147</v>
      </c>
      <c r="M7" s="1830"/>
      <c r="N7" s="1831"/>
      <c r="O7" s="1841" t="s">
        <v>59</v>
      </c>
      <c r="P7" s="1842"/>
      <c r="Q7" s="1843"/>
    </row>
    <row r="8" spans="1:17" s="63" customFormat="1" ht="24.75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24" t="s">
        <v>463</v>
      </c>
      <c r="P8" s="23" t="s">
        <v>139</v>
      </c>
      <c r="Q8" s="11" t="s">
        <v>665</v>
      </c>
    </row>
    <row r="9" spans="1:17" s="64" customFormat="1" ht="13.5" thickBot="1">
      <c r="A9" s="467">
        <v>1</v>
      </c>
      <c r="B9" s="467">
        <v>2</v>
      </c>
      <c r="C9" s="468">
        <v>3</v>
      </c>
      <c r="D9" s="469">
        <v>4</v>
      </c>
      <c r="E9" s="471">
        <v>5</v>
      </c>
      <c r="F9" s="469">
        <v>6</v>
      </c>
      <c r="G9" s="469">
        <v>7</v>
      </c>
      <c r="H9" s="469">
        <v>8</v>
      </c>
      <c r="I9" s="468">
        <v>9</v>
      </c>
      <c r="J9" s="469">
        <v>10</v>
      </c>
      <c r="K9" s="471">
        <v>11</v>
      </c>
      <c r="L9" s="469">
        <v>12</v>
      </c>
      <c r="M9" s="469">
        <v>13</v>
      </c>
      <c r="N9" s="471">
        <v>14</v>
      </c>
      <c r="O9" s="469">
        <v>15</v>
      </c>
      <c r="P9" s="469">
        <v>16</v>
      </c>
      <c r="Q9" s="471">
        <v>17</v>
      </c>
    </row>
    <row r="10" spans="1:17" s="65" customFormat="1" ht="16.5" thickBot="1">
      <c r="A10" s="427"/>
      <c r="B10" s="391" t="s">
        <v>140</v>
      </c>
      <c r="C10" s="1205"/>
      <c r="D10" s="1206"/>
      <c r="E10" s="1207"/>
      <c r="F10" s="1208"/>
      <c r="G10" s="1209"/>
      <c r="H10" s="1207"/>
      <c r="I10" s="1208"/>
      <c r="J10" s="1209"/>
      <c r="K10" s="1207"/>
      <c r="L10" s="1210"/>
      <c r="M10" s="1219"/>
      <c r="N10" s="1218"/>
      <c r="O10" s="1210"/>
      <c r="P10" s="1219"/>
      <c r="Q10" s="1220"/>
    </row>
    <row r="11" spans="1:17" s="65" customFormat="1" ht="15" customHeight="1" thickBot="1">
      <c r="A11" s="357">
        <v>1</v>
      </c>
      <c r="B11" s="348" t="s">
        <v>123</v>
      </c>
      <c r="C11" s="358">
        <v>77467</v>
      </c>
      <c r="D11" s="358">
        <v>-2024</v>
      </c>
      <c r="E11" s="403">
        <f>SUM(C11:D11)</f>
        <v>75443</v>
      </c>
      <c r="F11" s="358">
        <v>72671</v>
      </c>
      <c r="G11" s="358"/>
      <c r="H11" s="403">
        <f>SUM(F11:G11)</f>
        <v>72671</v>
      </c>
      <c r="I11" s="358">
        <v>8230</v>
      </c>
      <c r="J11" s="358">
        <v>580</v>
      </c>
      <c r="K11" s="403">
        <f aca="true" t="shared" si="0" ref="K11:K16">SUM(I11:J11)</f>
        <v>8810</v>
      </c>
      <c r="L11" s="358">
        <v>32783</v>
      </c>
      <c r="M11" s="358">
        <v>3506</v>
      </c>
      <c r="N11" s="362">
        <f aca="true" t="shared" si="1" ref="N11:N16">SUM(L11:M11)</f>
        <v>36289</v>
      </c>
      <c r="O11" s="1234">
        <v>18000</v>
      </c>
      <c r="P11" s="434">
        <v>160</v>
      </c>
      <c r="Q11" s="1222">
        <f aca="true" t="shared" si="2" ref="Q11:Q16">SUM(O11:P11)</f>
        <v>18160</v>
      </c>
    </row>
    <row r="12" spans="1:17" s="65" customFormat="1" ht="16.5" thickBot="1">
      <c r="A12" s="361">
        <v>2</v>
      </c>
      <c r="B12" s="348" t="s">
        <v>213</v>
      </c>
      <c r="C12" s="360">
        <v>15313</v>
      </c>
      <c r="D12" s="358">
        <v>-412</v>
      </c>
      <c r="E12" s="403">
        <f>SUM(C12:D12)</f>
        <v>14901</v>
      </c>
      <c r="F12" s="360">
        <v>14973</v>
      </c>
      <c r="G12" s="358"/>
      <c r="H12" s="403">
        <f>SUM(F12:G12)</f>
        <v>14973</v>
      </c>
      <c r="I12" s="360">
        <v>2631</v>
      </c>
      <c r="J12" s="358">
        <v>245</v>
      </c>
      <c r="K12" s="403">
        <f t="shared" si="0"/>
        <v>2876</v>
      </c>
      <c r="L12" s="360">
        <v>16999</v>
      </c>
      <c r="M12" s="358">
        <v>216</v>
      </c>
      <c r="N12" s="403">
        <f t="shared" si="1"/>
        <v>17215</v>
      </c>
      <c r="O12" s="1234">
        <v>7223</v>
      </c>
      <c r="P12" s="434">
        <v>155</v>
      </c>
      <c r="Q12" s="1222">
        <f t="shared" si="2"/>
        <v>7378</v>
      </c>
    </row>
    <row r="13" spans="1:17" s="69" customFormat="1" ht="16.5" thickBot="1">
      <c r="A13" s="361">
        <v>3</v>
      </c>
      <c r="B13" s="348" t="s">
        <v>126</v>
      </c>
      <c r="C13" s="360">
        <v>421252</v>
      </c>
      <c r="D13" s="358">
        <v>-1649</v>
      </c>
      <c r="E13" s="403">
        <f>SUM(C13:D13)</f>
        <v>419603</v>
      </c>
      <c r="F13" s="358">
        <v>2550</v>
      </c>
      <c r="G13" s="358"/>
      <c r="H13" s="403">
        <f>SUM(F13:G13)</f>
        <v>2550</v>
      </c>
      <c r="I13" s="358">
        <v>15558</v>
      </c>
      <c r="J13" s="358">
        <v>-1394</v>
      </c>
      <c r="K13" s="403">
        <f t="shared" si="0"/>
        <v>14164</v>
      </c>
      <c r="L13" s="358">
        <v>112506</v>
      </c>
      <c r="M13" s="358">
        <v>1456</v>
      </c>
      <c r="N13" s="362">
        <f t="shared" si="1"/>
        <v>113962</v>
      </c>
      <c r="O13" s="1234">
        <v>91636</v>
      </c>
      <c r="P13" s="434">
        <v>927</v>
      </c>
      <c r="Q13" s="1222">
        <f t="shared" si="2"/>
        <v>92563</v>
      </c>
    </row>
    <row r="14" spans="1:17" s="69" customFormat="1" ht="16.5" thickBot="1">
      <c r="A14" s="361">
        <v>4</v>
      </c>
      <c r="B14" s="348" t="s">
        <v>180</v>
      </c>
      <c r="C14" s="360">
        <v>0</v>
      </c>
      <c r="D14" s="360"/>
      <c r="E14" s="364">
        <f>SUM(C14:D14)</f>
        <v>0</v>
      </c>
      <c r="F14" s="360"/>
      <c r="G14" s="360"/>
      <c r="H14" s="364">
        <f>SUM(F14:G14)</f>
        <v>0</v>
      </c>
      <c r="I14" s="360"/>
      <c r="J14" s="360"/>
      <c r="K14" s="364">
        <f t="shared" si="0"/>
        <v>0</v>
      </c>
      <c r="L14" s="360"/>
      <c r="M14" s="360"/>
      <c r="N14" s="364">
        <f t="shared" si="1"/>
        <v>0</v>
      </c>
      <c r="O14" s="392"/>
      <c r="P14" s="358"/>
      <c r="Q14" s="364">
        <f t="shared" si="2"/>
        <v>0</v>
      </c>
    </row>
    <row r="15" spans="1:17" s="65" customFormat="1" ht="15.75">
      <c r="A15" s="171" t="s">
        <v>108</v>
      </c>
      <c r="B15" s="160" t="s">
        <v>405</v>
      </c>
      <c r="C15" s="256">
        <v>129520</v>
      </c>
      <c r="D15" s="256">
        <v>2290</v>
      </c>
      <c r="E15" s="436">
        <f>C15+D15</f>
        <v>131810</v>
      </c>
      <c r="F15" s="256"/>
      <c r="G15" s="256"/>
      <c r="H15" s="436">
        <f>F15+G15</f>
        <v>0</v>
      </c>
      <c r="I15" s="256"/>
      <c r="J15" s="256"/>
      <c r="K15" s="436">
        <f t="shared" si="0"/>
        <v>0</v>
      </c>
      <c r="L15" s="256"/>
      <c r="M15" s="256"/>
      <c r="N15" s="349">
        <f t="shared" si="1"/>
        <v>0</v>
      </c>
      <c r="O15" s="1232"/>
      <c r="P15" s="437"/>
      <c r="Q15" s="1221">
        <f t="shared" si="2"/>
        <v>0</v>
      </c>
    </row>
    <row r="16" spans="1:17" s="65" customFormat="1" ht="15.75">
      <c r="A16" s="168" t="s">
        <v>109</v>
      </c>
      <c r="B16" s="164" t="s">
        <v>406</v>
      </c>
      <c r="C16" s="350"/>
      <c r="D16" s="154"/>
      <c r="E16" s="258">
        <f>C16+D16</f>
        <v>0</v>
      </c>
      <c r="F16" s="154"/>
      <c r="G16" s="154"/>
      <c r="H16" s="436">
        <f>F16+G16</f>
        <v>0</v>
      </c>
      <c r="I16" s="154"/>
      <c r="J16" s="154"/>
      <c r="K16" s="436">
        <f t="shared" si="0"/>
        <v>0</v>
      </c>
      <c r="L16" s="154"/>
      <c r="M16" s="154"/>
      <c r="N16" s="349">
        <f t="shared" si="1"/>
        <v>0</v>
      </c>
      <c r="O16" s="1231"/>
      <c r="P16" s="439"/>
      <c r="Q16" s="1221">
        <f t="shared" si="2"/>
        <v>0</v>
      </c>
    </row>
    <row r="17" spans="1:17" s="65" customFormat="1" ht="15.75">
      <c r="A17" s="168" t="s">
        <v>110</v>
      </c>
      <c r="B17" s="164" t="s">
        <v>407</v>
      </c>
      <c r="C17" s="350"/>
      <c r="D17" s="154"/>
      <c r="E17" s="258">
        <f aca="true" t="shared" si="3" ref="E17:E22">C17+D17</f>
        <v>0</v>
      </c>
      <c r="F17" s="154"/>
      <c r="G17" s="154"/>
      <c r="H17" s="436">
        <f aca="true" t="shared" si="4" ref="H17:H22">F17+G17</f>
        <v>0</v>
      </c>
      <c r="I17" s="154"/>
      <c r="J17" s="154"/>
      <c r="K17" s="436">
        <f aca="true" t="shared" si="5" ref="K17:K22">SUM(I17:J17)</f>
        <v>0</v>
      </c>
      <c r="L17" s="154"/>
      <c r="M17" s="154"/>
      <c r="N17" s="349">
        <f aca="true" t="shared" si="6" ref="N17:N22">SUM(L17:M17)</f>
        <v>0</v>
      </c>
      <c r="O17" s="1231"/>
      <c r="P17" s="439"/>
      <c r="Q17" s="1221">
        <f aca="true" t="shared" si="7" ref="Q17:Q22">SUM(O17:P17)</f>
        <v>0</v>
      </c>
    </row>
    <row r="18" spans="1:87" s="2" customFormat="1" ht="15.75">
      <c r="A18" s="168" t="s">
        <v>111</v>
      </c>
      <c r="B18" s="164" t="s">
        <v>408</v>
      </c>
      <c r="C18" s="954"/>
      <c r="D18" s="154">
        <v>1345</v>
      </c>
      <c r="E18" s="258">
        <f t="shared" si="3"/>
        <v>1345</v>
      </c>
      <c r="F18" s="350"/>
      <c r="G18" s="154"/>
      <c r="H18" s="258">
        <f t="shared" si="4"/>
        <v>0</v>
      </c>
      <c r="I18" s="154">
        <v>16527</v>
      </c>
      <c r="J18" s="154"/>
      <c r="K18" s="436">
        <f t="shared" si="5"/>
        <v>16527</v>
      </c>
      <c r="L18" s="154">
        <v>600</v>
      </c>
      <c r="M18" s="154">
        <v>315</v>
      </c>
      <c r="N18" s="349">
        <f t="shared" si="6"/>
        <v>915</v>
      </c>
      <c r="O18" s="1231"/>
      <c r="P18" s="439"/>
      <c r="Q18" s="1221">
        <f t="shared" si="7"/>
        <v>0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</row>
    <row r="19" spans="1:17" s="65" customFormat="1" ht="15.75">
      <c r="A19" s="163" t="s">
        <v>202</v>
      </c>
      <c r="B19" s="164" t="s">
        <v>409</v>
      </c>
      <c r="C19" s="932"/>
      <c r="D19" s="154"/>
      <c r="E19" s="258">
        <f>C19+D19</f>
        <v>0</v>
      </c>
      <c r="F19" s="350"/>
      <c r="G19" s="154"/>
      <c r="H19" s="258">
        <f>F19+G19</f>
        <v>0</v>
      </c>
      <c r="I19" s="350"/>
      <c r="J19" s="154"/>
      <c r="K19" s="258">
        <f>SUM(I19:J19)</f>
        <v>0</v>
      </c>
      <c r="L19" s="154"/>
      <c r="M19" s="154"/>
      <c r="N19" s="349">
        <f>SUM(L19:M19)</f>
        <v>0</v>
      </c>
      <c r="O19" s="1231"/>
      <c r="P19" s="439"/>
      <c r="Q19" s="1221">
        <f>SUM(O19:P19)</f>
        <v>0</v>
      </c>
    </row>
    <row r="20" spans="1:17" s="65" customFormat="1" ht="15.75">
      <c r="A20" s="163" t="s">
        <v>359</v>
      </c>
      <c r="B20" s="164" t="s">
        <v>410</v>
      </c>
      <c r="C20" s="932"/>
      <c r="D20" s="154"/>
      <c r="E20" s="258">
        <f t="shared" si="3"/>
        <v>0</v>
      </c>
      <c r="F20" s="350"/>
      <c r="G20" s="154"/>
      <c r="H20" s="258">
        <f t="shared" si="4"/>
        <v>0</v>
      </c>
      <c r="I20" s="350"/>
      <c r="J20" s="154"/>
      <c r="K20" s="258">
        <f t="shared" si="5"/>
        <v>0</v>
      </c>
      <c r="L20" s="350"/>
      <c r="M20" s="154"/>
      <c r="N20" s="934">
        <f t="shared" si="6"/>
        <v>0</v>
      </c>
      <c r="O20" s="1231"/>
      <c r="P20" s="439"/>
      <c r="Q20" s="1221">
        <f t="shared" si="7"/>
        <v>0</v>
      </c>
    </row>
    <row r="21" spans="1:17" s="65" customFormat="1" ht="15.75">
      <c r="A21" s="161" t="s">
        <v>361</v>
      </c>
      <c r="B21" s="164" t="s">
        <v>411</v>
      </c>
      <c r="C21" s="934"/>
      <c r="D21" s="256"/>
      <c r="E21" s="258">
        <f>C21+D21</f>
        <v>0</v>
      </c>
      <c r="F21" s="349"/>
      <c r="G21" s="256"/>
      <c r="H21" s="258">
        <f t="shared" si="4"/>
        <v>0</v>
      </c>
      <c r="I21" s="349">
        <v>74288</v>
      </c>
      <c r="J21" s="256">
        <v>779</v>
      </c>
      <c r="K21" s="258">
        <f t="shared" si="5"/>
        <v>75067</v>
      </c>
      <c r="L21" s="349">
        <v>36427</v>
      </c>
      <c r="M21" s="256">
        <v>-6815</v>
      </c>
      <c r="N21" s="934">
        <f t="shared" si="6"/>
        <v>29612</v>
      </c>
      <c r="O21" s="1232"/>
      <c r="P21" s="437"/>
      <c r="Q21" s="1221">
        <f t="shared" si="7"/>
        <v>0</v>
      </c>
    </row>
    <row r="22" spans="1:17" s="65" customFormat="1" ht="15" customHeight="1" thickBot="1">
      <c r="A22" s="16" t="s">
        <v>74</v>
      </c>
      <c r="B22" s="378" t="s">
        <v>412</v>
      </c>
      <c r="C22" s="933"/>
      <c r="D22" s="166"/>
      <c r="E22" s="258">
        <f t="shared" si="3"/>
        <v>0</v>
      </c>
      <c r="F22" s="351"/>
      <c r="G22" s="166"/>
      <c r="H22" s="258">
        <f t="shared" si="4"/>
        <v>0</v>
      </c>
      <c r="I22" s="351"/>
      <c r="J22" s="166"/>
      <c r="K22" s="258">
        <f t="shared" si="5"/>
        <v>0</v>
      </c>
      <c r="L22" s="351"/>
      <c r="M22" s="166"/>
      <c r="N22" s="934">
        <f t="shared" si="6"/>
        <v>0</v>
      </c>
      <c r="O22" s="1233"/>
      <c r="P22" s="440"/>
      <c r="Q22" s="1221">
        <f t="shared" si="7"/>
        <v>0</v>
      </c>
    </row>
    <row r="23" spans="1:17" s="69" customFormat="1" ht="16.5" thickBot="1">
      <c r="A23" s="361">
        <v>5</v>
      </c>
      <c r="B23" s="348" t="s">
        <v>179</v>
      </c>
      <c r="C23" s="392">
        <f aca="true" t="shared" si="8" ref="C23:Q23">SUM(C15:C22)</f>
        <v>129520</v>
      </c>
      <c r="D23" s="358">
        <f t="shared" si="8"/>
        <v>3635</v>
      </c>
      <c r="E23" s="364">
        <f t="shared" si="8"/>
        <v>133155</v>
      </c>
      <c r="F23" s="374">
        <f t="shared" si="8"/>
        <v>0</v>
      </c>
      <c r="G23" s="358">
        <f t="shared" si="8"/>
        <v>0</v>
      </c>
      <c r="H23" s="374">
        <f t="shared" si="8"/>
        <v>0</v>
      </c>
      <c r="I23" s="392">
        <f t="shared" si="8"/>
        <v>90815</v>
      </c>
      <c r="J23" s="358">
        <f t="shared" si="8"/>
        <v>779</v>
      </c>
      <c r="K23" s="364">
        <f t="shared" si="8"/>
        <v>91594</v>
      </c>
      <c r="L23" s="392">
        <f t="shared" si="8"/>
        <v>37027</v>
      </c>
      <c r="M23" s="358">
        <f t="shared" si="8"/>
        <v>-6500</v>
      </c>
      <c r="N23" s="364">
        <f t="shared" si="8"/>
        <v>30527</v>
      </c>
      <c r="O23" s="392">
        <f t="shared" si="8"/>
        <v>0</v>
      </c>
      <c r="P23" s="358">
        <f t="shared" si="8"/>
        <v>0</v>
      </c>
      <c r="Q23" s="364">
        <f t="shared" si="8"/>
        <v>0</v>
      </c>
    </row>
    <row r="24" spans="1:44" s="2" customFormat="1" ht="16.5" thickBot="1">
      <c r="A24" s="357">
        <v>6</v>
      </c>
      <c r="B24" s="348" t="s">
        <v>182</v>
      </c>
      <c r="C24" s="362"/>
      <c r="D24" s="358">
        <v>180</v>
      </c>
      <c r="E24" s="364">
        <f aca="true" t="shared" si="9" ref="E24:E30">SUM(C24:D24)</f>
        <v>180</v>
      </c>
      <c r="F24" s="362"/>
      <c r="G24" s="358"/>
      <c r="H24" s="364">
        <f aca="true" t="shared" si="10" ref="H24:H30">SUM(F24:G24)</f>
        <v>0</v>
      </c>
      <c r="I24" s="362">
        <v>80635</v>
      </c>
      <c r="J24" s="358">
        <v>18688</v>
      </c>
      <c r="K24" s="364">
        <f aca="true" t="shared" si="11" ref="K24:K30">SUM(I24:J24)</f>
        <v>99323</v>
      </c>
      <c r="L24" s="362"/>
      <c r="M24" s="358"/>
      <c r="N24" s="374">
        <f aca="true" t="shared" si="12" ref="N24:N30">SUM(L24:M24)</f>
        <v>0</v>
      </c>
      <c r="O24" s="1234"/>
      <c r="P24" s="434"/>
      <c r="Q24" s="1222">
        <f aca="true" t="shared" si="13" ref="Q24:Q30">SUM(O24:P24)</f>
        <v>0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</row>
    <row r="25" spans="1:44" s="146" customFormat="1" ht="16.5" thickBot="1">
      <c r="A25" s="357">
        <v>7</v>
      </c>
      <c r="B25" s="348" t="s">
        <v>464</v>
      </c>
      <c r="C25" s="362"/>
      <c r="D25" s="358"/>
      <c r="E25" s="364">
        <f t="shared" si="9"/>
        <v>0</v>
      </c>
      <c r="F25" s="362"/>
      <c r="G25" s="358"/>
      <c r="H25" s="374">
        <f t="shared" si="10"/>
        <v>0</v>
      </c>
      <c r="I25" s="392">
        <v>26496</v>
      </c>
      <c r="J25" s="358">
        <v>62998</v>
      </c>
      <c r="K25" s="364">
        <f t="shared" si="11"/>
        <v>89494</v>
      </c>
      <c r="L25" s="374"/>
      <c r="M25" s="358"/>
      <c r="N25" s="374">
        <f t="shared" si="12"/>
        <v>0</v>
      </c>
      <c r="O25" s="1234"/>
      <c r="P25" s="434"/>
      <c r="Q25" s="1222">
        <f t="shared" si="13"/>
        <v>0</v>
      </c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pans="1:44" s="2" customFormat="1" ht="15.75">
      <c r="A26" s="171" t="s">
        <v>108</v>
      </c>
      <c r="B26" s="164" t="s">
        <v>413</v>
      </c>
      <c r="C26" s="349"/>
      <c r="D26" s="256"/>
      <c r="E26" s="258">
        <f t="shared" si="9"/>
        <v>0</v>
      </c>
      <c r="F26" s="349"/>
      <c r="G26" s="256"/>
      <c r="H26" s="258">
        <f t="shared" si="10"/>
        <v>0</v>
      </c>
      <c r="I26" s="349"/>
      <c r="J26" s="256"/>
      <c r="K26" s="258">
        <f t="shared" si="11"/>
        <v>0</v>
      </c>
      <c r="L26" s="349"/>
      <c r="M26" s="256"/>
      <c r="N26" s="934">
        <f t="shared" si="12"/>
        <v>0</v>
      </c>
      <c r="O26" s="1232"/>
      <c r="P26" s="437"/>
      <c r="Q26" s="1221">
        <f t="shared" si="13"/>
        <v>0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</row>
    <row r="27" spans="1:44" s="2" customFormat="1" ht="15.75">
      <c r="A27" s="171" t="s">
        <v>109</v>
      </c>
      <c r="B27" s="164" t="s">
        <v>414</v>
      </c>
      <c r="C27" s="349"/>
      <c r="D27" s="256"/>
      <c r="E27" s="258">
        <f t="shared" si="9"/>
        <v>0</v>
      </c>
      <c r="F27" s="349"/>
      <c r="G27" s="256"/>
      <c r="H27" s="258">
        <f t="shared" si="10"/>
        <v>0</v>
      </c>
      <c r="I27" s="349"/>
      <c r="J27" s="256"/>
      <c r="K27" s="258">
        <f t="shared" si="11"/>
        <v>0</v>
      </c>
      <c r="L27" s="349"/>
      <c r="M27" s="256"/>
      <c r="N27" s="934">
        <f t="shared" si="12"/>
        <v>0</v>
      </c>
      <c r="O27" s="1232"/>
      <c r="P27" s="437"/>
      <c r="Q27" s="1221">
        <f t="shared" si="13"/>
        <v>0</v>
      </c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</row>
    <row r="28" spans="1:44" s="2" customFormat="1" ht="15.75">
      <c r="A28" s="171" t="s">
        <v>110</v>
      </c>
      <c r="B28" s="164" t="s">
        <v>415</v>
      </c>
      <c r="C28" s="349"/>
      <c r="D28" s="256"/>
      <c r="E28" s="258">
        <f t="shared" si="9"/>
        <v>0</v>
      </c>
      <c r="F28" s="349"/>
      <c r="G28" s="256"/>
      <c r="H28" s="258">
        <f t="shared" si="10"/>
        <v>0</v>
      </c>
      <c r="I28" s="349"/>
      <c r="J28" s="256"/>
      <c r="K28" s="258">
        <f t="shared" si="11"/>
        <v>0</v>
      </c>
      <c r="L28" s="349"/>
      <c r="M28" s="154"/>
      <c r="N28" s="934">
        <f t="shared" si="12"/>
        <v>0</v>
      </c>
      <c r="O28" s="1232"/>
      <c r="P28" s="437"/>
      <c r="Q28" s="1221">
        <f t="shared" si="13"/>
        <v>0</v>
      </c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</row>
    <row r="29" spans="1:44" s="2" customFormat="1" ht="15.75">
      <c r="A29" s="171" t="s">
        <v>111</v>
      </c>
      <c r="B29" s="164" t="s">
        <v>416</v>
      </c>
      <c r="C29" s="349">
        <v>10000</v>
      </c>
      <c r="D29" s="256">
        <v>700</v>
      </c>
      <c r="E29" s="258">
        <f t="shared" si="9"/>
        <v>10700</v>
      </c>
      <c r="F29" s="349"/>
      <c r="G29" s="256"/>
      <c r="H29" s="258">
        <f t="shared" si="10"/>
        <v>0</v>
      </c>
      <c r="I29" s="349"/>
      <c r="J29" s="256"/>
      <c r="K29" s="258">
        <f t="shared" si="11"/>
        <v>0</v>
      </c>
      <c r="L29" s="349"/>
      <c r="M29" s="256"/>
      <c r="N29" s="934">
        <f t="shared" si="12"/>
        <v>0</v>
      </c>
      <c r="O29" s="1232"/>
      <c r="P29" s="437"/>
      <c r="Q29" s="1221">
        <f t="shared" si="13"/>
        <v>0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</row>
    <row r="30" spans="1:44" s="2" customFormat="1" ht="16.5" thickBot="1">
      <c r="A30" s="379" t="s">
        <v>202</v>
      </c>
      <c r="B30" s="164" t="s">
        <v>417</v>
      </c>
      <c r="C30" s="373"/>
      <c r="D30" s="365"/>
      <c r="E30" s="368">
        <f t="shared" si="9"/>
        <v>0</v>
      </c>
      <c r="F30" s="373"/>
      <c r="G30" s="365"/>
      <c r="H30" s="368">
        <f t="shared" si="10"/>
        <v>0</v>
      </c>
      <c r="I30" s="373"/>
      <c r="J30" s="365"/>
      <c r="K30" s="368">
        <f t="shared" si="11"/>
        <v>0</v>
      </c>
      <c r="L30" s="373"/>
      <c r="M30" s="365"/>
      <c r="N30" s="172">
        <f t="shared" si="12"/>
        <v>0</v>
      </c>
      <c r="O30" s="1235"/>
      <c r="P30" s="443"/>
      <c r="Q30" s="1223">
        <f t="shared" si="13"/>
        <v>0</v>
      </c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</row>
    <row r="31" spans="1:44" s="146" customFormat="1" ht="16.5" thickBot="1">
      <c r="A31" s="357">
        <v>8</v>
      </c>
      <c r="B31" s="348" t="s">
        <v>181</v>
      </c>
      <c r="C31" s="392">
        <f aca="true" t="shared" si="14" ref="C31:Q31">SUM(C26:C30)</f>
        <v>10000</v>
      </c>
      <c r="D31" s="358">
        <f t="shared" si="14"/>
        <v>700</v>
      </c>
      <c r="E31" s="364">
        <f t="shared" si="14"/>
        <v>10700</v>
      </c>
      <c r="F31" s="374">
        <f t="shared" si="14"/>
        <v>0</v>
      </c>
      <c r="G31" s="358">
        <f t="shared" si="14"/>
        <v>0</v>
      </c>
      <c r="H31" s="374">
        <f t="shared" si="14"/>
        <v>0</v>
      </c>
      <c r="I31" s="392">
        <f t="shared" si="14"/>
        <v>0</v>
      </c>
      <c r="J31" s="358">
        <f t="shared" si="14"/>
        <v>0</v>
      </c>
      <c r="K31" s="364">
        <f t="shared" si="14"/>
        <v>0</v>
      </c>
      <c r="L31" s="392">
        <f t="shared" si="14"/>
        <v>0</v>
      </c>
      <c r="M31" s="358">
        <f t="shared" si="14"/>
        <v>0</v>
      </c>
      <c r="N31" s="374">
        <f t="shared" si="14"/>
        <v>0</v>
      </c>
      <c r="O31" s="392">
        <f t="shared" si="14"/>
        <v>0</v>
      </c>
      <c r="P31" s="358">
        <f t="shared" si="14"/>
        <v>0</v>
      </c>
      <c r="Q31" s="364">
        <f t="shared" si="14"/>
        <v>0</v>
      </c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</row>
    <row r="32" spans="1:17" s="2" customFormat="1" ht="16.5" thickBot="1">
      <c r="A32" s="357">
        <v>9</v>
      </c>
      <c r="B32" s="348" t="s">
        <v>187</v>
      </c>
      <c r="C32" s="362">
        <v>52621</v>
      </c>
      <c r="D32" s="358"/>
      <c r="E32" s="364">
        <f>SUM(C32:D32)</f>
        <v>52621</v>
      </c>
      <c r="F32" s="362"/>
      <c r="G32" s="358"/>
      <c r="H32" s="364">
        <f>SUM(F32:G32)</f>
        <v>0</v>
      </c>
      <c r="I32" s="362"/>
      <c r="J32" s="358"/>
      <c r="K32" s="364">
        <f>SUM(I32:J32)</f>
        <v>0</v>
      </c>
      <c r="L32" s="362"/>
      <c r="M32" s="358"/>
      <c r="N32" s="374">
        <f>SUM(L32:M32)</f>
        <v>0</v>
      </c>
      <c r="O32" s="1234"/>
      <c r="P32" s="434"/>
      <c r="Q32" s="1222">
        <f>SUM(O32:P32)</f>
        <v>0</v>
      </c>
    </row>
    <row r="33" spans="1:17" s="38" customFormat="1" ht="16.5" thickBot="1">
      <c r="A33" s="412">
        <v>10</v>
      </c>
      <c r="B33" s="413"/>
      <c r="C33" s="982"/>
      <c r="D33" s="414"/>
      <c r="E33" s="1212">
        <f>SUM(C33:D33)</f>
        <v>0</v>
      </c>
      <c r="F33" s="173"/>
      <c r="G33" s="414"/>
      <c r="H33" s="1212">
        <f>SUM(F33:G33)</f>
        <v>0</v>
      </c>
      <c r="I33" s="173"/>
      <c r="J33" s="414"/>
      <c r="K33" s="1212">
        <f>SUM(I33:J33)</f>
        <v>0</v>
      </c>
      <c r="L33" s="173"/>
      <c r="M33" s="414"/>
      <c r="N33" s="336">
        <f>SUM(L33:M33)</f>
        <v>0</v>
      </c>
      <c r="O33" s="173"/>
      <c r="P33" s="414"/>
      <c r="Q33" s="1212">
        <f>SUM(O33:P33)</f>
        <v>0</v>
      </c>
    </row>
    <row r="34" spans="1:17" s="38" customFormat="1" ht="17.25" thickBot="1" thickTop="1">
      <c r="A34" s="387" t="s">
        <v>118</v>
      </c>
      <c r="B34" s="411" t="s">
        <v>188</v>
      </c>
      <c r="C34" s="410">
        <f aca="true" t="shared" si="15" ref="C34:Q34">C11+C12+C13+C23+C14+C31+C25+C24+C32+C33</f>
        <v>706173</v>
      </c>
      <c r="D34" s="388">
        <f t="shared" si="15"/>
        <v>430</v>
      </c>
      <c r="E34" s="824">
        <f t="shared" si="15"/>
        <v>706603</v>
      </c>
      <c r="F34" s="410">
        <f t="shared" si="15"/>
        <v>90194</v>
      </c>
      <c r="G34" s="388">
        <f t="shared" si="15"/>
        <v>0</v>
      </c>
      <c r="H34" s="824">
        <f t="shared" si="15"/>
        <v>90194</v>
      </c>
      <c r="I34" s="410">
        <f t="shared" si="15"/>
        <v>224365</v>
      </c>
      <c r="J34" s="388">
        <f t="shared" si="15"/>
        <v>81896</v>
      </c>
      <c r="K34" s="824">
        <f t="shared" si="15"/>
        <v>306261</v>
      </c>
      <c r="L34" s="410">
        <f t="shared" si="15"/>
        <v>199315</v>
      </c>
      <c r="M34" s="388">
        <f t="shared" si="15"/>
        <v>-1322</v>
      </c>
      <c r="N34" s="824">
        <f t="shared" si="15"/>
        <v>197993</v>
      </c>
      <c r="O34" s="410">
        <f t="shared" si="15"/>
        <v>116859</v>
      </c>
      <c r="P34" s="388">
        <f t="shared" si="15"/>
        <v>1242</v>
      </c>
      <c r="Q34" s="421">
        <f t="shared" si="15"/>
        <v>118101</v>
      </c>
    </row>
    <row r="35" spans="1:21" s="2" customFormat="1" ht="17.25" thickBot="1" thickTop="1">
      <c r="A35" s="159"/>
      <c r="B35" s="391" t="s">
        <v>142</v>
      </c>
      <c r="C35" s="1182"/>
      <c r="D35" s="345"/>
      <c r="E35" s="1213"/>
      <c r="F35" s="935"/>
      <c r="G35" s="345"/>
      <c r="H35" s="1213"/>
      <c r="I35" s="983"/>
      <c r="J35" s="345"/>
      <c r="K35" s="1213"/>
      <c r="L35" s="983"/>
      <c r="M35" s="345"/>
      <c r="N35" s="935"/>
      <c r="O35" s="1182"/>
      <c r="P35" s="345"/>
      <c r="Q35" s="1213"/>
      <c r="R35" s="219"/>
      <c r="S35" s="219"/>
      <c r="T35" s="219"/>
      <c r="U35" s="219"/>
    </row>
    <row r="36" spans="1:17" s="2" customFormat="1" ht="15.75">
      <c r="A36" s="815" t="s">
        <v>108</v>
      </c>
      <c r="B36" s="816" t="s">
        <v>418</v>
      </c>
      <c r="C36" s="1190"/>
      <c r="D36" s="817"/>
      <c r="E36" s="822">
        <f aca="true" t="shared" si="16" ref="E36:E44">SUM(C36:D36)</f>
        <v>0</v>
      </c>
      <c r="F36" s="821"/>
      <c r="G36" s="817"/>
      <c r="H36" s="822">
        <f>SUM(F36:G36)</f>
        <v>0</v>
      </c>
      <c r="I36" s="1190"/>
      <c r="J36" s="817"/>
      <c r="K36" s="822">
        <f>SUM(I36:J36)</f>
        <v>0</v>
      </c>
      <c r="L36" s="1190"/>
      <c r="M36" s="817"/>
      <c r="N36" s="821">
        <f>SUM(L36:M36)</f>
        <v>0</v>
      </c>
      <c r="O36" s="1236"/>
      <c r="P36" s="820"/>
      <c r="Q36" s="1224">
        <f>SUM(O36:P36)</f>
        <v>0</v>
      </c>
    </row>
    <row r="37" spans="1:17" s="2" customFormat="1" ht="15.75">
      <c r="A37" s="168" t="s">
        <v>109</v>
      </c>
      <c r="B37" s="164" t="s">
        <v>259</v>
      </c>
      <c r="C37" s="954"/>
      <c r="D37" s="154"/>
      <c r="E37" s="177">
        <f>SUM(C37:D37)</f>
        <v>0</v>
      </c>
      <c r="F37" s="932"/>
      <c r="G37" s="154"/>
      <c r="H37" s="177">
        <f>SUM(F37:G37)</f>
        <v>0</v>
      </c>
      <c r="I37" s="954"/>
      <c r="J37" s="154"/>
      <c r="K37" s="177">
        <f>SUM(I37:J37)</f>
        <v>0</v>
      </c>
      <c r="L37" s="954"/>
      <c r="M37" s="154"/>
      <c r="N37" s="932">
        <f>SUM(L37:M37)</f>
        <v>0</v>
      </c>
      <c r="O37" s="1231"/>
      <c r="P37" s="439"/>
      <c r="Q37" s="1225">
        <f>SUM(O37:P37)</f>
        <v>0</v>
      </c>
    </row>
    <row r="38" spans="1:17" s="2" customFormat="1" ht="15.75">
      <c r="A38" s="379" t="s">
        <v>110</v>
      </c>
      <c r="B38" s="157" t="s">
        <v>419</v>
      </c>
      <c r="C38" s="1181"/>
      <c r="D38" s="365"/>
      <c r="E38" s="368">
        <f t="shared" si="16"/>
        <v>0</v>
      </c>
      <c r="F38" s="172"/>
      <c r="G38" s="365"/>
      <c r="H38" s="368">
        <f>SUM(F38:G38)</f>
        <v>0</v>
      </c>
      <c r="I38" s="1181"/>
      <c r="J38" s="365"/>
      <c r="K38" s="368">
        <f>SUM(I38:J38)</f>
        <v>0</v>
      </c>
      <c r="L38" s="1181"/>
      <c r="M38" s="365"/>
      <c r="N38" s="172">
        <f>SUM(L38:M38)</f>
        <v>0</v>
      </c>
      <c r="O38" s="1235"/>
      <c r="P38" s="443"/>
      <c r="Q38" s="1223">
        <f>SUM(O38:P38)</f>
        <v>0</v>
      </c>
    </row>
    <row r="39" spans="1:17" s="2" customFormat="1" ht="16.5" thickBot="1">
      <c r="A39" s="169" t="s">
        <v>111</v>
      </c>
      <c r="B39" s="170" t="s">
        <v>423</v>
      </c>
      <c r="C39" s="955"/>
      <c r="D39" s="166"/>
      <c r="E39" s="272">
        <f>SUM(C39:D39)</f>
        <v>0</v>
      </c>
      <c r="F39" s="933"/>
      <c r="G39" s="166"/>
      <c r="H39" s="272">
        <f>SUM(F39:G39)</f>
        <v>0</v>
      </c>
      <c r="I39" s="955"/>
      <c r="J39" s="166">
        <v>17</v>
      </c>
      <c r="K39" s="272">
        <f>SUM(I39:J39)</f>
        <v>17</v>
      </c>
      <c r="L39" s="955"/>
      <c r="M39" s="166"/>
      <c r="N39" s="933">
        <f>SUM(L39:M39)</f>
        <v>0</v>
      </c>
      <c r="O39" s="1233"/>
      <c r="P39" s="440"/>
      <c r="Q39" s="1226">
        <f>SUM(O39:P39)</f>
        <v>0</v>
      </c>
    </row>
    <row r="40" spans="1:17" s="146" customFormat="1" ht="16.5" thickBot="1">
      <c r="A40" s="357">
        <v>1</v>
      </c>
      <c r="B40" s="348" t="s">
        <v>185</v>
      </c>
      <c r="C40" s="392">
        <f aca="true" t="shared" si="17" ref="C40:Q40">SUM(C36:C39)</f>
        <v>0</v>
      </c>
      <c r="D40" s="358">
        <f t="shared" si="17"/>
        <v>0</v>
      </c>
      <c r="E40" s="364">
        <f t="shared" si="17"/>
        <v>0</v>
      </c>
      <c r="F40" s="392">
        <f t="shared" si="17"/>
        <v>0</v>
      </c>
      <c r="G40" s="358">
        <f t="shared" si="17"/>
        <v>0</v>
      </c>
      <c r="H40" s="364">
        <f t="shared" si="17"/>
        <v>0</v>
      </c>
      <c r="I40" s="392">
        <f t="shared" si="17"/>
        <v>0</v>
      </c>
      <c r="J40" s="358">
        <f t="shared" si="17"/>
        <v>17</v>
      </c>
      <c r="K40" s="364">
        <f t="shared" si="17"/>
        <v>17</v>
      </c>
      <c r="L40" s="392">
        <f t="shared" si="17"/>
        <v>0</v>
      </c>
      <c r="M40" s="358">
        <f t="shared" si="17"/>
        <v>0</v>
      </c>
      <c r="N40" s="364">
        <f t="shared" si="17"/>
        <v>0</v>
      </c>
      <c r="O40" s="392">
        <f t="shared" si="17"/>
        <v>0</v>
      </c>
      <c r="P40" s="358">
        <f t="shared" si="17"/>
        <v>0</v>
      </c>
      <c r="Q40" s="364">
        <f t="shared" si="17"/>
        <v>0</v>
      </c>
    </row>
    <row r="41" spans="1:17" s="2" customFormat="1" ht="15.75">
      <c r="A41" s="171" t="s">
        <v>108</v>
      </c>
      <c r="B41" s="160" t="s">
        <v>445</v>
      </c>
      <c r="C41" s="1180"/>
      <c r="D41" s="256"/>
      <c r="E41" s="258">
        <f t="shared" si="16"/>
        <v>0</v>
      </c>
      <c r="F41" s="934"/>
      <c r="G41" s="256"/>
      <c r="H41" s="258">
        <f>SUM(F41:G41)</f>
        <v>0</v>
      </c>
      <c r="I41" s="1180"/>
      <c r="J41" s="256"/>
      <c r="K41" s="258">
        <f>SUM(I41:J41)</f>
        <v>0</v>
      </c>
      <c r="L41" s="1180"/>
      <c r="M41" s="256"/>
      <c r="N41" s="934">
        <f>SUM(L41:M41)</f>
        <v>0</v>
      </c>
      <c r="O41" s="1232"/>
      <c r="P41" s="437"/>
      <c r="Q41" s="1221">
        <f>SUM(O41:P41)</f>
        <v>0</v>
      </c>
    </row>
    <row r="42" spans="1:17" s="2" customFormat="1" ht="15.75">
      <c r="A42" s="168" t="s">
        <v>109</v>
      </c>
      <c r="B42" s="164" t="s">
        <v>420</v>
      </c>
      <c r="C42" s="954"/>
      <c r="D42" s="154"/>
      <c r="E42" s="177">
        <f>SUM(C42:D42)</f>
        <v>0</v>
      </c>
      <c r="F42" s="932"/>
      <c r="G42" s="154"/>
      <c r="H42" s="177">
        <f>SUM(F42:G42)</f>
        <v>0</v>
      </c>
      <c r="I42" s="954"/>
      <c r="J42" s="154"/>
      <c r="K42" s="177">
        <f>SUM(I42:J42)</f>
        <v>0</v>
      </c>
      <c r="L42" s="954"/>
      <c r="M42" s="154"/>
      <c r="N42" s="932">
        <f>SUM(L42:M42)</f>
        <v>0</v>
      </c>
      <c r="O42" s="1231"/>
      <c r="P42" s="439"/>
      <c r="Q42" s="1225">
        <f>SUM(O42:P42)</f>
        <v>0</v>
      </c>
    </row>
    <row r="43" spans="1:17" s="2" customFormat="1" ht="15.75">
      <c r="A43" s="168" t="s">
        <v>110</v>
      </c>
      <c r="B43" s="164" t="s">
        <v>421</v>
      </c>
      <c r="C43" s="954"/>
      <c r="D43" s="154"/>
      <c r="E43" s="177">
        <f>SUM(C43:D43)</f>
        <v>0</v>
      </c>
      <c r="F43" s="932"/>
      <c r="G43" s="154"/>
      <c r="H43" s="177">
        <f>SUM(F43:G43)</f>
        <v>0</v>
      </c>
      <c r="I43" s="954"/>
      <c r="J43" s="154"/>
      <c r="K43" s="177">
        <f>SUM(I43:J43)</f>
        <v>0</v>
      </c>
      <c r="L43" s="954"/>
      <c r="M43" s="154"/>
      <c r="N43" s="932">
        <f>SUM(L43:M43)</f>
        <v>0</v>
      </c>
      <c r="O43" s="1231"/>
      <c r="P43" s="439"/>
      <c r="Q43" s="1225">
        <f>SUM(O43:P43)</f>
        <v>0</v>
      </c>
    </row>
    <row r="44" spans="1:17" s="2" customFormat="1" ht="16.5" thickBot="1">
      <c r="A44" s="169" t="s">
        <v>111</v>
      </c>
      <c r="B44" s="170" t="s">
        <v>183</v>
      </c>
      <c r="C44" s="955"/>
      <c r="D44" s="166">
        <v>3007</v>
      </c>
      <c r="E44" s="272">
        <f t="shared" si="16"/>
        <v>3007</v>
      </c>
      <c r="F44" s="933"/>
      <c r="G44" s="166"/>
      <c r="H44" s="272">
        <f>SUM(F44:G44)</f>
        <v>0</v>
      </c>
      <c r="I44" s="955"/>
      <c r="J44" s="166"/>
      <c r="K44" s="272">
        <f>SUM(I44:J44)</f>
        <v>0</v>
      </c>
      <c r="L44" s="955"/>
      <c r="M44" s="166"/>
      <c r="N44" s="933">
        <f>SUM(L44:M44)</f>
        <v>0</v>
      </c>
      <c r="O44" s="1233"/>
      <c r="P44" s="440"/>
      <c r="Q44" s="1226">
        <f>SUM(O44:P44)</f>
        <v>0</v>
      </c>
    </row>
    <row r="45" spans="1:17" s="146" customFormat="1" ht="16.5" thickBot="1">
      <c r="A45" s="357">
        <v>2</v>
      </c>
      <c r="B45" s="348" t="s">
        <v>184</v>
      </c>
      <c r="C45" s="392">
        <f>SUM(C41:C44)</f>
        <v>0</v>
      </c>
      <c r="D45" s="358">
        <f aca="true" t="shared" si="18" ref="D45:Q45">SUM(D41:D44)</f>
        <v>3007</v>
      </c>
      <c r="E45" s="360">
        <f t="shared" si="18"/>
        <v>3007</v>
      </c>
      <c r="F45" s="392">
        <f t="shared" si="18"/>
        <v>0</v>
      </c>
      <c r="G45" s="358">
        <f t="shared" si="18"/>
        <v>0</v>
      </c>
      <c r="H45" s="360">
        <f t="shared" si="18"/>
        <v>0</v>
      </c>
      <c r="I45" s="392">
        <f t="shared" si="18"/>
        <v>0</v>
      </c>
      <c r="J45" s="358">
        <f t="shared" si="18"/>
        <v>0</v>
      </c>
      <c r="K45" s="360">
        <f t="shared" si="18"/>
        <v>0</v>
      </c>
      <c r="L45" s="392">
        <f t="shared" si="18"/>
        <v>0</v>
      </c>
      <c r="M45" s="358">
        <f t="shared" si="18"/>
        <v>0</v>
      </c>
      <c r="N45" s="374">
        <f t="shared" si="18"/>
        <v>0</v>
      </c>
      <c r="O45" s="392">
        <f t="shared" si="18"/>
        <v>0</v>
      </c>
      <c r="P45" s="358">
        <f t="shared" si="18"/>
        <v>0</v>
      </c>
      <c r="Q45" s="364">
        <f t="shared" si="18"/>
        <v>0</v>
      </c>
    </row>
    <row r="46" spans="1:17" s="146" customFormat="1" ht="16.5" thickBot="1">
      <c r="A46" s="357">
        <v>3</v>
      </c>
      <c r="B46" s="348" t="s">
        <v>278</v>
      </c>
      <c r="C46" s="392">
        <v>73970</v>
      </c>
      <c r="D46" s="358">
        <v>10060</v>
      </c>
      <c r="E46" s="360">
        <f>SUM(C46:D46)</f>
        <v>84030</v>
      </c>
      <c r="F46" s="392"/>
      <c r="G46" s="358"/>
      <c r="H46" s="360">
        <f>SUM(F46:G46)</f>
        <v>0</v>
      </c>
      <c r="I46" s="392"/>
      <c r="J46" s="358"/>
      <c r="K46" s="360">
        <f>SUM(I46:J46)</f>
        <v>0</v>
      </c>
      <c r="L46" s="392"/>
      <c r="M46" s="358">
        <v>696</v>
      </c>
      <c r="N46" s="374">
        <f>SUM(L46:M46)</f>
        <v>696</v>
      </c>
      <c r="O46" s="392"/>
      <c r="P46" s="358">
        <v>1459</v>
      </c>
      <c r="Q46" s="364">
        <f>SUM(O46:P46)</f>
        <v>1459</v>
      </c>
    </row>
    <row r="47" spans="1:17" s="2" customFormat="1" ht="16.5" thickBot="1">
      <c r="A47" s="357">
        <v>4</v>
      </c>
      <c r="B47" s="348" t="s">
        <v>299</v>
      </c>
      <c r="C47" s="392"/>
      <c r="D47" s="358"/>
      <c r="E47" s="360">
        <f>SUM(C47:D47)</f>
        <v>0</v>
      </c>
      <c r="F47" s="392"/>
      <c r="G47" s="358"/>
      <c r="H47" s="360">
        <f>SUM(F47:G47)</f>
        <v>0</v>
      </c>
      <c r="I47" s="392"/>
      <c r="J47" s="358"/>
      <c r="K47" s="360">
        <f>SUM(I47:J47)</f>
        <v>0</v>
      </c>
      <c r="L47" s="392"/>
      <c r="M47" s="358">
        <v>87</v>
      </c>
      <c r="N47" s="374">
        <f>SUM(L47:M47)</f>
        <v>87</v>
      </c>
      <c r="O47" s="392"/>
      <c r="P47" s="358"/>
      <c r="Q47" s="364">
        <f>SUM(O47:P47)</f>
        <v>0</v>
      </c>
    </row>
    <row r="48" spans="1:17" s="2" customFormat="1" ht="15.75">
      <c r="A48" s="171" t="s">
        <v>108</v>
      </c>
      <c r="B48" s="157" t="s">
        <v>305</v>
      </c>
      <c r="C48" s="1180"/>
      <c r="D48" s="256"/>
      <c r="E48" s="258">
        <f>SUM(C48:D48)</f>
        <v>0</v>
      </c>
      <c r="F48" s="934"/>
      <c r="G48" s="256"/>
      <c r="H48" s="258">
        <f>SUM(F48:G48)</f>
        <v>0</v>
      </c>
      <c r="I48" s="1180"/>
      <c r="J48" s="256"/>
      <c r="K48" s="258">
        <f>SUM(I48:J48)</f>
        <v>0</v>
      </c>
      <c r="L48" s="1180"/>
      <c r="M48" s="256"/>
      <c r="N48" s="934">
        <f>SUM(L48:M48)</f>
        <v>0</v>
      </c>
      <c r="O48" s="1232"/>
      <c r="P48" s="437"/>
      <c r="Q48" s="1221">
        <f>SUM(O48:P48)</f>
        <v>0</v>
      </c>
    </row>
    <row r="49" spans="1:17" s="2" customFormat="1" ht="15.75">
      <c r="A49" s="169" t="s">
        <v>109</v>
      </c>
      <c r="B49" s="378" t="s">
        <v>422</v>
      </c>
      <c r="C49" s="954"/>
      <c r="D49" s="154"/>
      <c r="E49" s="177">
        <f>SUM(C49:D49)</f>
        <v>0</v>
      </c>
      <c r="F49" s="932"/>
      <c r="G49" s="154"/>
      <c r="H49" s="177">
        <f>SUM(F49:G49)</f>
        <v>0</v>
      </c>
      <c r="I49" s="954"/>
      <c r="J49" s="154"/>
      <c r="K49" s="177">
        <f>SUM(I49:J49)</f>
        <v>0</v>
      </c>
      <c r="L49" s="954"/>
      <c r="M49" s="154"/>
      <c r="N49" s="932">
        <f>SUM(L49:M49)</f>
        <v>0</v>
      </c>
      <c r="O49" s="1231"/>
      <c r="P49" s="439"/>
      <c r="Q49" s="1225">
        <f>SUM(O49:P49)</f>
        <v>0</v>
      </c>
    </row>
    <row r="50" spans="1:17" s="2" customFormat="1" ht="16.5" thickBot="1">
      <c r="A50" s="169" t="s">
        <v>110</v>
      </c>
      <c r="B50" s="378" t="s">
        <v>455</v>
      </c>
      <c r="C50" s="954"/>
      <c r="D50" s="154"/>
      <c r="E50" s="177">
        <f>SUM(C50:D50)</f>
        <v>0</v>
      </c>
      <c r="F50" s="932"/>
      <c r="G50" s="154"/>
      <c r="H50" s="177">
        <f>SUM(F50:G50)</f>
        <v>0</v>
      </c>
      <c r="I50" s="954"/>
      <c r="J50" s="154"/>
      <c r="K50" s="177">
        <f>SUM(I50:J50)</f>
        <v>0</v>
      </c>
      <c r="L50" s="954"/>
      <c r="M50" s="154"/>
      <c r="N50" s="932">
        <f>SUM(L50:M50)</f>
        <v>0</v>
      </c>
      <c r="O50" s="1231"/>
      <c r="P50" s="439"/>
      <c r="Q50" s="1225">
        <f>SUM(O50:P50)</f>
        <v>0</v>
      </c>
    </row>
    <row r="51" spans="1:17" s="146" customFormat="1" ht="16.5" thickBot="1">
      <c r="A51" s="357">
        <v>5</v>
      </c>
      <c r="B51" s="348" t="s">
        <v>186</v>
      </c>
      <c r="C51" s="392">
        <f>SUM(C48:C50)</f>
        <v>0</v>
      </c>
      <c r="D51" s="358">
        <f>SUM(D48:D50)</f>
        <v>0</v>
      </c>
      <c r="E51" s="360">
        <f aca="true" t="shared" si="19" ref="E51:Q51">SUM(E48:E50)</f>
        <v>0</v>
      </c>
      <c r="F51" s="392">
        <f t="shared" si="19"/>
        <v>0</v>
      </c>
      <c r="G51" s="358">
        <f t="shared" si="19"/>
        <v>0</v>
      </c>
      <c r="H51" s="360">
        <f t="shared" si="19"/>
        <v>0</v>
      </c>
      <c r="I51" s="392">
        <f t="shared" si="19"/>
        <v>0</v>
      </c>
      <c r="J51" s="358">
        <f t="shared" si="19"/>
        <v>0</v>
      </c>
      <c r="K51" s="360">
        <f t="shared" si="19"/>
        <v>0</v>
      </c>
      <c r="L51" s="392">
        <f t="shared" si="19"/>
        <v>0</v>
      </c>
      <c r="M51" s="358">
        <f t="shared" si="19"/>
        <v>0</v>
      </c>
      <c r="N51" s="360">
        <f t="shared" si="19"/>
        <v>0</v>
      </c>
      <c r="O51" s="392">
        <f t="shared" si="19"/>
        <v>0</v>
      </c>
      <c r="P51" s="358">
        <f t="shared" si="19"/>
        <v>0</v>
      </c>
      <c r="Q51" s="364">
        <f t="shared" si="19"/>
        <v>0</v>
      </c>
    </row>
    <row r="52" spans="1:17" s="146" customFormat="1" ht="16.5" thickBot="1">
      <c r="A52" s="811">
        <v>6</v>
      </c>
      <c r="B52" s="812" t="s">
        <v>309</v>
      </c>
      <c r="C52" s="1183"/>
      <c r="D52" s="383"/>
      <c r="E52" s="376">
        <f>SUM(C52:D52)</f>
        <v>0</v>
      </c>
      <c r="F52" s="377"/>
      <c r="G52" s="383"/>
      <c r="H52" s="376">
        <f>SUM(F52:G52)</f>
        <v>0</v>
      </c>
      <c r="I52" s="1189"/>
      <c r="J52" s="383"/>
      <c r="K52" s="376">
        <f>SUM(I52:J52)</f>
        <v>0</v>
      </c>
      <c r="L52" s="1189"/>
      <c r="M52" s="383"/>
      <c r="N52" s="377">
        <f>SUM(L52:M52)</f>
        <v>0</v>
      </c>
      <c r="O52" s="1237"/>
      <c r="P52" s="805"/>
      <c r="Q52" s="1227">
        <f>SUM(O52:P52)</f>
        <v>0</v>
      </c>
    </row>
    <row r="53" spans="1:17" s="2" customFormat="1" ht="15.75">
      <c r="A53" s="152" t="s">
        <v>108</v>
      </c>
      <c r="B53" s="153" t="s">
        <v>424</v>
      </c>
      <c r="C53" s="1184"/>
      <c r="D53" s="155">
        <v>700</v>
      </c>
      <c r="E53" s="215">
        <f>SUM(C53:D53)</f>
        <v>700</v>
      </c>
      <c r="F53" s="936"/>
      <c r="G53" s="155"/>
      <c r="H53" s="215">
        <f>SUM(F53:G53)</f>
        <v>0</v>
      </c>
      <c r="I53" s="1184"/>
      <c r="J53" s="155"/>
      <c r="K53" s="215">
        <f>SUM(I53:J53)</f>
        <v>0</v>
      </c>
      <c r="L53" s="1184"/>
      <c r="M53" s="155"/>
      <c r="N53" s="936">
        <f>SUM(L53:M53)</f>
        <v>0</v>
      </c>
      <c r="O53" s="1238"/>
      <c r="P53" s="448"/>
      <c r="Q53" s="1228">
        <f>SUM(O53:P53)</f>
        <v>0</v>
      </c>
    </row>
    <row r="54" spans="1:17" s="2" customFormat="1" ht="16.5" thickBot="1">
      <c r="A54" s="379" t="s">
        <v>109</v>
      </c>
      <c r="B54" s="157" t="s">
        <v>425</v>
      </c>
      <c r="C54" s="1181"/>
      <c r="D54" s="365"/>
      <c r="E54" s="368">
        <f>SUM(C54:D54)</f>
        <v>0</v>
      </c>
      <c r="F54" s="172"/>
      <c r="G54" s="365"/>
      <c r="H54" s="368">
        <f>SUM(F54:G54)</f>
        <v>0</v>
      </c>
      <c r="I54" s="1181"/>
      <c r="J54" s="365"/>
      <c r="K54" s="368">
        <f>SUM(I54:J54)</f>
        <v>0</v>
      </c>
      <c r="L54" s="1181"/>
      <c r="M54" s="365"/>
      <c r="N54" s="172">
        <f>SUM(L54:M54)</f>
        <v>0</v>
      </c>
      <c r="O54" s="1235"/>
      <c r="P54" s="443"/>
      <c r="Q54" s="1223">
        <f>SUM(O54:P54)</f>
        <v>0</v>
      </c>
    </row>
    <row r="55" spans="1:17" s="146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>
        <f aca="true" t="shared" si="20" ref="D55:Q55">SUM(D53:D54)</f>
        <v>700</v>
      </c>
      <c r="E55" s="360">
        <f t="shared" si="20"/>
        <v>700</v>
      </c>
      <c r="F55" s="392">
        <f t="shared" si="20"/>
        <v>0</v>
      </c>
      <c r="G55" s="358">
        <f t="shared" si="20"/>
        <v>0</v>
      </c>
      <c r="H55" s="360">
        <f t="shared" si="20"/>
        <v>0</v>
      </c>
      <c r="I55" s="392">
        <f t="shared" si="20"/>
        <v>0</v>
      </c>
      <c r="J55" s="358">
        <f t="shared" si="20"/>
        <v>0</v>
      </c>
      <c r="K55" s="360">
        <f t="shared" si="20"/>
        <v>0</v>
      </c>
      <c r="L55" s="392">
        <f t="shared" si="20"/>
        <v>0</v>
      </c>
      <c r="M55" s="358">
        <f t="shared" si="20"/>
        <v>0</v>
      </c>
      <c r="N55" s="360">
        <f t="shared" si="20"/>
        <v>0</v>
      </c>
      <c r="O55" s="1191">
        <f t="shared" si="20"/>
        <v>0</v>
      </c>
      <c r="P55" s="1193">
        <f t="shared" si="20"/>
        <v>0</v>
      </c>
      <c r="Q55" s="1195">
        <f t="shared" si="20"/>
        <v>0</v>
      </c>
    </row>
    <row r="56" spans="1:17" s="2" customFormat="1" ht="19.5" customHeight="1" thickBot="1">
      <c r="A56" s="762">
        <v>8</v>
      </c>
      <c r="B56" s="763" t="s">
        <v>46</v>
      </c>
      <c r="C56" s="1216">
        <f>C34-C40-C45-C46-C47-C51-C52-C55-C57-C58-C59</f>
        <v>-6367797</v>
      </c>
      <c r="D56" s="1217">
        <f>D34-D40-D45-D46-D47-D51-D52-D55-D57-D58-D59</f>
        <v>-13337</v>
      </c>
      <c r="E56" s="1214">
        <f aca="true" t="shared" si="21" ref="E56:Q56">E34-E40-E45-E46-E47-E51-E52-E55-E57-E58-E59</f>
        <v>-6381134</v>
      </c>
      <c r="F56" s="1216">
        <f t="shared" si="21"/>
        <v>90194</v>
      </c>
      <c r="G56" s="1217">
        <f t="shared" si="21"/>
        <v>0</v>
      </c>
      <c r="H56" s="1214">
        <f t="shared" si="21"/>
        <v>90194</v>
      </c>
      <c r="I56" s="1216">
        <f t="shared" si="21"/>
        <v>224365</v>
      </c>
      <c r="J56" s="1217">
        <f t="shared" si="21"/>
        <v>81879</v>
      </c>
      <c r="K56" s="1214">
        <f t="shared" si="21"/>
        <v>306244</v>
      </c>
      <c r="L56" s="1216">
        <f t="shared" si="21"/>
        <v>199315</v>
      </c>
      <c r="M56" s="1217">
        <f t="shared" si="21"/>
        <v>-2105</v>
      </c>
      <c r="N56" s="1214">
        <f t="shared" si="21"/>
        <v>197210</v>
      </c>
      <c r="O56" s="1239">
        <f t="shared" si="21"/>
        <v>116859</v>
      </c>
      <c r="P56" s="1241">
        <f t="shared" si="21"/>
        <v>-217</v>
      </c>
      <c r="Q56" s="1229">
        <f t="shared" si="21"/>
        <v>116642</v>
      </c>
    </row>
    <row r="57" spans="1:17" s="146" customFormat="1" ht="15.75">
      <c r="A57" s="380" t="s">
        <v>427</v>
      </c>
      <c r="B57" s="381" t="s">
        <v>192</v>
      </c>
      <c r="C57" s="1186"/>
      <c r="D57" s="371"/>
      <c r="E57" s="1215">
        <f>SUM(C57:D57)</f>
        <v>0</v>
      </c>
      <c r="F57" s="937"/>
      <c r="G57" s="371"/>
      <c r="H57" s="1215">
        <f>SUM(F57:G57)</f>
        <v>0</v>
      </c>
      <c r="I57" s="1186"/>
      <c r="J57" s="371"/>
      <c r="K57" s="1215">
        <f>SUM(I57:J57)</f>
        <v>0</v>
      </c>
      <c r="L57" s="1186"/>
      <c r="M57" s="371"/>
      <c r="N57" s="937">
        <f>SUM(L57:M57)</f>
        <v>0</v>
      </c>
      <c r="O57" s="1240"/>
      <c r="P57" s="451"/>
      <c r="Q57" s="1230">
        <f>SUM(O57:P57)</f>
        <v>0</v>
      </c>
    </row>
    <row r="58" spans="1:17" s="146" customFormat="1" ht="15.75">
      <c r="A58" s="380" t="s">
        <v>191</v>
      </c>
      <c r="B58" s="381" t="s">
        <v>426</v>
      </c>
      <c r="C58" s="370">
        <v>7000000</v>
      </c>
      <c r="D58" s="371"/>
      <c r="E58" s="449">
        <f>SUM(C58:D58)</f>
        <v>7000000</v>
      </c>
      <c r="F58" s="375"/>
      <c r="G58" s="371"/>
      <c r="H58" s="449">
        <f>SUM(F58:G58)</f>
        <v>0</v>
      </c>
      <c r="I58" s="1186"/>
      <c r="J58" s="371"/>
      <c r="K58" s="1215">
        <f>SUM(I58:J58)</f>
        <v>0</v>
      </c>
      <c r="L58" s="1186"/>
      <c r="M58" s="371"/>
      <c r="N58" s="937">
        <f>SUM(L58:M58)</f>
        <v>0</v>
      </c>
      <c r="O58" s="1240"/>
      <c r="P58" s="451"/>
      <c r="Q58" s="1230">
        <f>SUM(O58:P58)</f>
        <v>0</v>
      </c>
    </row>
    <row r="59" spans="1:17" s="146" customFormat="1" ht="16.5" thickBot="1">
      <c r="A59" s="396">
        <v>10</v>
      </c>
      <c r="B59" s="397"/>
      <c r="C59" s="398"/>
      <c r="D59" s="399"/>
      <c r="E59" s="453">
        <f>SUM(C59:D59)</f>
        <v>0</v>
      </c>
      <c r="F59" s="401"/>
      <c r="G59" s="399"/>
      <c r="H59" s="454">
        <f>SUM(F59:G59)</f>
        <v>0</v>
      </c>
      <c r="I59" s="398"/>
      <c r="J59" s="399"/>
      <c r="K59" s="454">
        <f>SUM(I59:J59)</f>
        <v>0</v>
      </c>
      <c r="L59" s="398"/>
      <c r="M59" s="399"/>
      <c r="N59" s="993">
        <f>SUM(L59:M59)</f>
        <v>0</v>
      </c>
      <c r="O59" s="455"/>
      <c r="P59" s="456"/>
      <c r="Q59" s="457">
        <f>SUM(O59:P59)</f>
        <v>0</v>
      </c>
    </row>
    <row r="60" spans="1:17" s="38" customFormat="1" ht="17.25" thickBot="1" thickTop="1">
      <c r="A60" s="387" t="s">
        <v>119</v>
      </c>
      <c r="B60" s="390" t="s">
        <v>190</v>
      </c>
      <c r="C60" s="825">
        <f>C40+C45+C46+C47+C51+C52+C55+C56+C57+C58+C59</f>
        <v>706173</v>
      </c>
      <c r="D60" s="826">
        <f aca="true" t="shared" si="22" ref="D60:Q60">D40+D45+D46+D47+D51+D52+D55+D56+D57+D58+D59</f>
        <v>430</v>
      </c>
      <c r="E60" s="408">
        <f t="shared" si="22"/>
        <v>706603</v>
      </c>
      <c r="F60" s="409">
        <f t="shared" si="22"/>
        <v>90194</v>
      </c>
      <c r="G60" s="388">
        <f t="shared" si="22"/>
        <v>0</v>
      </c>
      <c r="H60" s="408">
        <f t="shared" si="22"/>
        <v>90194</v>
      </c>
      <c r="I60" s="825">
        <f t="shared" si="22"/>
        <v>224365</v>
      </c>
      <c r="J60" s="826">
        <f t="shared" si="22"/>
        <v>81896</v>
      </c>
      <c r="K60" s="408">
        <f t="shared" si="22"/>
        <v>306261</v>
      </c>
      <c r="L60" s="409">
        <f t="shared" si="22"/>
        <v>199315</v>
      </c>
      <c r="M60" s="388">
        <f t="shared" si="22"/>
        <v>-1322</v>
      </c>
      <c r="N60" s="408">
        <f t="shared" si="22"/>
        <v>197993</v>
      </c>
      <c r="O60" s="409">
        <f t="shared" si="22"/>
        <v>116859</v>
      </c>
      <c r="P60" s="388">
        <f t="shared" si="22"/>
        <v>1242</v>
      </c>
      <c r="Q60" s="421">
        <f t="shared" si="22"/>
        <v>118101</v>
      </c>
    </row>
    <row r="61" spans="1:17" s="2" customFormat="1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458"/>
      <c r="P61" s="458"/>
      <c r="Q61" s="458"/>
    </row>
    <row r="62" spans="1:17" s="2" customFormat="1" ht="17.25" thickBot="1" thickTop="1">
      <c r="A62" s="182"/>
      <c r="B62" s="183" t="s">
        <v>580</v>
      </c>
      <c r="C62" s="994">
        <v>4</v>
      </c>
      <c r="D62" s="461"/>
      <c r="E62" s="460">
        <f>SUM(C62:D62)</f>
        <v>4</v>
      </c>
      <c r="F62" s="216">
        <v>29</v>
      </c>
      <c r="G62" s="459"/>
      <c r="H62" s="460">
        <f>SUM(F62:G62)</f>
        <v>29</v>
      </c>
      <c r="I62" s="216"/>
      <c r="J62" s="459"/>
      <c r="K62" s="460">
        <f>SUM(I62:J62)</f>
        <v>0</v>
      </c>
      <c r="L62" s="216">
        <v>0</v>
      </c>
      <c r="M62" s="459"/>
      <c r="N62" s="460">
        <f>SUM(L62:M62)</f>
        <v>0</v>
      </c>
      <c r="O62" s="462"/>
      <c r="P62" s="987"/>
      <c r="Q62" s="464">
        <f>SUM(O62:P62)</f>
        <v>0</v>
      </c>
    </row>
    <row r="63" spans="1:17" s="2" customFormat="1" ht="17.25" thickBot="1" thickTop="1">
      <c r="A63" s="182"/>
      <c r="B63" s="183" t="s">
        <v>581</v>
      </c>
      <c r="C63" s="994"/>
      <c r="D63" s="461"/>
      <c r="E63" s="460">
        <f>SUM(C63:D63)</f>
        <v>0</v>
      </c>
      <c r="F63" s="216"/>
      <c r="G63" s="459"/>
      <c r="H63" s="460">
        <f>SUM(F63:G63)</f>
        <v>0</v>
      </c>
      <c r="I63" s="216"/>
      <c r="J63" s="459"/>
      <c r="K63" s="460">
        <f>SUM(I63:J63)</f>
        <v>0</v>
      </c>
      <c r="L63" s="216">
        <v>0</v>
      </c>
      <c r="M63" s="459"/>
      <c r="N63" s="460">
        <f>SUM(L63:M63)</f>
        <v>0</v>
      </c>
      <c r="O63" s="462"/>
      <c r="P63" s="987"/>
      <c r="Q63" s="464">
        <f>SUM(O63:P63)</f>
        <v>0</v>
      </c>
    </row>
    <row r="64" spans="1:17" s="2" customFormat="1" ht="16.5" thickTop="1">
      <c r="A64" s="465"/>
      <c r="B64" s="991"/>
      <c r="C64" s="991"/>
      <c r="D64" s="991"/>
      <c r="E64" s="991"/>
      <c r="F64" s="991"/>
      <c r="G64" s="991"/>
      <c r="H64" s="991"/>
      <c r="I64" s="991"/>
      <c r="J64" s="991"/>
      <c r="K64" s="991"/>
      <c r="L64" s="995"/>
      <c r="M64" s="991"/>
      <c r="N64" s="991"/>
      <c r="O64" s="996"/>
      <c r="P64" s="996"/>
      <c r="Q64" s="996"/>
    </row>
    <row r="65" spans="1:17" s="2" customFormat="1" ht="15.75">
      <c r="A65" s="465"/>
      <c r="B65" s="991"/>
      <c r="C65" s="991"/>
      <c r="D65" s="991"/>
      <c r="E65" s="991"/>
      <c r="F65" s="991"/>
      <c r="G65" s="991"/>
      <c r="H65" s="991"/>
      <c r="I65" s="991"/>
      <c r="J65" s="991"/>
      <c r="K65" s="991"/>
      <c r="L65" s="991"/>
      <c r="M65" s="991"/>
      <c r="N65" s="991"/>
      <c r="O65" s="996"/>
      <c r="P65" s="996"/>
      <c r="Q65" s="996"/>
    </row>
  </sheetData>
  <sheetProtection/>
  <mergeCells count="7">
    <mergeCell ref="O7:Q7"/>
    <mergeCell ref="A4:Q4"/>
    <mergeCell ref="A5:Q5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4" sqref="A4:Q4"/>
      <selection pane="topRight" activeCell="A4" sqref="A4:Q4"/>
      <selection pane="bottomLeft" activeCell="A4" sqref="A4:Q4"/>
      <selection pane="bottomRight" activeCell="Q1" sqref="Q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11" width="14.625" style="96" customWidth="1"/>
    <col min="12" max="12" width="14.875" style="96" customWidth="1"/>
    <col min="13" max="17" width="14.625" style="96" customWidth="1"/>
  </cols>
  <sheetData>
    <row r="1" spans="1:17" ht="10.5" customHeight="1">
      <c r="A1" s="346"/>
      <c r="B1" s="347"/>
      <c r="C1" s="347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941"/>
      <c r="O1" s="941"/>
      <c r="P1" s="941"/>
      <c r="Q1" s="940" t="s">
        <v>871</v>
      </c>
    </row>
    <row r="2" spans="1:17" ht="10.5" customHeight="1">
      <c r="A2" s="346"/>
      <c r="B2" s="347"/>
      <c r="C2" s="347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941"/>
      <c r="O2" s="941"/>
      <c r="P2" s="941"/>
      <c r="Q2" s="940" t="s">
        <v>102</v>
      </c>
    </row>
    <row r="3" spans="1:17" ht="15">
      <c r="A3" s="346"/>
      <c r="B3" s="347"/>
      <c r="C3" s="347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941"/>
      <c r="O3" s="941"/>
      <c r="P3" s="941"/>
      <c r="Q3" s="941" t="s">
        <v>143</v>
      </c>
    </row>
    <row r="4" spans="1:17" ht="20.25">
      <c r="A4" s="1844" t="s">
        <v>103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</row>
    <row r="5" spans="1:17" ht="18">
      <c r="A5" s="1845" t="s">
        <v>572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5"/>
      <c r="L5" s="1845"/>
      <c r="M5" s="1845"/>
      <c r="N5" s="1845"/>
      <c r="O5" s="1845"/>
      <c r="P5" s="1845"/>
      <c r="Q5" s="1845"/>
    </row>
    <row r="6" spans="1:17" ht="39.75" customHeight="1" thickBot="1">
      <c r="A6" s="346"/>
      <c r="B6" s="347"/>
      <c r="C6" s="347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953"/>
      <c r="O6" s="979"/>
      <c r="P6" s="433"/>
      <c r="Q6" s="13" t="s">
        <v>145</v>
      </c>
    </row>
    <row r="7" spans="1:17" s="96" customFormat="1" ht="34.5" customHeight="1">
      <c r="A7" s="260" t="s">
        <v>135</v>
      </c>
      <c r="B7" s="95" t="s">
        <v>136</v>
      </c>
      <c r="C7" s="1841" t="s">
        <v>148</v>
      </c>
      <c r="D7" s="1842"/>
      <c r="E7" s="1843"/>
      <c r="F7" s="1849" t="s">
        <v>149</v>
      </c>
      <c r="G7" s="1850"/>
      <c r="H7" s="1851"/>
      <c r="I7" s="1849" t="s">
        <v>151</v>
      </c>
      <c r="J7" s="1850"/>
      <c r="K7" s="1851"/>
      <c r="L7" s="1849" t="s">
        <v>152</v>
      </c>
      <c r="M7" s="1850"/>
      <c r="N7" s="1851"/>
      <c r="O7" s="1846" t="s">
        <v>454</v>
      </c>
      <c r="P7" s="1847"/>
      <c r="Q7" s="1848"/>
    </row>
    <row r="8" spans="1:17" s="32" customFormat="1" ht="24.75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24" t="s">
        <v>463</v>
      </c>
      <c r="P8" s="23" t="s">
        <v>139</v>
      </c>
      <c r="Q8" s="11" t="s">
        <v>665</v>
      </c>
    </row>
    <row r="9" spans="1:17" s="44" customFormat="1" ht="12" thickBot="1">
      <c r="A9" s="467">
        <v>1</v>
      </c>
      <c r="B9" s="467">
        <v>2</v>
      </c>
      <c r="C9" s="468">
        <v>3</v>
      </c>
      <c r="D9" s="469">
        <v>4</v>
      </c>
      <c r="E9" s="471">
        <v>5</v>
      </c>
      <c r="F9" s="469">
        <v>6</v>
      </c>
      <c r="G9" s="469">
        <v>7</v>
      </c>
      <c r="H9" s="469">
        <v>8</v>
      </c>
      <c r="I9" s="468">
        <v>9</v>
      </c>
      <c r="J9" s="469">
        <v>10</v>
      </c>
      <c r="K9" s="471">
        <v>11</v>
      </c>
      <c r="L9" s="469">
        <v>12</v>
      </c>
      <c r="M9" s="469">
        <v>13</v>
      </c>
      <c r="N9" s="471">
        <v>14</v>
      </c>
      <c r="O9" s="469">
        <v>15</v>
      </c>
      <c r="P9" s="469">
        <v>16</v>
      </c>
      <c r="Q9" s="471">
        <v>17</v>
      </c>
    </row>
    <row r="10" spans="1:17" s="32" customFormat="1" ht="16.5" thickBot="1">
      <c r="A10" s="427"/>
      <c r="B10" s="391" t="s">
        <v>140</v>
      </c>
      <c r="C10" s="428"/>
      <c r="D10" s="429"/>
      <c r="E10" s="430"/>
      <c r="F10" s="431"/>
      <c r="G10" s="432"/>
      <c r="H10" s="430"/>
      <c r="I10" s="431"/>
      <c r="J10" s="432"/>
      <c r="K10" s="430"/>
      <c r="L10" s="992"/>
      <c r="M10" s="1244"/>
      <c r="N10" s="963"/>
      <c r="O10" s="992"/>
      <c r="P10" s="432"/>
      <c r="Q10" s="963"/>
    </row>
    <row r="11" spans="1:17" s="32" customFormat="1" ht="16.5" thickBot="1">
      <c r="A11" s="357">
        <v>1</v>
      </c>
      <c r="B11" s="348" t="s">
        <v>123</v>
      </c>
      <c r="C11" s="358"/>
      <c r="D11" s="358">
        <v>8427</v>
      </c>
      <c r="E11" s="403">
        <f>SUM(C11:D11)</f>
        <v>8427</v>
      </c>
      <c r="F11" s="358"/>
      <c r="G11" s="358"/>
      <c r="H11" s="403">
        <f>SUM(F11:G11)</f>
        <v>0</v>
      </c>
      <c r="I11" s="358">
        <v>8290</v>
      </c>
      <c r="J11" s="358">
        <v>-650</v>
      </c>
      <c r="K11" s="403">
        <f aca="true" t="shared" si="0" ref="K11:K16">SUM(I11:J11)</f>
        <v>7640</v>
      </c>
      <c r="L11" s="358"/>
      <c r="M11" s="358"/>
      <c r="N11" s="403">
        <f aca="true" t="shared" si="1" ref="N11:N16">SUM(L11:M11)</f>
        <v>0</v>
      </c>
      <c r="O11" s="362">
        <v>2325</v>
      </c>
      <c r="P11" s="358"/>
      <c r="Q11" s="364">
        <f aca="true" t="shared" si="2" ref="Q11:Q16">SUM(O11:P11)</f>
        <v>2325</v>
      </c>
    </row>
    <row r="12" spans="1:17" ht="16.5" thickBot="1">
      <c r="A12" s="361">
        <v>2</v>
      </c>
      <c r="B12" s="348" t="s">
        <v>213</v>
      </c>
      <c r="C12" s="360"/>
      <c r="D12" s="358">
        <v>1479</v>
      </c>
      <c r="E12" s="403">
        <f>SUM(C12:D12)</f>
        <v>1479</v>
      </c>
      <c r="F12" s="360"/>
      <c r="G12" s="358"/>
      <c r="H12" s="403">
        <f>SUM(F12:G12)</f>
        <v>0</v>
      </c>
      <c r="I12" s="360">
        <v>1916</v>
      </c>
      <c r="J12" s="358"/>
      <c r="K12" s="403">
        <f t="shared" si="0"/>
        <v>1916</v>
      </c>
      <c r="L12" s="360"/>
      <c r="M12" s="358"/>
      <c r="N12" s="403">
        <f t="shared" si="1"/>
        <v>0</v>
      </c>
      <c r="O12" s="362">
        <v>416</v>
      </c>
      <c r="P12" s="358"/>
      <c r="Q12" s="364">
        <f t="shared" si="2"/>
        <v>416</v>
      </c>
    </row>
    <row r="13" spans="1:17" s="15" customFormat="1" ht="16.5" thickBot="1">
      <c r="A13" s="361">
        <v>3</v>
      </c>
      <c r="B13" s="348" t="s">
        <v>126</v>
      </c>
      <c r="C13" s="374">
        <v>130864</v>
      </c>
      <c r="D13" s="358">
        <v>-10506</v>
      </c>
      <c r="E13" s="364">
        <f>SUM(C13:D13)</f>
        <v>120358</v>
      </c>
      <c r="F13" s="362">
        <v>10897</v>
      </c>
      <c r="G13" s="358"/>
      <c r="H13" s="364">
        <f>SUM(F13:G13)</f>
        <v>10897</v>
      </c>
      <c r="I13" s="358">
        <v>0</v>
      </c>
      <c r="J13" s="358"/>
      <c r="K13" s="403">
        <f t="shared" si="0"/>
        <v>0</v>
      </c>
      <c r="L13" s="358">
        <v>1000</v>
      </c>
      <c r="M13" s="358">
        <v>76</v>
      </c>
      <c r="N13" s="403">
        <f t="shared" si="1"/>
        <v>1076</v>
      </c>
      <c r="O13" s="362">
        <v>5259</v>
      </c>
      <c r="P13" s="358">
        <v>2000</v>
      </c>
      <c r="Q13" s="364">
        <f t="shared" si="2"/>
        <v>7259</v>
      </c>
    </row>
    <row r="14" spans="1:17" s="15" customFormat="1" ht="16.5" thickBot="1">
      <c r="A14" s="361">
        <v>4</v>
      </c>
      <c r="B14" s="348" t="s">
        <v>180</v>
      </c>
      <c r="C14" s="374"/>
      <c r="D14" s="358"/>
      <c r="E14" s="364">
        <f>SUM(C14:D14)</f>
        <v>0</v>
      </c>
      <c r="F14" s="374"/>
      <c r="G14" s="358"/>
      <c r="H14" s="364">
        <f>SUM(F14:G14)</f>
        <v>0</v>
      </c>
      <c r="I14" s="360"/>
      <c r="J14" s="360"/>
      <c r="K14" s="364">
        <f t="shared" si="0"/>
        <v>0</v>
      </c>
      <c r="L14" s="360"/>
      <c r="M14" s="360"/>
      <c r="N14" s="364">
        <f t="shared" si="1"/>
        <v>0</v>
      </c>
      <c r="O14" s="374"/>
      <c r="P14" s="358"/>
      <c r="Q14" s="364">
        <f t="shared" si="2"/>
        <v>0</v>
      </c>
    </row>
    <row r="15" spans="1:17" ht="15">
      <c r="A15" s="171" t="s">
        <v>108</v>
      </c>
      <c r="B15" s="160" t="s">
        <v>405</v>
      </c>
      <c r="C15" s="349"/>
      <c r="D15" s="256"/>
      <c r="E15" s="258">
        <f>C15+D15</f>
        <v>0</v>
      </c>
      <c r="F15" s="349"/>
      <c r="G15" s="256"/>
      <c r="H15" s="258">
        <f>F15+G15</f>
        <v>0</v>
      </c>
      <c r="I15" s="256"/>
      <c r="J15" s="256"/>
      <c r="K15" s="436">
        <f t="shared" si="0"/>
        <v>0</v>
      </c>
      <c r="L15" s="256"/>
      <c r="M15" s="256"/>
      <c r="N15" s="436">
        <f t="shared" si="1"/>
        <v>0</v>
      </c>
      <c r="O15" s="349"/>
      <c r="P15" s="256"/>
      <c r="Q15" s="258">
        <f t="shared" si="2"/>
        <v>0</v>
      </c>
    </row>
    <row r="16" spans="1:17" ht="15">
      <c r="A16" s="168" t="s">
        <v>109</v>
      </c>
      <c r="B16" s="164" t="s">
        <v>406</v>
      </c>
      <c r="C16" s="350"/>
      <c r="D16" s="154"/>
      <c r="E16" s="258">
        <f>C16+D16</f>
        <v>0</v>
      </c>
      <c r="F16" s="350"/>
      <c r="G16" s="154"/>
      <c r="H16" s="258">
        <f>F16+G16</f>
        <v>0</v>
      </c>
      <c r="I16" s="154"/>
      <c r="J16" s="154"/>
      <c r="K16" s="436">
        <f t="shared" si="0"/>
        <v>0</v>
      </c>
      <c r="L16" s="154"/>
      <c r="M16" s="154"/>
      <c r="N16" s="436">
        <f t="shared" si="1"/>
        <v>0</v>
      </c>
      <c r="O16" s="350"/>
      <c r="P16" s="154"/>
      <c r="Q16" s="258">
        <f t="shared" si="2"/>
        <v>0</v>
      </c>
    </row>
    <row r="17" spans="1:17" ht="15">
      <c r="A17" s="168" t="s">
        <v>110</v>
      </c>
      <c r="B17" s="164" t="s">
        <v>407</v>
      </c>
      <c r="C17" s="350"/>
      <c r="D17" s="154"/>
      <c r="E17" s="258">
        <f aca="true" t="shared" si="3" ref="E17:E22">C17+D17</f>
        <v>0</v>
      </c>
      <c r="F17" s="350"/>
      <c r="G17" s="154"/>
      <c r="H17" s="258">
        <f aca="true" t="shared" si="4" ref="H17:H22">F17+G17</f>
        <v>0</v>
      </c>
      <c r="I17" s="154"/>
      <c r="J17" s="154"/>
      <c r="K17" s="436">
        <f aca="true" t="shared" si="5" ref="K17:K22">SUM(I17:J17)</f>
        <v>0</v>
      </c>
      <c r="L17" s="154"/>
      <c r="M17" s="154"/>
      <c r="N17" s="436">
        <f aca="true" t="shared" si="6" ref="N17:N22">SUM(L17:M17)</f>
        <v>0</v>
      </c>
      <c r="O17" s="350"/>
      <c r="P17" s="154"/>
      <c r="Q17" s="258">
        <f aca="true" t="shared" si="7" ref="Q17:Q22">SUM(O17:P17)</f>
        <v>0</v>
      </c>
    </row>
    <row r="18" spans="1:17" ht="15">
      <c r="A18" s="168" t="s">
        <v>111</v>
      </c>
      <c r="B18" s="164" t="s">
        <v>408</v>
      </c>
      <c r="C18" s="954"/>
      <c r="D18" s="154"/>
      <c r="E18" s="258">
        <f t="shared" si="3"/>
        <v>0</v>
      </c>
      <c r="F18" s="350"/>
      <c r="G18" s="154"/>
      <c r="H18" s="258">
        <f t="shared" si="4"/>
        <v>0</v>
      </c>
      <c r="I18" s="350"/>
      <c r="J18" s="154"/>
      <c r="K18" s="258">
        <f t="shared" si="5"/>
        <v>0</v>
      </c>
      <c r="L18" s="154"/>
      <c r="M18" s="154">
        <v>150</v>
      </c>
      <c r="N18" s="436">
        <f t="shared" si="6"/>
        <v>150</v>
      </c>
      <c r="O18" s="350"/>
      <c r="P18" s="154"/>
      <c r="Q18" s="258">
        <f t="shared" si="7"/>
        <v>0</v>
      </c>
    </row>
    <row r="19" spans="1:17" ht="15">
      <c r="A19" s="163" t="s">
        <v>202</v>
      </c>
      <c r="B19" s="164" t="s">
        <v>409</v>
      </c>
      <c r="C19" s="932"/>
      <c r="D19" s="154"/>
      <c r="E19" s="258">
        <f>C19+D19</f>
        <v>0</v>
      </c>
      <c r="F19" s="350"/>
      <c r="G19" s="154"/>
      <c r="H19" s="258">
        <f>F19+G19</f>
        <v>0</v>
      </c>
      <c r="I19" s="350"/>
      <c r="J19" s="154"/>
      <c r="K19" s="258">
        <f>SUM(I19:J19)</f>
        <v>0</v>
      </c>
      <c r="L19" s="154"/>
      <c r="M19" s="154"/>
      <c r="N19" s="436">
        <f>SUM(L19:M19)</f>
        <v>0</v>
      </c>
      <c r="O19" s="350"/>
      <c r="P19" s="154"/>
      <c r="Q19" s="258">
        <f>SUM(O19:P19)</f>
        <v>0</v>
      </c>
    </row>
    <row r="20" spans="1:17" ht="15">
      <c r="A20" s="163" t="s">
        <v>359</v>
      </c>
      <c r="B20" s="164" t="s">
        <v>410</v>
      </c>
      <c r="C20" s="932"/>
      <c r="D20" s="154"/>
      <c r="E20" s="258">
        <f t="shared" si="3"/>
        <v>0</v>
      </c>
      <c r="F20" s="350"/>
      <c r="G20" s="154"/>
      <c r="H20" s="258">
        <f t="shared" si="4"/>
        <v>0</v>
      </c>
      <c r="I20" s="350"/>
      <c r="J20" s="154"/>
      <c r="K20" s="258">
        <f t="shared" si="5"/>
        <v>0</v>
      </c>
      <c r="L20" s="350"/>
      <c r="M20" s="154"/>
      <c r="N20" s="258">
        <f t="shared" si="6"/>
        <v>0</v>
      </c>
      <c r="O20" s="350"/>
      <c r="P20" s="154"/>
      <c r="Q20" s="258">
        <f t="shared" si="7"/>
        <v>0</v>
      </c>
    </row>
    <row r="21" spans="1:17" ht="15">
      <c r="A21" s="161" t="s">
        <v>361</v>
      </c>
      <c r="B21" s="164" t="s">
        <v>411</v>
      </c>
      <c r="C21" s="934"/>
      <c r="D21" s="256"/>
      <c r="E21" s="258">
        <f>C21+D21</f>
        <v>0</v>
      </c>
      <c r="F21" s="349">
        <v>1500</v>
      </c>
      <c r="G21" s="256">
        <v>378</v>
      </c>
      <c r="H21" s="258">
        <f t="shared" si="4"/>
        <v>1878</v>
      </c>
      <c r="I21" s="349"/>
      <c r="J21" s="256">
        <v>590</v>
      </c>
      <c r="K21" s="258">
        <f t="shared" si="5"/>
        <v>590</v>
      </c>
      <c r="L21" s="349">
        <v>2000</v>
      </c>
      <c r="M21" s="256">
        <v>1850</v>
      </c>
      <c r="N21" s="258">
        <f t="shared" si="6"/>
        <v>3850</v>
      </c>
      <c r="O21" s="349"/>
      <c r="P21" s="256"/>
      <c r="Q21" s="258">
        <f t="shared" si="7"/>
        <v>0</v>
      </c>
    </row>
    <row r="22" spans="1:17" ht="15" customHeight="1" thickBot="1">
      <c r="A22" s="16" t="s">
        <v>74</v>
      </c>
      <c r="B22" s="378" t="s">
        <v>412</v>
      </c>
      <c r="C22" s="933"/>
      <c r="D22" s="166"/>
      <c r="E22" s="258">
        <f t="shared" si="3"/>
        <v>0</v>
      </c>
      <c r="F22" s="351"/>
      <c r="G22" s="166"/>
      <c r="H22" s="258">
        <f t="shared" si="4"/>
        <v>0</v>
      </c>
      <c r="I22" s="351"/>
      <c r="J22" s="166"/>
      <c r="K22" s="258">
        <f t="shared" si="5"/>
        <v>0</v>
      </c>
      <c r="L22" s="351"/>
      <c r="M22" s="166"/>
      <c r="N22" s="258">
        <f t="shared" si="6"/>
        <v>0</v>
      </c>
      <c r="O22" s="351"/>
      <c r="P22" s="166"/>
      <c r="Q22" s="258">
        <f t="shared" si="7"/>
        <v>0</v>
      </c>
    </row>
    <row r="23" spans="1:17" s="15" customFormat="1" ht="16.5" thickBot="1">
      <c r="A23" s="361">
        <v>5</v>
      </c>
      <c r="B23" s="348" t="s">
        <v>179</v>
      </c>
      <c r="C23" s="392">
        <f aca="true" t="shared" si="8" ref="C23:Q23">SUM(C15:C22)</f>
        <v>0</v>
      </c>
      <c r="D23" s="358">
        <f t="shared" si="8"/>
        <v>0</v>
      </c>
      <c r="E23" s="364">
        <f t="shared" si="8"/>
        <v>0</v>
      </c>
      <c r="F23" s="374">
        <f t="shared" si="8"/>
        <v>1500</v>
      </c>
      <c r="G23" s="358">
        <f t="shared" si="8"/>
        <v>378</v>
      </c>
      <c r="H23" s="374">
        <f t="shared" si="8"/>
        <v>1878</v>
      </c>
      <c r="I23" s="392">
        <f t="shared" si="8"/>
        <v>0</v>
      </c>
      <c r="J23" s="358">
        <f t="shared" si="8"/>
        <v>590</v>
      </c>
      <c r="K23" s="364">
        <f t="shared" si="8"/>
        <v>590</v>
      </c>
      <c r="L23" s="392">
        <f t="shared" si="8"/>
        <v>2000</v>
      </c>
      <c r="M23" s="358">
        <f t="shared" si="8"/>
        <v>2000</v>
      </c>
      <c r="N23" s="364">
        <f t="shared" si="8"/>
        <v>4000</v>
      </c>
      <c r="O23" s="392">
        <f t="shared" si="8"/>
        <v>0</v>
      </c>
      <c r="P23" s="358">
        <f t="shared" si="8"/>
        <v>0</v>
      </c>
      <c r="Q23" s="364">
        <f t="shared" si="8"/>
        <v>0</v>
      </c>
    </row>
    <row r="24" spans="1:17" ht="16.5" thickBot="1">
      <c r="A24" s="357">
        <v>6</v>
      </c>
      <c r="B24" s="348" t="s">
        <v>182</v>
      </c>
      <c r="C24" s="362"/>
      <c r="D24" s="358"/>
      <c r="E24" s="364">
        <f aca="true" t="shared" si="9" ref="E24:E30">SUM(C24:D24)</f>
        <v>0</v>
      </c>
      <c r="F24" s="362"/>
      <c r="G24" s="358"/>
      <c r="H24" s="364">
        <f aca="true" t="shared" si="10" ref="H24:H30">SUM(F24:G24)</f>
        <v>0</v>
      </c>
      <c r="I24" s="362"/>
      <c r="J24" s="358"/>
      <c r="K24" s="364">
        <f aca="true" t="shared" si="11" ref="K24:K30">SUM(I24:J24)</f>
        <v>0</v>
      </c>
      <c r="L24" s="362"/>
      <c r="M24" s="358"/>
      <c r="N24" s="364">
        <f aca="true" t="shared" si="12" ref="N24:N30">SUM(L24:M24)</f>
        <v>0</v>
      </c>
      <c r="O24" s="392">
        <v>2000</v>
      </c>
      <c r="P24" s="358"/>
      <c r="Q24" s="364">
        <f aca="true" t="shared" si="13" ref="Q24:Q30">SUM(O24:P24)</f>
        <v>2000</v>
      </c>
    </row>
    <row r="25" spans="1:17" s="15" customFormat="1" ht="16.5" thickBot="1">
      <c r="A25" s="357">
        <v>7</v>
      </c>
      <c r="B25" s="348" t="s">
        <v>464</v>
      </c>
      <c r="C25" s="362"/>
      <c r="D25" s="358"/>
      <c r="E25" s="364">
        <f t="shared" si="9"/>
        <v>0</v>
      </c>
      <c r="F25" s="362"/>
      <c r="G25" s="358"/>
      <c r="H25" s="374">
        <f t="shared" si="10"/>
        <v>0</v>
      </c>
      <c r="I25" s="392"/>
      <c r="J25" s="358"/>
      <c r="K25" s="364">
        <f t="shared" si="11"/>
        <v>0</v>
      </c>
      <c r="L25" s="374"/>
      <c r="M25" s="358"/>
      <c r="N25" s="364">
        <f t="shared" si="12"/>
        <v>0</v>
      </c>
      <c r="O25" s="362"/>
      <c r="P25" s="358"/>
      <c r="Q25" s="364">
        <f t="shared" si="13"/>
        <v>0</v>
      </c>
    </row>
    <row r="26" spans="1:17" ht="15">
      <c r="A26" s="171" t="s">
        <v>108</v>
      </c>
      <c r="B26" s="164" t="s">
        <v>413</v>
      </c>
      <c r="C26" s="349"/>
      <c r="D26" s="256"/>
      <c r="E26" s="258">
        <f t="shared" si="9"/>
        <v>0</v>
      </c>
      <c r="F26" s="349"/>
      <c r="G26" s="256"/>
      <c r="H26" s="258">
        <f t="shared" si="10"/>
        <v>0</v>
      </c>
      <c r="I26" s="349"/>
      <c r="J26" s="256"/>
      <c r="K26" s="258">
        <f t="shared" si="11"/>
        <v>0</v>
      </c>
      <c r="L26" s="349"/>
      <c r="M26" s="256"/>
      <c r="N26" s="258">
        <f t="shared" si="12"/>
        <v>0</v>
      </c>
      <c r="O26" s="349"/>
      <c r="P26" s="256"/>
      <c r="Q26" s="258">
        <f t="shared" si="13"/>
        <v>0</v>
      </c>
    </row>
    <row r="27" spans="1:17" ht="15">
      <c r="A27" s="171" t="s">
        <v>109</v>
      </c>
      <c r="B27" s="164" t="s">
        <v>414</v>
      </c>
      <c r="C27" s="349"/>
      <c r="D27" s="256"/>
      <c r="E27" s="258">
        <f t="shared" si="9"/>
        <v>0</v>
      </c>
      <c r="F27" s="349"/>
      <c r="G27" s="256"/>
      <c r="H27" s="258">
        <f t="shared" si="10"/>
        <v>0</v>
      </c>
      <c r="I27" s="349"/>
      <c r="J27" s="256"/>
      <c r="K27" s="258">
        <f t="shared" si="11"/>
        <v>0</v>
      </c>
      <c r="L27" s="349"/>
      <c r="M27" s="256"/>
      <c r="N27" s="258">
        <f t="shared" si="12"/>
        <v>0</v>
      </c>
      <c r="O27" s="349"/>
      <c r="P27" s="256"/>
      <c r="Q27" s="258">
        <f t="shared" si="13"/>
        <v>0</v>
      </c>
    </row>
    <row r="28" spans="1:17" ht="15">
      <c r="A28" s="171" t="s">
        <v>110</v>
      </c>
      <c r="B28" s="164" t="s">
        <v>415</v>
      </c>
      <c r="C28" s="349"/>
      <c r="D28" s="256"/>
      <c r="E28" s="258">
        <f t="shared" si="9"/>
        <v>0</v>
      </c>
      <c r="F28" s="349"/>
      <c r="G28" s="256"/>
      <c r="H28" s="258">
        <f t="shared" si="10"/>
        <v>0</v>
      </c>
      <c r="I28" s="349"/>
      <c r="J28" s="256"/>
      <c r="K28" s="258">
        <f t="shared" si="11"/>
        <v>0</v>
      </c>
      <c r="L28" s="349"/>
      <c r="M28" s="256"/>
      <c r="N28" s="258">
        <f t="shared" si="12"/>
        <v>0</v>
      </c>
      <c r="O28" s="349"/>
      <c r="P28" s="256"/>
      <c r="Q28" s="258">
        <f t="shared" si="13"/>
        <v>0</v>
      </c>
    </row>
    <row r="29" spans="1:17" ht="15">
      <c r="A29" s="171" t="s">
        <v>111</v>
      </c>
      <c r="B29" s="164" t="s">
        <v>416</v>
      </c>
      <c r="C29" s="349"/>
      <c r="D29" s="256"/>
      <c r="E29" s="258">
        <f t="shared" si="9"/>
        <v>0</v>
      </c>
      <c r="F29" s="349"/>
      <c r="G29" s="256"/>
      <c r="H29" s="258">
        <f t="shared" si="10"/>
        <v>0</v>
      </c>
      <c r="I29" s="349"/>
      <c r="J29" s="256"/>
      <c r="K29" s="258">
        <f t="shared" si="11"/>
        <v>0</v>
      </c>
      <c r="L29" s="349"/>
      <c r="M29" s="256"/>
      <c r="N29" s="258">
        <f t="shared" si="12"/>
        <v>0</v>
      </c>
      <c r="O29" s="349"/>
      <c r="P29" s="256"/>
      <c r="Q29" s="258">
        <f t="shared" si="13"/>
        <v>0</v>
      </c>
    </row>
    <row r="30" spans="1:17" ht="15.75" thickBot="1">
      <c r="A30" s="379" t="s">
        <v>202</v>
      </c>
      <c r="B30" s="164" t="s">
        <v>417</v>
      </c>
      <c r="C30" s="373"/>
      <c r="D30" s="365"/>
      <c r="E30" s="368">
        <f t="shared" si="9"/>
        <v>0</v>
      </c>
      <c r="F30" s="373"/>
      <c r="G30" s="365"/>
      <c r="H30" s="368">
        <f t="shared" si="10"/>
        <v>0</v>
      </c>
      <c r="I30" s="373"/>
      <c r="J30" s="365"/>
      <c r="K30" s="368">
        <f t="shared" si="11"/>
        <v>0</v>
      </c>
      <c r="L30" s="373"/>
      <c r="M30" s="365"/>
      <c r="N30" s="368">
        <f t="shared" si="12"/>
        <v>0</v>
      </c>
      <c r="O30" s="373">
        <v>34000</v>
      </c>
      <c r="P30" s="365">
        <v>-2000</v>
      </c>
      <c r="Q30" s="368">
        <f t="shared" si="13"/>
        <v>32000</v>
      </c>
    </row>
    <row r="31" spans="1:17" s="15" customFormat="1" ht="16.5" thickBot="1">
      <c r="A31" s="357">
        <v>8</v>
      </c>
      <c r="B31" s="348" t="s">
        <v>181</v>
      </c>
      <c r="C31" s="392">
        <f aca="true" t="shared" si="14" ref="C31:Q31">SUM(C26:C30)</f>
        <v>0</v>
      </c>
      <c r="D31" s="358">
        <f t="shared" si="14"/>
        <v>0</v>
      </c>
      <c r="E31" s="364">
        <f t="shared" si="14"/>
        <v>0</v>
      </c>
      <c r="F31" s="374">
        <f t="shared" si="14"/>
        <v>0</v>
      </c>
      <c r="G31" s="358">
        <f t="shared" si="14"/>
        <v>0</v>
      </c>
      <c r="H31" s="374">
        <f t="shared" si="14"/>
        <v>0</v>
      </c>
      <c r="I31" s="392">
        <f t="shared" si="14"/>
        <v>0</v>
      </c>
      <c r="J31" s="358">
        <f t="shared" si="14"/>
        <v>0</v>
      </c>
      <c r="K31" s="364">
        <f t="shared" si="14"/>
        <v>0</v>
      </c>
      <c r="L31" s="392">
        <f t="shared" si="14"/>
        <v>0</v>
      </c>
      <c r="M31" s="358">
        <f t="shared" si="14"/>
        <v>0</v>
      </c>
      <c r="N31" s="374">
        <f t="shared" si="14"/>
        <v>0</v>
      </c>
      <c r="O31" s="392">
        <f t="shared" si="14"/>
        <v>34000</v>
      </c>
      <c r="P31" s="358">
        <f t="shared" si="14"/>
        <v>-2000</v>
      </c>
      <c r="Q31" s="364">
        <f t="shared" si="14"/>
        <v>32000</v>
      </c>
    </row>
    <row r="32" spans="1:17" ht="16.5" thickBot="1">
      <c r="A32" s="357">
        <v>9</v>
      </c>
      <c r="B32" s="348" t="s">
        <v>187</v>
      </c>
      <c r="C32" s="362"/>
      <c r="D32" s="358"/>
      <c r="E32" s="364">
        <f>SUM(C32:D32)</f>
        <v>0</v>
      </c>
      <c r="F32" s="362"/>
      <c r="G32" s="358"/>
      <c r="H32" s="364">
        <f>SUM(F32:G32)</f>
        <v>0</v>
      </c>
      <c r="I32" s="362"/>
      <c r="J32" s="358"/>
      <c r="K32" s="364">
        <f>SUM(I32:J32)</f>
        <v>0</v>
      </c>
      <c r="L32" s="362"/>
      <c r="M32" s="358"/>
      <c r="N32" s="364">
        <f>SUM(L32:M32)</f>
        <v>0</v>
      </c>
      <c r="O32" s="392"/>
      <c r="P32" s="358"/>
      <c r="Q32" s="364">
        <f>SUM(O32:P32)</f>
        <v>0</v>
      </c>
    </row>
    <row r="33" spans="1:17" s="35" customFormat="1" ht="16.5" thickBot="1">
      <c r="A33" s="412">
        <v>10</v>
      </c>
      <c r="B33" s="413"/>
      <c r="C33" s="173"/>
      <c r="D33" s="414"/>
      <c r="E33" s="1212">
        <f>SUM(C33:D33)</f>
        <v>0</v>
      </c>
      <c r="F33" s="173"/>
      <c r="G33" s="414"/>
      <c r="H33" s="1212">
        <f>SUM(F33:G33)</f>
        <v>0</v>
      </c>
      <c r="I33" s="173"/>
      <c r="J33" s="414"/>
      <c r="K33" s="1212">
        <f>SUM(I33:J33)</f>
        <v>0</v>
      </c>
      <c r="L33" s="173"/>
      <c r="M33" s="414"/>
      <c r="N33" s="1212">
        <f>SUM(L33:M33)</f>
        <v>0</v>
      </c>
      <c r="O33" s="173"/>
      <c r="P33" s="414"/>
      <c r="Q33" s="1212">
        <f>SUM(O33:P33)</f>
        <v>0</v>
      </c>
    </row>
    <row r="34" spans="1:113" s="38" customFormat="1" ht="17.25" thickBot="1" thickTop="1">
      <c r="A34" s="387" t="s">
        <v>118</v>
      </c>
      <c r="B34" s="411" t="s">
        <v>188</v>
      </c>
      <c r="C34" s="410">
        <f aca="true" t="shared" si="15" ref="C34:Q34">C11+C12+C13+C23+C14+C31+C25+C24+C32+C33</f>
        <v>130864</v>
      </c>
      <c r="D34" s="388">
        <f t="shared" si="15"/>
        <v>-600</v>
      </c>
      <c r="E34" s="824">
        <f t="shared" si="15"/>
        <v>130264</v>
      </c>
      <c r="F34" s="410">
        <f t="shared" si="15"/>
        <v>12397</v>
      </c>
      <c r="G34" s="388">
        <f t="shared" si="15"/>
        <v>378</v>
      </c>
      <c r="H34" s="824">
        <f t="shared" si="15"/>
        <v>12775</v>
      </c>
      <c r="I34" s="410">
        <f t="shared" si="15"/>
        <v>10206</v>
      </c>
      <c r="J34" s="388">
        <f t="shared" si="15"/>
        <v>-60</v>
      </c>
      <c r="K34" s="824">
        <f t="shared" si="15"/>
        <v>10146</v>
      </c>
      <c r="L34" s="410">
        <f t="shared" si="15"/>
        <v>3000</v>
      </c>
      <c r="M34" s="388">
        <f t="shared" si="15"/>
        <v>2076</v>
      </c>
      <c r="N34" s="824">
        <f t="shared" si="15"/>
        <v>5076</v>
      </c>
      <c r="O34" s="410">
        <f t="shared" si="15"/>
        <v>44000</v>
      </c>
      <c r="P34" s="388">
        <f t="shared" si="15"/>
        <v>0</v>
      </c>
      <c r="Q34" s="421">
        <f t="shared" si="15"/>
        <v>44000</v>
      </c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</row>
    <row r="35" spans="1:113" ht="17.25" thickBot="1" thickTop="1">
      <c r="A35" s="159"/>
      <c r="B35" s="391" t="s">
        <v>142</v>
      </c>
      <c r="C35" s="1182"/>
      <c r="D35" s="345"/>
      <c r="E35" s="1213"/>
      <c r="F35" s="935"/>
      <c r="G35" s="345"/>
      <c r="H35" s="1213"/>
      <c r="I35" s="983"/>
      <c r="J35" s="345"/>
      <c r="K35" s="1213"/>
      <c r="L35" s="983"/>
      <c r="M35" s="345"/>
      <c r="N35" s="1213"/>
      <c r="O35" s="1182"/>
      <c r="P35" s="345"/>
      <c r="Q35" s="1213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</row>
    <row r="36" spans="1:17" s="808" customFormat="1" ht="15">
      <c r="A36" s="815" t="s">
        <v>108</v>
      </c>
      <c r="B36" s="816" t="s">
        <v>418</v>
      </c>
      <c r="C36" s="1190"/>
      <c r="D36" s="817"/>
      <c r="E36" s="822">
        <f>SUM(C36:D36)</f>
        <v>0</v>
      </c>
      <c r="F36" s="821"/>
      <c r="G36" s="817"/>
      <c r="H36" s="822">
        <f>SUM(F36:G36)</f>
        <v>0</v>
      </c>
      <c r="I36" s="1190"/>
      <c r="J36" s="817"/>
      <c r="K36" s="822">
        <f>SUM(I36:J36)</f>
        <v>0</v>
      </c>
      <c r="L36" s="1190"/>
      <c r="M36" s="817"/>
      <c r="N36" s="822">
        <f>SUM(L36:M36)</f>
        <v>0</v>
      </c>
      <c r="O36" s="1190"/>
      <c r="P36" s="817"/>
      <c r="Q36" s="822">
        <f>SUM(O36:P36)</f>
        <v>0</v>
      </c>
    </row>
    <row r="37" spans="1:17" s="808" customFormat="1" ht="15">
      <c r="A37" s="168" t="s">
        <v>109</v>
      </c>
      <c r="B37" s="164" t="s">
        <v>259</v>
      </c>
      <c r="C37" s="954"/>
      <c r="D37" s="154"/>
      <c r="E37" s="177">
        <f>SUM(C37:D37)</f>
        <v>0</v>
      </c>
      <c r="F37" s="932"/>
      <c r="G37" s="154"/>
      <c r="H37" s="177">
        <f>SUM(F37:G37)</f>
        <v>0</v>
      </c>
      <c r="I37" s="954"/>
      <c r="J37" s="154"/>
      <c r="K37" s="177">
        <f>SUM(I37:J37)</f>
        <v>0</v>
      </c>
      <c r="L37" s="954"/>
      <c r="M37" s="154"/>
      <c r="N37" s="177">
        <f>SUM(L37:M37)</f>
        <v>0</v>
      </c>
      <c r="O37" s="954"/>
      <c r="P37" s="154"/>
      <c r="Q37" s="177">
        <f>SUM(O37:P37)</f>
        <v>0</v>
      </c>
    </row>
    <row r="38" spans="1:17" s="808" customFormat="1" ht="15">
      <c r="A38" s="379" t="s">
        <v>110</v>
      </c>
      <c r="B38" s="157" t="s">
        <v>419</v>
      </c>
      <c r="C38" s="1181"/>
      <c r="D38" s="365"/>
      <c r="E38" s="368">
        <f>SUM(C38:D38)</f>
        <v>0</v>
      </c>
      <c r="F38" s="172"/>
      <c r="G38" s="365"/>
      <c r="H38" s="368">
        <f>SUM(F38:G38)</f>
        <v>0</v>
      </c>
      <c r="I38" s="1181"/>
      <c r="J38" s="365"/>
      <c r="K38" s="368">
        <f>SUM(I38:J38)</f>
        <v>0</v>
      </c>
      <c r="L38" s="1181"/>
      <c r="M38" s="365"/>
      <c r="N38" s="368">
        <f>SUM(L38:M38)</f>
        <v>0</v>
      </c>
      <c r="O38" s="1181"/>
      <c r="P38" s="365"/>
      <c r="Q38" s="368">
        <f>SUM(O38:P38)</f>
        <v>0</v>
      </c>
    </row>
    <row r="39" spans="1:17" s="808" customFormat="1" ht="15.75" thickBot="1">
      <c r="A39" s="169" t="s">
        <v>111</v>
      </c>
      <c r="B39" s="170" t="s">
        <v>423</v>
      </c>
      <c r="C39" s="955"/>
      <c r="D39" s="166"/>
      <c r="E39" s="272">
        <f>SUM(C39:D39)</f>
        <v>0</v>
      </c>
      <c r="F39" s="933"/>
      <c r="G39" s="166"/>
      <c r="H39" s="272">
        <f>SUM(F39:G39)</f>
        <v>0</v>
      </c>
      <c r="I39" s="955"/>
      <c r="J39" s="166"/>
      <c r="K39" s="272">
        <f>SUM(I39:J39)</f>
        <v>0</v>
      </c>
      <c r="L39" s="955"/>
      <c r="M39" s="166"/>
      <c r="N39" s="272">
        <f>SUM(L39:M39)</f>
        <v>0</v>
      </c>
      <c r="O39" s="955"/>
      <c r="P39" s="166"/>
      <c r="Q39" s="272">
        <f>SUM(O39:P39)</f>
        <v>0</v>
      </c>
    </row>
    <row r="40" spans="1:17" s="15" customFormat="1" ht="16.5" thickBot="1">
      <c r="A40" s="357">
        <v>1</v>
      </c>
      <c r="B40" s="348" t="s">
        <v>185</v>
      </c>
      <c r="C40" s="392">
        <f aca="true" t="shared" si="16" ref="C40:Q40">SUM(C36:C39)</f>
        <v>0</v>
      </c>
      <c r="D40" s="358">
        <f t="shared" si="16"/>
        <v>0</v>
      </c>
      <c r="E40" s="364">
        <f t="shared" si="16"/>
        <v>0</v>
      </c>
      <c r="F40" s="392">
        <f t="shared" si="16"/>
        <v>0</v>
      </c>
      <c r="G40" s="358">
        <f t="shared" si="16"/>
        <v>0</v>
      </c>
      <c r="H40" s="364">
        <f t="shared" si="16"/>
        <v>0</v>
      </c>
      <c r="I40" s="392">
        <f t="shared" si="16"/>
        <v>0</v>
      </c>
      <c r="J40" s="358">
        <f t="shared" si="16"/>
        <v>0</v>
      </c>
      <c r="K40" s="364">
        <f t="shared" si="16"/>
        <v>0</v>
      </c>
      <c r="L40" s="392">
        <f t="shared" si="16"/>
        <v>0</v>
      </c>
      <c r="M40" s="358">
        <f t="shared" si="16"/>
        <v>0</v>
      </c>
      <c r="N40" s="364">
        <f t="shared" si="16"/>
        <v>0</v>
      </c>
      <c r="O40" s="392">
        <f t="shared" si="16"/>
        <v>0</v>
      </c>
      <c r="P40" s="358">
        <f t="shared" si="16"/>
        <v>0</v>
      </c>
      <c r="Q40" s="364">
        <f t="shared" si="16"/>
        <v>0</v>
      </c>
    </row>
    <row r="41" spans="1:17" ht="15">
      <c r="A41" s="171" t="s">
        <v>108</v>
      </c>
      <c r="B41" s="160" t="s">
        <v>445</v>
      </c>
      <c r="C41" s="1180"/>
      <c r="D41" s="256"/>
      <c r="E41" s="258">
        <f>SUM(C41:D41)</f>
        <v>0</v>
      </c>
      <c r="F41" s="934"/>
      <c r="G41" s="256"/>
      <c r="H41" s="258">
        <f>SUM(F41:G41)</f>
        <v>0</v>
      </c>
      <c r="I41" s="1180"/>
      <c r="J41" s="256"/>
      <c r="K41" s="258">
        <f>SUM(I41:J41)</f>
        <v>0</v>
      </c>
      <c r="L41" s="1180"/>
      <c r="M41" s="256"/>
      <c r="N41" s="258">
        <f>SUM(L41:M41)</f>
        <v>0</v>
      </c>
      <c r="O41" s="1180"/>
      <c r="P41" s="256"/>
      <c r="Q41" s="258">
        <f>SUM(O41:P41)</f>
        <v>0</v>
      </c>
    </row>
    <row r="42" spans="1:17" ht="15">
      <c r="A42" s="168" t="s">
        <v>109</v>
      </c>
      <c r="B42" s="164" t="s">
        <v>420</v>
      </c>
      <c r="C42" s="954"/>
      <c r="D42" s="154"/>
      <c r="E42" s="177">
        <f>SUM(C42:D42)</f>
        <v>0</v>
      </c>
      <c r="F42" s="932"/>
      <c r="G42" s="154"/>
      <c r="H42" s="177">
        <f>SUM(F42:G42)</f>
        <v>0</v>
      </c>
      <c r="I42" s="954"/>
      <c r="J42" s="154"/>
      <c r="K42" s="177">
        <f>SUM(I42:J42)</f>
        <v>0</v>
      </c>
      <c r="L42" s="954"/>
      <c r="M42" s="154"/>
      <c r="N42" s="177">
        <f>SUM(L42:M42)</f>
        <v>0</v>
      </c>
      <c r="O42" s="954"/>
      <c r="P42" s="154"/>
      <c r="Q42" s="177">
        <f>SUM(O42:P42)</f>
        <v>0</v>
      </c>
    </row>
    <row r="43" spans="1:17" ht="15">
      <c r="A43" s="168" t="s">
        <v>110</v>
      </c>
      <c r="B43" s="164" t="s">
        <v>421</v>
      </c>
      <c r="C43" s="954"/>
      <c r="D43" s="154"/>
      <c r="E43" s="177">
        <f>SUM(C43:D43)</f>
        <v>0</v>
      </c>
      <c r="F43" s="932"/>
      <c r="G43" s="154"/>
      <c r="H43" s="177">
        <f>SUM(F43:G43)</f>
        <v>0</v>
      </c>
      <c r="I43" s="954"/>
      <c r="J43" s="154"/>
      <c r="K43" s="177">
        <f>SUM(I43:J43)</f>
        <v>0</v>
      </c>
      <c r="L43" s="954"/>
      <c r="M43" s="154"/>
      <c r="N43" s="177">
        <f>SUM(L43:M43)</f>
        <v>0</v>
      </c>
      <c r="O43" s="954"/>
      <c r="P43" s="154"/>
      <c r="Q43" s="177">
        <f>SUM(O43:P43)</f>
        <v>0</v>
      </c>
    </row>
    <row r="44" spans="1:17" ht="15.75" thickBot="1">
      <c r="A44" s="169" t="s">
        <v>111</v>
      </c>
      <c r="B44" s="170" t="s">
        <v>183</v>
      </c>
      <c r="C44" s="955"/>
      <c r="D44" s="166"/>
      <c r="E44" s="272">
        <f>SUM(C44:D44)</f>
        <v>0</v>
      </c>
      <c r="F44" s="933"/>
      <c r="G44" s="166"/>
      <c r="H44" s="272">
        <f>SUM(F44:G44)</f>
        <v>0</v>
      </c>
      <c r="I44" s="955"/>
      <c r="J44" s="166"/>
      <c r="K44" s="272">
        <f>SUM(I44:J44)</f>
        <v>0</v>
      </c>
      <c r="L44" s="955"/>
      <c r="M44" s="166"/>
      <c r="N44" s="272">
        <f>SUM(L44:M44)</f>
        <v>0</v>
      </c>
      <c r="O44" s="955"/>
      <c r="P44" s="166"/>
      <c r="Q44" s="272">
        <f>SUM(O44:P44)</f>
        <v>0</v>
      </c>
    </row>
    <row r="45" spans="1:17" s="15" customFormat="1" ht="16.5" thickBot="1">
      <c r="A45" s="357">
        <v>2</v>
      </c>
      <c r="B45" s="348" t="s">
        <v>184</v>
      </c>
      <c r="C45" s="392">
        <f>SUM(C41:C44)</f>
        <v>0</v>
      </c>
      <c r="D45" s="358">
        <f aca="true" t="shared" si="17" ref="D45:Q45">SUM(D41:D44)</f>
        <v>0</v>
      </c>
      <c r="E45" s="360">
        <f t="shared" si="17"/>
        <v>0</v>
      </c>
      <c r="F45" s="392">
        <f t="shared" si="17"/>
        <v>0</v>
      </c>
      <c r="G45" s="358">
        <f t="shared" si="17"/>
        <v>0</v>
      </c>
      <c r="H45" s="360">
        <f t="shared" si="17"/>
        <v>0</v>
      </c>
      <c r="I45" s="392">
        <f t="shared" si="17"/>
        <v>0</v>
      </c>
      <c r="J45" s="358">
        <f t="shared" si="17"/>
        <v>0</v>
      </c>
      <c r="K45" s="360">
        <f t="shared" si="17"/>
        <v>0</v>
      </c>
      <c r="L45" s="392">
        <f t="shared" si="17"/>
        <v>0</v>
      </c>
      <c r="M45" s="358">
        <f t="shared" si="17"/>
        <v>0</v>
      </c>
      <c r="N45" s="374">
        <f t="shared" si="17"/>
        <v>0</v>
      </c>
      <c r="O45" s="392">
        <f t="shared" si="17"/>
        <v>0</v>
      </c>
      <c r="P45" s="358">
        <f t="shared" si="17"/>
        <v>0</v>
      </c>
      <c r="Q45" s="364">
        <f t="shared" si="17"/>
        <v>0</v>
      </c>
    </row>
    <row r="46" spans="1:17" s="15" customFormat="1" ht="16.5" thickBot="1">
      <c r="A46" s="357">
        <v>3</v>
      </c>
      <c r="B46" s="348" t="s">
        <v>278</v>
      </c>
      <c r="C46" s="392">
        <v>1270</v>
      </c>
      <c r="D46" s="358"/>
      <c r="E46" s="360">
        <f>SUM(C46:D46)</f>
        <v>1270</v>
      </c>
      <c r="F46" s="392"/>
      <c r="G46" s="358"/>
      <c r="H46" s="360">
        <f>SUM(F46:G46)</f>
        <v>0</v>
      </c>
      <c r="I46" s="392"/>
      <c r="J46" s="358"/>
      <c r="K46" s="360">
        <f>SUM(I46:J46)</f>
        <v>0</v>
      </c>
      <c r="L46" s="392"/>
      <c r="M46" s="358"/>
      <c r="N46" s="374">
        <f>SUM(L46:M46)</f>
        <v>0</v>
      </c>
      <c r="O46" s="392"/>
      <c r="P46" s="358"/>
      <c r="Q46" s="364">
        <f>SUM(O46:P46)</f>
        <v>0</v>
      </c>
    </row>
    <row r="47" spans="1:17" ht="16.5" thickBot="1">
      <c r="A47" s="357">
        <v>4</v>
      </c>
      <c r="B47" s="348" t="s">
        <v>299</v>
      </c>
      <c r="C47" s="392"/>
      <c r="D47" s="358"/>
      <c r="E47" s="360">
        <f>SUM(C47:D47)</f>
        <v>0</v>
      </c>
      <c r="F47" s="392"/>
      <c r="G47" s="358">
        <v>17</v>
      </c>
      <c r="H47" s="360">
        <f>SUM(F47:G47)</f>
        <v>17</v>
      </c>
      <c r="I47" s="392"/>
      <c r="J47" s="358"/>
      <c r="K47" s="360">
        <f>SUM(I47:J47)</f>
        <v>0</v>
      </c>
      <c r="L47" s="392"/>
      <c r="M47" s="358"/>
      <c r="N47" s="374">
        <f>SUM(L47:M47)</f>
        <v>0</v>
      </c>
      <c r="O47" s="392"/>
      <c r="P47" s="358"/>
      <c r="Q47" s="364">
        <f>SUM(O47:P47)</f>
        <v>0</v>
      </c>
    </row>
    <row r="48" spans="1:17" s="808" customFormat="1" ht="15">
      <c r="A48" s="171" t="s">
        <v>108</v>
      </c>
      <c r="B48" s="157" t="s">
        <v>305</v>
      </c>
      <c r="C48" s="1180"/>
      <c r="D48" s="256"/>
      <c r="E48" s="258">
        <f>SUM(C48:D48)</f>
        <v>0</v>
      </c>
      <c r="F48" s="934"/>
      <c r="G48" s="256"/>
      <c r="H48" s="258">
        <f>SUM(F48:G48)</f>
        <v>0</v>
      </c>
      <c r="I48" s="1180"/>
      <c r="J48" s="256"/>
      <c r="K48" s="258">
        <f>SUM(I48:J48)</f>
        <v>0</v>
      </c>
      <c r="L48" s="1180"/>
      <c r="M48" s="256"/>
      <c r="N48" s="258">
        <f>SUM(L48:M48)</f>
        <v>0</v>
      </c>
      <c r="O48" s="1180"/>
      <c r="P48" s="256"/>
      <c r="Q48" s="258">
        <f>SUM(O48:P48)</f>
        <v>0</v>
      </c>
    </row>
    <row r="49" spans="1:17" ht="15">
      <c r="A49" s="169" t="s">
        <v>109</v>
      </c>
      <c r="B49" s="378" t="s">
        <v>422</v>
      </c>
      <c r="C49" s="954"/>
      <c r="D49" s="154"/>
      <c r="E49" s="177">
        <f>SUM(C49:D49)</f>
        <v>0</v>
      </c>
      <c r="F49" s="932"/>
      <c r="G49" s="154"/>
      <c r="H49" s="177">
        <f>SUM(F49:G49)</f>
        <v>0</v>
      </c>
      <c r="I49" s="954"/>
      <c r="J49" s="154"/>
      <c r="K49" s="177">
        <f>SUM(I49:J49)</f>
        <v>0</v>
      </c>
      <c r="L49" s="954"/>
      <c r="M49" s="154"/>
      <c r="N49" s="177">
        <f>SUM(L49:M49)</f>
        <v>0</v>
      </c>
      <c r="O49" s="954"/>
      <c r="P49" s="154"/>
      <c r="Q49" s="177">
        <f>SUM(O49:P49)</f>
        <v>0</v>
      </c>
    </row>
    <row r="50" spans="1:17" ht="15.75" thickBot="1">
      <c r="A50" s="169" t="s">
        <v>110</v>
      </c>
      <c r="B50" s="378" t="s">
        <v>455</v>
      </c>
      <c r="C50" s="954"/>
      <c r="D50" s="154"/>
      <c r="E50" s="177">
        <f>SUM(C50:D50)</f>
        <v>0</v>
      </c>
      <c r="F50" s="932"/>
      <c r="G50" s="154"/>
      <c r="H50" s="177">
        <f>SUM(F50:G50)</f>
        <v>0</v>
      </c>
      <c r="I50" s="954"/>
      <c r="J50" s="154"/>
      <c r="K50" s="177">
        <f>SUM(I50:J50)</f>
        <v>0</v>
      </c>
      <c r="L50" s="954"/>
      <c r="M50" s="154"/>
      <c r="N50" s="177">
        <f>SUM(L50:M50)</f>
        <v>0</v>
      </c>
      <c r="O50" s="954"/>
      <c r="P50" s="154"/>
      <c r="Q50" s="177">
        <f>SUM(O50:P50)</f>
        <v>0</v>
      </c>
    </row>
    <row r="51" spans="1:17" s="15" customFormat="1" ht="16.5" thickBot="1">
      <c r="A51" s="357">
        <v>5</v>
      </c>
      <c r="B51" s="348" t="s">
        <v>186</v>
      </c>
      <c r="C51" s="392">
        <f>SUM(C48:C50)</f>
        <v>0</v>
      </c>
      <c r="D51" s="358">
        <f>SUM(D48:D50)</f>
        <v>0</v>
      </c>
      <c r="E51" s="360">
        <f aca="true" t="shared" si="18" ref="E51:Q51">SUM(E48:E50)</f>
        <v>0</v>
      </c>
      <c r="F51" s="392">
        <f t="shared" si="18"/>
        <v>0</v>
      </c>
      <c r="G51" s="358">
        <f t="shared" si="18"/>
        <v>0</v>
      </c>
      <c r="H51" s="360">
        <f t="shared" si="18"/>
        <v>0</v>
      </c>
      <c r="I51" s="392">
        <f t="shared" si="18"/>
        <v>0</v>
      </c>
      <c r="J51" s="358">
        <f t="shared" si="18"/>
        <v>0</v>
      </c>
      <c r="K51" s="360">
        <f t="shared" si="18"/>
        <v>0</v>
      </c>
      <c r="L51" s="392">
        <f t="shared" si="18"/>
        <v>0</v>
      </c>
      <c r="M51" s="358">
        <f t="shared" si="18"/>
        <v>0</v>
      </c>
      <c r="N51" s="360">
        <f t="shared" si="18"/>
        <v>0</v>
      </c>
      <c r="O51" s="392">
        <f t="shared" si="18"/>
        <v>0</v>
      </c>
      <c r="P51" s="358">
        <f t="shared" si="18"/>
        <v>0</v>
      </c>
      <c r="Q51" s="364">
        <f t="shared" si="18"/>
        <v>0</v>
      </c>
    </row>
    <row r="52" spans="1:17" s="15" customFormat="1" ht="16.5" thickBot="1">
      <c r="A52" s="811">
        <v>6</v>
      </c>
      <c r="B52" s="812" t="s">
        <v>309</v>
      </c>
      <c r="C52" s="1183"/>
      <c r="D52" s="383"/>
      <c r="E52" s="376">
        <f>SUM(C52:D52)</f>
        <v>0</v>
      </c>
      <c r="F52" s="377"/>
      <c r="G52" s="383"/>
      <c r="H52" s="376">
        <f>SUM(F52:G52)</f>
        <v>0</v>
      </c>
      <c r="I52" s="1189"/>
      <c r="J52" s="383"/>
      <c r="K52" s="376">
        <f>SUM(I52:J52)</f>
        <v>0</v>
      </c>
      <c r="L52" s="1189"/>
      <c r="M52" s="383"/>
      <c r="N52" s="376">
        <f>SUM(L52:M52)</f>
        <v>0</v>
      </c>
      <c r="O52" s="1189"/>
      <c r="P52" s="383"/>
      <c r="Q52" s="376">
        <f>SUM(O52:P52)</f>
        <v>0</v>
      </c>
    </row>
    <row r="53" spans="1:17" ht="15">
      <c r="A53" s="152" t="s">
        <v>108</v>
      </c>
      <c r="B53" s="153" t="s">
        <v>424</v>
      </c>
      <c r="C53" s="1184"/>
      <c r="D53" s="155"/>
      <c r="E53" s="215">
        <f>SUM(C53:D53)</f>
        <v>0</v>
      </c>
      <c r="F53" s="936"/>
      <c r="G53" s="155">
        <v>673</v>
      </c>
      <c r="H53" s="215">
        <f>SUM(F53:G53)</f>
        <v>673</v>
      </c>
      <c r="I53" s="1184"/>
      <c r="J53" s="155"/>
      <c r="K53" s="215">
        <f>SUM(I53:J53)</f>
        <v>0</v>
      </c>
      <c r="L53" s="1184"/>
      <c r="M53" s="155"/>
      <c r="N53" s="215">
        <f>SUM(L53:M53)</f>
        <v>0</v>
      </c>
      <c r="O53" s="1184"/>
      <c r="P53" s="155"/>
      <c r="Q53" s="215">
        <f>SUM(O53:P53)</f>
        <v>0</v>
      </c>
    </row>
    <row r="54" spans="1:17" ht="15.75" thickBot="1">
      <c r="A54" s="379" t="s">
        <v>109</v>
      </c>
      <c r="B54" s="157" t="s">
        <v>425</v>
      </c>
      <c r="C54" s="1181"/>
      <c r="D54" s="365"/>
      <c r="E54" s="368">
        <f>SUM(C54:D54)</f>
        <v>0</v>
      </c>
      <c r="F54" s="172"/>
      <c r="G54" s="365"/>
      <c r="H54" s="368">
        <f>SUM(F54:G54)</f>
        <v>0</v>
      </c>
      <c r="I54" s="1181"/>
      <c r="J54" s="365"/>
      <c r="K54" s="368">
        <f>SUM(I54:J54)</f>
        <v>0</v>
      </c>
      <c r="L54" s="1181"/>
      <c r="M54" s="365"/>
      <c r="N54" s="368">
        <f>SUM(L54:M54)</f>
        <v>0</v>
      </c>
      <c r="O54" s="1181"/>
      <c r="P54" s="365">
        <v>2271</v>
      </c>
      <c r="Q54" s="368">
        <f>SUM(O54:P54)</f>
        <v>2271</v>
      </c>
    </row>
    <row r="55" spans="1:17" s="15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>
        <f aca="true" t="shared" si="19" ref="D55:Q55">SUM(D53:D54)</f>
        <v>0</v>
      </c>
      <c r="E55" s="360">
        <f t="shared" si="19"/>
        <v>0</v>
      </c>
      <c r="F55" s="392">
        <f t="shared" si="19"/>
        <v>0</v>
      </c>
      <c r="G55" s="358">
        <f t="shared" si="19"/>
        <v>673</v>
      </c>
      <c r="H55" s="360">
        <f t="shared" si="19"/>
        <v>673</v>
      </c>
      <c r="I55" s="392">
        <f t="shared" si="19"/>
        <v>0</v>
      </c>
      <c r="J55" s="358">
        <f t="shared" si="19"/>
        <v>0</v>
      </c>
      <c r="K55" s="360">
        <f t="shared" si="19"/>
        <v>0</v>
      </c>
      <c r="L55" s="392">
        <f t="shared" si="19"/>
        <v>0</v>
      </c>
      <c r="M55" s="358">
        <f t="shared" si="19"/>
        <v>0</v>
      </c>
      <c r="N55" s="360">
        <f t="shared" si="19"/>
        <v>0</v>
      </c>
      <c r="O55" s="1191">
        <f t="shared" si="19"/>
        <v>0</v>
      </c>
      <c r="P55" s="1193">
        <f t="shared" si="19"/>
        <v>2271</v>
      </c>
      <c r="Q55" s="1195">
        <f t="shared" si="19"/>
        <v>2271</v>
      </c>
    </row>
    <row r="56" spans="1:17" s="311" customFormat="1" ht="19.5" customHeight="1" thickBot="1">
      <c r="A56" s="762">
        <v>8</v>
      </c>
      <c r="B56" s="763" t="s">
        <v>46</v>
      </c>
      <c r="C56" s="1216">
        <f>C34-C40-C45-C46-C47-C51-C52-C55-C57-C58-C59</f>
        <v>129594</v>
      </c>
      <c r="D56" s="1217">
        <f>D34-D40-D45-D46-D47-D51-D52-D55-D57-D58-D59</f>
        <v>-600</v>
      </c>
      <c r="E56" s="1214">
        <f aca="true" t="shared" si="20" ref="E56:Q56">E34-E40-E45-E46-E47-E51-E52-E55-E57-E58-E59</f>
        <v>128994</v>
      </c>
      <c r="F56" s="1216">
        <f t="shared" si="20"/>
        <v>12397</v>
      </c>
      <c r="G56" s="1217">
        <f t="shared" si="20"/>
        <v>-312</v>
      </c>
      <c r="H56" s="1214">
        <f t="shared" si="20"/>
        <v>12085</v>
      </c>
      <c r="I56" s="1216">
        <f t="shared" si="20"/>
        <v>10206</v>
      </c>
      <c r="J56" s="1217">
        <f t="shared" si="20"/>
        <v>-60</v>
      </c>
      <c r="K56" s="1214">
        <f t="shared" si="20"/>
        <v>10146</v>
      </c>
      <c r="L56" s="1216">
        <f t="shared" si="20"/>
        <v>3000</v>
      </c>
      <c r="M56" s="1217">
        <f t="shared" si="20"/>
        <v>2076</v>
      </c>
      <c r="N56" s="1214">
        <f t="shared" si="20"/>
        <v>5076</v>
      </c>
      <c r="O56" s="1239">
        <f t="shared" si="20"/>
        <v>44000</v>
      </c>
      <c r="P56" s="1241">
        <f t="shared" si="20"/>
        <v>-2271</v>
      </c>
      <c r="Q56" s="1229">
        <f t="shared" si="20"/>
        <v>41729</v>
      </c>
    </row>
    <row r="57" spans="1:17" s="15" customFormat="1" ht="15.75">
      <c r="A57" s="380" t="s">
        <v>427</v>
      </c>
      <c r="B57" s="381" t="s">
        <v>192</v>
      </c>
      <c r="C57" s="1186"/>
      <c r="D57" s="371"/>
      <c r="E57" s="1215">
        <f>SUM(C57:D57)</f>
        <v>0</v>
      </c>
      <c r="F57" s="937"/>
      <c r="G57" s="371"/>
      <c r="H57" s="1215">
        <f>SUM(F57:G57)</f>
        <v>0</v>
      </c>
      <c r="I57" s="1186"/>
      <c r="J57" s="371"/>
      <c r="K57" s="1215">
        <f>SUM(I57:J57)</f>
        <v>0</v>
      </c>
      <c r="L57" s="1186"/>
      <c r="M57" s="371"/>
      <c r="N57" s="1215">
        <f>SUM(L57:M57)</f>
        <v>0</v>
      </c>
      <c r="O57" s="1186"/>
      <c r="P57" s="371"/>
      <c r="Q57" s="1215">
        <f>SUM(O57:P57)</f>
        <v>0</v>
      </c>
    </row>
    <row r="58" spans="1:17" s="15" customFormat="1" ht="15.75">
      <c r="A58" s="380" t="s">
        <v>191</v>
      </c>
      <c r="B58" s="381" t="s">
        <v>426</v>
      </c>
      <c r="C58" s="370"/>
      <c r="D58" s="371"/>
      <c r="E58" s="449">
        <f>SUM(C58:D58)</f>
        <v>0</v>
      </c>
      <c r="F58" s="375"/>
      <c r="G58" s="371"/>
      <c r="H58" s="449">
        <f>SUM(F58:G58)</f>
        <v>0</v>
      </c>
      <c r="I58" s="1186"/>
      <c r="J58" s="371"/>
      <c r="K58" s="1215">
        <f>SUM(I58:J58)</f>
        <v>0</v>
      </c>
      <c r="L58" s="1186"/>
      <c r="M58" s="371"/>
      <c r="N58" s="1215">
        <f>SUM(L58:M58)</f>
        <v>0</v>
      </c>
      <c r="O58" s="370"/>
      <c r="P58" s="371"/>
      <c r="Q58" s="449">
        <f>SUM(O58:P58)</f>
        <v>0</v>
      </c>
    </row>
    <row r="59" spans="1:17" s="15" customFormat="1" ht="16.5" thickBot="1">
      <c r="A59" s="396">
        <v>10</v>
      </c>
      <c r="B59" s="397"/>
      <c r="C59" s="398"/>
      <c r="D59" s="399"/>
      <c r="E59" s="453">
        <f>SUM(C59:D59)</f>
        <v>0</v>
      </c>
      <c r="F59" s="401"/>
      <c r="G59" s="399"/>
      <c r="H59" s="454">
        <f>SUM(F59:G59)</f>
        <v>0</v>
      </c>
      <c r="I59" s="398"/>
      <c r="J59" s="399"/>
      <c r="K59" s="454">
        <f>SUM(I59:J59)</f>
        <v>0</v>
      </c>
      <c r="L59" s="398"/>
      <c r="M59" s="399"/>
      <c r="N59" s="454">
        <f>SUM(L59:M59)</f>
        <v>0</v>
      </c>
      <c r="O59" s="398"/>
      <c r="P59" s="399"/>
      <c r="Q59" s="454">
        <f>SUM(O59:P59)</f>
        <v>0</v>
      </c>
    </row>
    <row r="60" spans="1:17" s="35" customFormat="1" ht="17.25" thickBot="1" thickTop="1">
      <c r="A60" s="387" t="s">
        <v>119</v>
      </c>
      <c r="B60" s="390" t="s">
        <v>190</v>
      </c>
      <c r="C60" s="825">
        <f>C40+C45+C46+C47+C51+C52+C55+C56+C57+C58+C59</f>
        <v>130864</v>
      </c>
      <c r="D60" s="826">
        <f aca="true" t="shared" si="21" ref="D60:Q60">D40+D45+D46+D47+D51+D52+D55+D56+D57+D58+D59</f>
        <v>-600</v>
      </c>
      <c r="E60" s="824">
        <f t="shared" si="21"/>
        <v>130264</v>
      </c>
      <c r="F60" s="409">
        <f t="shared" si="21"/>
        <v>12397</v>
      </c>
      <c r="G60" s="388">
        <f t="shared" si="21"/>
        <v>378</v>
      </c>
      <c r="H60" s="824">
        <f t="shared" si="21"/>
        <v>12775</v>
      </c>
      <c r="I60" s="825">
        <f t="shared" si="21"/>
        <v>10206</v>
      </c>
      <c r="J60" s="826">
        <f t="shared" si="21"/>
        <v>-60</v>
      </c>
      <c r="K60" s="824">
        <f t="shared" si="21"/>
        <v>10146</v>
      </c>
      <c r="L60" s="409">
        <f t="shared" si="21"/>
        <v>3000</v>
      </c>
      <c r="M60" s="388">
        <f t="shared" si="21"/>
        <v>2076</v>
      </c>
      <c r="N60" s="824">
        <f t="shared" si="21"/>
        <v>5076</v>
      </c>
      <c r="O60" s="409">
        <f t="shared" si="21"/>
        <v>44000</v>
      </c>
      <c r="P60" s="388">
        <f t="shared" si="21"/>
        <v>0</v>
      </c>
      <c r="Q60" s="421">
        <f t="shared" si="21"/>
        <v>44000</v>
      </c>
    </row>
    <row r="61" spans="1:17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6.5" thickBot="1" thickTop="1">
      <c r="A62" s="182"/>
      <c r="B62" s="183" t="s">
        <v>580</v>
      </c>
      <c r="C62" s="216">
        <v>0</v>
      </c>
      <c r="D62" s="459"/>
      <c r="E62" s="460">
        <f>SUM(C62:D62)</f>
        <v>0</v>
      </c>
      <c r="F62" s="216"/>
      <c r="G62" s="459"/>
      <c r="H62" s="460">
        <f>SUM(F62:G62)</f>
        <v>0</v>
      </c>
      <c r="I62" s="216">
        <v>0</v>
      </c>
      <c r="J62" s="459"/>
      <c r="K62" s="460">
        <f>SUM(I62:J62)</f>
        <v>0</v>
      </c>
      <c r="L62" s="216">
        <v>0</v>
      </c>
      <c r="M62" s="459"/>
      <c r="N62" s="460">
        <f>SUM(L62:M62)</f>
        <v>0</v>
      </c>
      <c r="O62" s="216">
        <v>0</v>
      </c>
      <c r="P62" s="461"/>
      <c r="Q62" s="460">
        <f>SUM(O62:P62)</f>
        <v>0</v>
      </c>
    </row>
    <row r="63" spans="1:17" ht="16.5" thickBot="1" thickTop="1">
      <c r="A63" s="182"/>
      <c r="B63" s="183" t="s">
        <v>581</v>
      </c>
      <c r="C63" s="216"/>
      <c r="D63" s="459"/>
      <c r="E63" s="460">
        <f>SUM(C63:D63)</f>
        <v>0</v>
      </c>
      <c r="F63" s="216">
        <v>0</v>
      </c>
      <c r="G63" s="459"/>
      <c r="H63" s="460">
        <f>SUM(F63:G63)</f>
        <v>0</v>
      </c>
      <c r="I63" s="216">
        <v>0</v>
      </c>
      <c r="J63" s="459"/>
      <c r="K63" s="460">
        <f>SUM(I63:J63)</f>
        <v>0</v>
      </c>
      <c r="L63" s="216">
        <v>0</v>
      </c>
      <c r="M63" s="459"/>
      <c r="N63" s="460">
        <f>SUM(L63:M63)</f>
        <v>0</v>
      </c>
      <c r="O63" s="216">
        <v>0</v>
      </c>
      <c r="P63" s="461"/>
      <c r="Q63" s="460">
        <f>SUM(O63:P63)</f>
        <v>0</v>
      </c>
    </row>
    <row r="64" ht="16.5" thickTop="1">
      <c r="A64" s="465"/>
    </row>
    <row r="65" ht="15.75">
      <c r="A65" s="465"/>
    </row>
  </sheetData>
  <sheetProtection/>
  <mergeCells count="7">
    <mergeCell ref="A4:Q4"/>
    <mergeCell ref="A5:Q5"/>
    <mergeCell ref="O7:Q7"/>
    <mergeCell ref="L7:N7"/>
    <mergeCell ref="C7:E7"/>
    <mergeCell ref="F7:H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S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4" sqref="A4:Q4"/>
      <selection pane="topRight" activeCell="A4" sqref="A4:Q4"/>
      <selection pane="bottomLeft" activeCell="A4" sqref="A4:Q4"/>
      <selection pane="bottomRight" activeCell="Q1" sqref="Q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17" width="14.625" style="96" customWidth="1"/>
  </cols>
  <sheetData>
    <row r="1" spans="1:17" ht="10.5" customHeight="1">
      <c r="A1" s="346"/>
      <c r="B1" s="347"/>
      <c r="C1" s="347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940" t="s">
        <v>871</v>
      </c>
    </row>
    <row r="2" spans="1:17" ht="10.5" customHeight="1">
      <c r="A2" s="346"/>
      <c r="B2" s="347"/>
      <c r="C2" s="347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940" t="s">
        <v>102</v>
      </c>
    </row>
    <row r="3" spans="1:17" ht="15">
      <c r="A3" s="346"/>
      <c r="B3" s="347"/>
      <c r="C3" s="347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941" t="s">
        <v>150</v>
      </c>
    </row>
    <row r="4" spans="1:17" ht="20.25">
      <c r="A4" s="1844" t="s">
        <v>103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</row>
    <row r="5" spans="1:17" ht="18">
      <c r="A5" s="1845" t="s">
        <v>572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5"/>
      <c r="L5" s="1845"/>
      <c r="M5" s="1845"/>
      <c r="N5" s="1845"/>
      <c r="O5" s="1845"/>
      <c r="P5" s="1845"/>
      <c r="Q5" s="1845"/>
    </row>
    <row r="6" spans="1:17" ht="34.5" customHeight="1" thickBot="1">
      <c r="A6" s="346"/>
      <c r="B6" s="347"/>
      <c r="C6" s="347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953" t="s">
        <v>145</v>
      </c>
    </row>
    <row r="7" spans="1:17" s="96" customFormat="1" ht="42" customHeight="1">
      <c r="A7" s="260" t="s">
        <v>135</v>
      </c>
      <c r="B7" s="95" t="s">
        <v>136</v>
      </c>
      <c r="C7" s="1833" t="s">
        <v>470</v>
      </c>
      <c r="D7" s="1830"/>
      <c r="E7" s="1831"/>
      <c r="F7" s="1829" t="s">
        <v>60</v>
      </c>
      <c r="G7" s="1830"/>
      <c r="H7" s="1831"/>
      <c r="I7" s="1829" t="s">
        <v>84</v>
      </c>
      <c r="J7" s="1830"/>
      <c r="K7" s="1831"/>
      <c r="L7" s="1829" t="s">
        <v>203</v>
      </c>
      <c r="M7" s="1830"/>
      <c r="N7" s="1831"/>
      <c r="O7" s="1833" t="s">
        <v>68</v>
      </c>
      <c r="P7" s="1852"/>
      <c r="Q7" s="1853"/>
    </row>
    <row r="8" spans="1:201" ht="24.75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24" t="s">
        <v>463</v>
      </c>
      <c r="P8" s="23" t="s">
        <v>139</v>
      </c>
      <c r="Q8" s="11" t="s">
        <v>665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</row>
    <row r="9" spans="1:201" s="36" customFormat="1" ht="13.5" thickBot="1">
      <c r="A9" s="467">
        <v>1</v>
      </c>
      <c r="B9" s="467">
        <v>2</v>
      </c>
      <c r="C9" s="468">
        <v>3</v>
      </c>
      <c r="D9" s="469">
        <v>4</v>
      </c>
      <c r="E9" s="471">
        <v>5</v>
      </c>
      <c r="F9" s="469">
        <v>6</v>
      </c>
      <c r="G9" s="469">
        <v>7</v>
      </c>
      <c r="H9" s="469">
        <v>8</v>
      </c>
      <c r="I9" s="468">
        <v>9</v>
      </c>
      <c r="J9" s="469">
        <v>10</v>
      </c>
      <c r="K9" s="471">
        <v>11</v>
      </c>
      <c r="L9" s="468">
        <v>9</v>
      </c>
      <c r="M9" s="469">
        <v>10</v>
      </c>
      <c r="N9" s="471">
        <v>11</v>
      </c>
      <c r="O9" s="469">
        <v>12</v>
      </c>
      <c r="P9" s="469">
        <v>13</v>
      </c>
      <c r="Q9" s="471">
        <v>14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</row>
    <row r="10" spans="1:17" ht="16.5" thickBot="1">
      <c r="A10" s="427"/>
      <c r="B10" s="391" t="s">
        <v>140</v>
      </c>
      <c r="C10" s="428"/>
      <c r="D10" s="429"/>
      <c r="E10" s="430"/>
      <c r="F10" s="431"/>
      <c r="G10" s="432"/>
      <c r="H10" s="430"/>
      <c r="I10" s="431"/>
      <c r="J10" s="432"/>
      <c r="K10" s="430"/>
      <c r="L10" s="992"/>
      <c r="M10" s="1244"/>
      <c r="N10" s="963"/>
      <c r="O10" s="992"/>
      <c r="P10" s="432"/>
      <c r="Q10" s="963"/>
    </row>
    <row r="11" spans="1:17" ht="16.5" thickBot="1">
      <c r="A11" s="357">
        <v>1</v>
      </c>
      <c r="B11" s="348" t="s">
        <v>123</v>
      </c>
      <c r="C11" s="358"/>
      <c r="D11" s="358"/>
      <c r="E11" s="403">
        <f>SUM(C11:D11)</f>
        <v>0</v>
      </c>
      <c r="F11" s="358"/>
      <c r="G11" s="358"/>
      <c r="H11" s="403">
        <f>SUM(F11:G11)</f>
        <v>0</v>
      </c>
      <c r="I11" s="358">
        <v>109</v>
      </c>
      <c r="J11" s="358"/>
      <c r="K11" s="403">
        <f aca="true" t="shared" si="0" ref="K11:K16">SUM(I11:J11)</f>
        <v>109</v>
      </c>
      <c r="L11" s="358"/>
      <c r="M11" s="358"/>
      <c r="N11" s="403">
        <f aca="true" t="shared" si="1" ref="N11:N16">SUM(L11:M11)</f>
        <v>0</v>
      </c>
      <c r="O11" s="362"/>
      <c r="P11" s="358"/>
      <c r="Q11" s="364">
        <f aca="true" t="shared" si="2" ref="Q11:Q16">SUM(O11:P11)</f>
        <v>0</v>
      </c>
    </row>
    <row r="12" spans="1:17" ht="16.5" thickBot="1">
      <c r="A12" s="361">
        <v>2</v>
      </c>
      <c r="B12" s="348" t="s">
        <v>213</v>
      </c>
      <c r="C12" s="360"/>
      <c r="D12" s="358"/>
      <c r="E12" s="403">
        <f>SUM(C12:D12)</f>
        <v>0</v>
      </c>
      <c r="F12" s="374"/>
      <c r="G12" s="358"/>
      <c r="H12" s="364">
        <f>SUM(F12:G12)</f>
        <v>0</v>
      </c>
      <c r="I12" s="360"/>
      <c r="J12" s="358"/>
      <c r="K12" s="403">
        <f t="shared" si="0"/>
        <v>0</v>
      </c>
      <c r="L12" s="360"/>
      <c r="M12" s="358"/>
      <c r="N12" s="403">
        <f t="shared" si="1"/>
        <v>0</v>
      </c>
      <c r="O12" s="362"/>
      <c r="P12" s="358"/>
      <c r="Q12" s="364">
        <f t="shared" si="2"/>
        <v>0</v>
      </c>
    </row>
    <row r="13" spans="1:17" s="15" customFormat="1" ht="16.5" thickBot="1">
      <c r="A13" s="361">
        <v>3</v>
      </c>
      <c r="B13" s="348" t="s">
        <v>126</v>
      </c>
      <c r="C13" s="374"/>
      <c r="D13" s="358"/>
      <c r="E13" s="364">
        <f>SUM(C13:D13)</f>
        <v>0</v>
      </c>
      <c r="F13" s="374">
        <v>34847</v>
      </c>
      <c r="G13" s="358">
        <v>684</v>
      </c>
      <c r="H13" s="364">
        <f>SUM(F13:G13)</f>
        <v>35531</v>
      </c>
      <c r="I13" s="358"/>
      <c r="J13" s="358"/>
      <c r="K13" s="403">
        <f t="shared" si="0"/>
        <v>0</v>
      </c>
      <c r="L13" s="362"/>
      <c r="M13" s="358"/>
      <c r="N13" s="364">
        <f t="shared" si="1"/>
        <v>0</v>
      </c>
      <c r="O13" s="362">
        <v>15</v>
      </c>
      <c r="P13" s="358">
        <v>2000</v>
      </c>
      <c r="Q13" s="364">
        <f t="shared" si="2"/>
        <v>2015</v>
      </c>
    </row>
    <row r="14" spans="1:17" s="15" customFormat="1" ht="16.5" thickBot="1">
      <c r="A14" s="361">
        <v>4</v>
      </c>
      <c r="B14" s="348" t="s">
        <v>180</v>
      </c>
      <c r="C14" s="374">
        <v>113502</v>
      </c>
      <c r="D14" s="358"/>
      <c r="E14" s="364">
        <f>SUM(C14:D14)</f>
        <v>113502</v>
      </c>
      <c r="F14" s="374"/>
      <c r="G14" s="358"/>
      <c r="H14" s="364">
        <f>SUM(F14:G14)</f>
        <v>0</v>
      </c>
      <c r="I14" s="374"/>
      <c r="J14" s="358"/>
      <c r="K14" s="364">
        <f t="shared" si="0"/>
        <v>0</v>
      </c>
      <c r="L14" s="374"/>
      <c r="M14" s="358"/>
      <c r="N14" s="364">
        <f t="shared" si="1"/>
        <v>0</v>
      </c>
      <c r="O14" s="374"/>
      <c r="P14" s="358"/>
      <c r="Q14" s="364">
        <f t="shared" si="2"/>
        <v>0</v>
      </c>
    </row>
    <row r="15" spans="1:17" ht="15">
      <c r="A15" s="171" t="s">
        <v>108</v>
      </c>
      <c r="B15" s="160" t="s">
        <v>405</v>
      </c>
      <c r="C15" s="349"/>
      <c r="D15" s="256"/>
      <c r="E15" s="258">
        <f>C15+D15</f>
        <v>0</v>
      </c>
      <c r="F15" s="349"/>
      <c r="G15" s="256"/>
      <c r="H15" s="258">
        <f>F15+G15</f>
        <v>0</v>
      </c>
      <c r="I15" s="349"/>
      <c r="J15" s="256"/>
      <c r="K15" s="436">
        <f t="shared" si="0"/>
        <v>0</v>
      </c>
      <c r="L15" s="349"/>
      <c r="M15" s="256"/>
      <c r="N15" s="258">
        <f t="shared" si="1"/>
        <v>0</v>
      </c>
      <c r="O15" s="349"/>
      <c r="P15" s="256"/>
      <c r="Q15" s="258">
        <f t="shared" si="2"/>
        <v>0</v>
      </c>
    </row>
    <row r="16" spans="1:17" ht="15">
      <c r="A16" s="168" t="s">
        <v>109</v>
      </c>
      <c r="B16" s="164" t="s">
        <v>406</v>
      </c>
      <c r="C16" s="350"/>
      <c r="D16" s="154"/>
      <c r="E16" s="258">
        <f>C16+D16</f>
        <v>0</v>
      </c>
      <c r="F16" s="1243"/>
      <c r="G16" s="154"/>
      <c r="H16" s="258">
        <f>F16+G16</f>
        <v>0</v>
      </c>
      <c r="I16" s="350"/>
      <c r="J16" s="154"/>
      <c r="K16" s="258">
        <f t="shared" si="0"/>
        <v>0</v>
      </c>
      <c r="L16" s="350"/>
      <c r="M16" s="154"/>
      <c r="N16" s="258">
        <f t="shared" si="1"/>
        <v>0</v>
      </c>
      <c r="O16" s="350"/>
      <c r="P16" s="154"/>
      <c r="Q16" s="258">
        <f t="shared" si="2"/>
        <v>0</v>
      </c>
    </row>
    <row r="17" spans="1:17" ht="15">
      <c r="A17" s="168" t="s">
        <v>110</v>
      </c>
      <c r="B17" s="164" t="s">
        <v>407</v>
      </c>
      <c r="C17" s="350"/>
      <c r="D17" s="154"/>
      <c r="E17" s="258">
        <f aca="true" t="shared" si="3" ref="E17:E22">C17+D17</f>
        <v>0</v>
      </c>
      <c r="G17" s="154"/>
      <c r="H17" s="258">
        <f aca="true" t="shared" si="4" ref="H17:H22">F17+G17</f>
        <v>0</v>
      </c>
      <c r="I17" s="350"/>
      <c r="J17" s="154"/>
      <c r="K17" s="258">
        <f aca="true" t="shared" si="5" ref="K17:K22">SUM(I17:J17)</f>
        <v>0</v>
      </c>
      <c r="L17" s="350"/>
      <c r="M17" s="154"/>
      <c r="N17" s="258">
        <f aca="true" t="shared" si="6" ref="N17:N22">SUM(L17:M17)</f>
        <v>0</v>
      </c>
      <c r="O17" s="350"/>
      <c r="P17" s="154"/>
      <c r="Q17" s="258">
        <f aca="true" t="shared" si="7" ref="Q17:Q22">SUM(O17:P17)</f>
        <v>0</v>
      </c>
    </row>
    <row r="18" spans="1:17" ht="15">
      <c r="A18" s="168" t="s">
        <v>111</v>
      </c>
      <c r="B18" s="164" t="s">
        <v>408</v>
      </c>
      <c r="C18" s="350">
        <v>11300</v>
      </c>
      <c r="D18" s="154"/>
      <c r="E18" s="258">
        <f t="shared" si="3"/>
        <v>11300</v>
      </c>
      <c r="F18" s="954"/>
      <c r="G18" s="154"/>
      <c r="H18" s="258">
        <f t="shared" si="4"/>
        <v>0</v>
      </c>
      <c r="I18" s="350"/>
      <c r="J18" s="154"/>
      <c r="K18" s="258">
        <f t="shared" si="5"/>
        <v>0</v>
      </c>
      <c r="L18" s="350"/>
      <c r="M18" s="154"/>
      <c r="N18" s="258">
        <f t="shared" si="6"/>
        <v>0</v>
      </c>
      <c r="O18" s="350"/>
      <c r="P18" s="154">
        <v>6000</v>
      </c>
      <c r="Q18" s="258">
        <f t="shared" si="7"/>
        <v>6000</v>
      </c>
    </row>
    <row r="19" spans="1:17" ht="15">
      <c r="A19" s="163" t="s">
        <v>202</v>
      </c>
      <c r="B19" s="164" t="s">
        <v>409</v>
      </c>
      <c r="C19" s="932"/>
      <c r="D19" s="154"/>
      <c r="E19" s="258">
        <f>C19+D19</f>
        <v>0</v>
      </c>
      <c r="F19" s="350"/>
      <c r="G19" s="154"/>
      <c r="H19" s="258">
        <f>F19+G19</f>
        <v>0</v>
      </c>
      <c r="I19" s="350"/>
      <c r="J19" s="154"/>
      <c r="K19" s="258">
        <f>SUM(I19:J19)</f>
        <v>0</v>
      </c>
      <c r="L19" s="350"/>
      <c r="M19" s="154"/>
      <c r="N19" s="258">
        <f>SUM(L19:M19)</f>
        <v>0</v>
      </c>
      <c r="O19" s="350"/>
      <c r="P19" s="154"/>
      <c r="Q19" s="258">
        <f>SUM(O19:P19)</f>
        <v>0</v>
      </c>
    </row>
    <row r="20" spans="1:17" ht="15">
      <c r="A20" s="163" t="s">
        <v>359</v>
      </c>
      <c r="B20" s="164" t="s">
        <v>410</v>
      </c>
      <c r="C20" s="932"/>
      <c r="D20" s="154"/>
      <c r="E20" s="258">
        <f t="shared" si="3"/>
        <v>0</v>
      </c>
      <c r="F20" s="350"/>
      <c r="G20" s="154"/>
      <c r="H20" s="258">
        <f t="shared" si="4"/>
        <v>0</v>
      </c>
      <c r="I20" s="350"/>
      <c r="J20" s="154"/>
      <c r="K20" s="258">
        <f t="shared" si="5"/>
        <v>0</v>
      </c>
      <c r="L20" s="350"/>
      <c r="M20" s="154"/>
      <c r="N20" s="258">
        <f t="shared" si="6"/>
        <v>0</v>
      </c>
      <c r="O20" s="350"/>
      <c r="P20" s="154"/>
      <c r="Q20" s="258">
        <f t="shared" si="7"/>
        <v>0</v>
      </c>
    </row>
    <row r="21" spans="1:17" ht="15">
      <c r="A21" s="161" t="s">
        <v>361</v>
      </c>
      <c r="B21" s="164" t="s">
        <v>411</v>
      </c>
      <c r="C21" s="934"/>
      <c r="D21" s="256"/>
      <c r="E21" s="258">
        <f>C21+D21</f>
        <v>0</v>
      </c>
      <c r="F21" s="349">
        <v>55079</v>
      </c>
      <c r="G21" s="256"/>
      <c r="H21" s="258">
        <f t="shared" si="4"/>
        <v>55079</v>
      </c>
      <c r="I21" s="349">
        <v>6090</v>
      </c>
      <c r="J21" s="256">
        <v>-1500</v>
      </c>
      <c r="K21" s="258">
        <f t="shared" si="5"/>
        <v>4590</v>
      </c>
      <c r="L21" s="349"/>
      <c r="M21" s="256"/>
      <c r="N21" s="258">
        <f t="shared" si="6"/>
        <v>0</v>
      </c>
      <c r="O21" s="349"/>
      <c r="P21" s="256"/>
      <c r="Q21" s="258">
        <f t="shared" si="7"/>
        <v>0</v>
      </c>
    </row>
    <row r="22" spans="1:17" ht="15" customHeight="1" thickBot="1">
      <c r="A22" s="16" t="s">
        <v>74</v>
      </c>
      <c r="B22" s="378" t="s">
        <v>412</v>
      </c>
      <c r="C22" s="933"/>
      <c r="D22" s="166"/>
      <c r="E22" s="258">
        <f t="shared" si="3"/>
        <v>0</v>
      </c>
      <c r="F22" s="351"/>
      <c r="G22" s="166"/>
      <c r="H22" s="258">
        <f t="shared" si="4"/>
        <v>0</v>
      </c>
      <c r="I22" s="351"/>
      <c r="J22" s="166"/>
      <c r="K22" s="258">
        <f t="shared" si="5"/>
        <v>0</v>
      </c>
      <c r="L22" s="351"/>
      <c r="M22" s="166"/>
      <c r="N22" s="258">
        <f t="shared" si="6"/>
        <v>0</v>
      </c>
      <c r="O22" s="351"/>
      <c r="P22" s="166"/>
      <c r="Q22" s="258">
        <f t="shared" si="7"/>
        <v>0</v>
      </c>
    </row>
    <row r="23" spans="1:17" s="15" customFormat="1" ht="16.5" thickBot="1">
      <c r="A23" s="361">
        <v>5</v>
      </c>
      <c r="B23" s="348" t="s">
        <v>179</v>
      </c>
      <c r="C23" s="392">
        <f aca="true" t="shared" si="8" ref="C23:Q23">SUM(C15:C22)</f>
        <v>11300</v>
      </c>
      <c r="D23" s="358">
        <f t="shared" si="8"/>
        <v>0</v>
      </c>
      <c r="E23" s="364">
        <f t="shared" si="8"/>
        <v>11300</v>
      </c>
      <c r="F23" s="374">
        <f t="shared" si="8"/>
        <v>55079</v>
      </c>
      <c r="G23" s="358">
        <f t="shared" si="8"/>
        <v>0</v>
      </c>
      <c r="H23" s="374">
        <f t="shared" si="8"/>
        <v>55079</v>
      </c>
      <c r="I23" s="392">
        <f t="shared" si="8"/>
        <v>6090</v>
      </c>
      <c r="J23" s="358">
        <f t="shared" si="8"/>
        <v>-1500</v>
      </c>
      <c r="K23" s="364">
        <f t="shared" si="8"/>
        <v>4590</v>
      </c>
      <c r="L23" s="392">
        <f t="shared" si="8"/>
        <v>0</v>
      </c>
      <c r="M23" s="358">
        <f t="shared" si="8"/>
        <v>0</v>
      </c>
      <c r="N23" s="364">
        <f t="shared" si="8"/>
        <v>0</v>
      </c>
      <c r="O23" s="392">
        <f t="shared" si="8"/>
        <v>0</v>
      </c>
      <c r="P23" s="358">
        <f t="shared" si="8"/>
        <v>6000</v>
      </c>
      <c r="Q23" s="364">
        <f t="shared" si="8"/>
        <v>6000</v>
      </c>
    </row>
    <row r="24" spans="1:17" ht="16.5" thickBot="1">
      <c r="A24" s="357">
        <v>6</v>
      </c>
      <c r="B24" s="348" t="s">
        <v>182</v>
      </c>
      <c r="C24" s="362"/>
      <c r="D24" s="358"/>
      <c r="E24" s="364">
        <f aca="true" t="shared" si="9" ref="E24:E30">SUM(C24:D24)</f>
        <v>0</v>
      </c>
      <c r="F24" s="362"/>
      <c r="G24" s="358"/>
      <c r="H24" s="364">
        <f aca="true" t="shared" si="10" ref="H24:H30">SUM(F24:G24)</f>
        <v>0</v>
      </c>
      <c r="I24" s="362"/>
      <c r="J24" s="358"/>
      <c r="K24" s="364">
        <f aca="true" t="shared" si="11" ref="K24:K30">SUM(I24:J24)</f>
        <v>0</v>
      </c>
      <c r="L24" s="362"/>
      <c r="M24" s="358"/>
      <c r="N24" s="364">
        <f aca="true" t="shared" si="12" ref="N24:N30">SUM(L24:M24)</f>
        <v>0</v>
      </c>
      <c r="O24" s="392"/>
      <c r="P24" s="358"/>
      <c r="Q24" s="364">
        <f aca="true" t="shared" si="13" ref="Q24:Q30">SUM(O24:P24)</f>
        <v>0</v>
      </c>
    </row>
    <row r="25" spans="1:17" s="15" customFormat="1" ht="16.5" thickBot="1">
      <c r="A25" s="357">
        <v>7</v>
      </c>
      <c r="B25" s="348" t="s">
        <v>464</v>
      </c>
      <c r="C25" s="362"/>
      <c r="D25" s="358"/>
      <c r="E25" s="364">
        <f t="shared" si="9"/>
        <v>0</v>
      </c>
      <c r="F25" s="362"/>
      <c r="G25" s="358"/>
      <c r="H25" s="374">
        <f t="shared" si="10"/>
        <v>0</v>
      </c>
      <c r="I25" s="392"/>
      <c r="J25" s="358"/>
      <c r="K25" s="364">
        <f t="shared" si="11"/>
        <v>0</v>
      </c>
      <c r="L25" s="374"/>
      <c r="M25" s="358"/>
      <c r="N25" s="364">
        <f t="shared" si="12"/>
        <v>0</v>
      </c>
      <c r="O25" s="362"/>
      <c r="P25" s="358"/>
      <c r="Q25" s="364">
        <f t="shared" si="13"/>
        <v>0</v>
      </c>
    </row>
    <row r="26" spans="1:17" ht="15">
      <c r="A26" s="171" t="s">
        <v>108</v>
      </c>
      <c r="B26" s="164" t="s">
        <v>413</v>
      </c>
      <c r="C26" s="349"/>
      <c r="D26" s="256"/>
      <c r="E26" s="258">
        <f t="shared" si="9"/>
        <v>0</v>
      </c>
      <c r="F26" s="349"/>
      <c r="G26" s="256"/>
      <c r="H26" s="258">
        <f t="shared" si="10"/>
        <v>0</v>
      </c>
      <c r="I26" s="349"/>
      <c r="J26" s="256"/>
      <c r="K26" s="258">
        <f t="shared" si="11"/>
        <v>0</v>
      </c>
      <c r="L26" s="349"/>
      <c r="M26" s="256"/>
      <c r="N26" s="258">
        <f t="shared" si="12"/>
        <v>0</v>
      </c>
      <c r="O26" s="349"/>
      <c r="P26" s="256"/>
      <c r="Q26" s="258">
        <f t="shared" si="13"/>
        <v>0</v>
      </c>
    </row>
    <row r="27" spans="1:17" ht="15">
      <c r="A27" s="171" t="s">
        <v>109</v>
      </c>
      <c r="B27" s="164" t="s">
        <v>414</v>
      </c>
      <c r="C27" s="349"/>
      <c r="D27" s="256"/>
      <c r="E27" s="258">
        <f t="shared" si="9"/>
        <v>0</v>
      </c>
      <c r="F27" s="349"/>
      <c r="G27" s="256"/>
      <c r="H27" s="258">
        <f t="shared" si="10"/>
        <v>0</v>
      </c>
      <c r="I27" s="349"/>
      <c r="J27" s="256"/>
      <c r="K27" s="258">
        <f t="shared" si="11"/>
        <v>0</v>
      </c>
      <c r="L27" s="349"/>
      <c r="M27" s="256"/>
      <c r="N27" s="258">
        <f t="shared" si="12"/>
        <v>0</v>
      </c>
      <c r="O27" s="349"/>
      <c r="P27" s="256"/>
      <c r="Q27" s="258">
        <f t="shared" si="13"/>
        <v>0</v>
      </c>
    </row>
    <row r="28" spans="1:17" ht="15">
      <c r="A28" s="171" t="s">
        <v>110</v>
      </c>
      <c r="B28" s="164" t="s">
        <v>415</v>
      </c>
      <c r="C28" s="349"/>
      <c r="D28" s="256"/>
      <c r="E28" s="258">
        <f t="shared" si="9"/>
        <v>0</v>
      </c>
      <c r="F28" s="349"/>
      <c r="G28" s="256"/>
      <c r="H28" s="258">
        <f t="shared" si="10"/>
        <v>0</v>
      </c>
      <c r="I28" s="349"/>
      <c r="J28" s="256"/>
      <c r="K28" s="258">
        <f t="shared" si="11"/>
        <v>0</v>
      </c>
      <c r="L28" s="349"/>
      <c r="M28" s="256"/>
      <c r="N28" s="258">
        <f t="shared" si="12"/>
        <v>0</v>
      </c>
      <c r="O28" s="349"/>
      <c r="P28" s="256"/>
      <c r="Q28" s="258">
        <f t="shared" si="13"/>
        <v>0</v>
      </c>
    </row>
    <row r="29" spans="1:17" ht="15">
      <c r="A29" s="171" t="s">
        <v>111</v>
      </c>
      <c r="B29" s="164" t="s">
        <v>416</v>
      </c>
      <c r="C29" s="349"/>
      <c r="D29" s="256"/>
      <c r="E29" s="258">
        <f t="shared" si="9"/>
        <v>0</v>
      </c>
      <c r="F29" s="349"/>
      <c r="G29" s="256"/>
      <c r="H29" s="258">
        <f t="shared" si="10"/>
        <v>0</v>
      </c>
      <c r="I29" s="349"/>
      <c r="J29" s="256"/>
      <c r="K29" s="258">
        <f t="shared" si="11"/>
        <v>0</v>
      </c>
      <c r="L29" s="349"/>
      <c r="M29" s="256"/>
      <c r="N29" s="258">
        <f t="shared" si="12"/>
        <v>0</v>
      </c>
      <c r="O29" s="349"/>
      <c r="P29" s="256"/>
      <c r="Q29" s="258">
        <f t="shared" si="13"/>
        <v>0</v>
      </c>
    </row>
    <row r="30" spans="1:17" ht="15.75" thickBot="1">
      <c r="A30" s="379" t="s">
        <v>202</v>
      </c>
      <c r="B30" s="164" t="s">
        <v>417</v>
      </c>
      <c r="C30" s="373"/>
      <c r="D30" s="365"/>
      <c r="E30" s="368">
        <f t="shared" si="9"/>
        <v>0</v>
      </c>
      <c r="F30" s="373"/>
      <c r="G30" s="365"/>
      <c r="H30" s="368">
        <f t="shared" si="10"/>
        <v>0</v>
      </c>
      <c r="I30" s="373"/>
      <c r="J30" s="365"/>
      <c r="K30" s="368">
        <f t="shared" si="11"/>
        <v>0</v>
      </c>
      <c r="L30" s="373">
        <v>14000</v>
      </c>
      <c r="M30" s="365">
        <v>3742</v>
      </c>
      <c r="N30" s="368">
        <f t="shared" si="12"/>
        <v>17742</v>
      </c>
      <c r="O30" s="373"/>
      <c r="P30" s="365"/>
      <c r="Q30" s="368">
        <f t="shared" si="13"/>
        <v>0</v>
      </c>
    </row>
    <row r="31" spans="1:17" s="15" customFormat="1" ht="16.5" thickBot="1">
      <c r="A31" s="357">
        <v>8</v>
      </c>
      <c r="B31" s="348" t="s">
        <v>181</v>
      </c>
      <c r="C31" s="392">
        <f aca="true" t="shared" si="14" ref="C31:Q31">SUM(C26:C30)</f>
        <v>0</v>
      </c>
      <c r="D31" s="358">
        <f t="shared" si="14"/>
        <v>0</v>
      </c>
      <c r="E31" s="364">
        <f t="shared" si="14"/>
        <v>0</v>
      </c>
      <c r="F31" s="374">
        <f t="shared" si="14"/>
        <v>0</v>
      </c>
      <c r="G31" s="358">
        <f t="shared" si="14"/>
        <v>0</v>
      </c>
      <c r="H31" s="374">
        <f t="shared" si="14"/>
        <v>0</v>
      </c>
      <c r="I31" s="392">
        <f t="shared" si="14"/>
        <v>0</v>
      </c>
      <c r="J31" s="358">
        <f t="shared" si="14"/>
        <v>0</v>
      </c>
      <c r="K31" s="364">
        <f t="shared" si="14"/>
        <v>0</v>
      </c>
      <c r="L31" s="392">
        <f t="shared" si="14"/>
        <v>14000</v>
      </c>
      <c r="M31" s="358">
        <f t="shared" si="14"/>
        <v>3742</v>
      </c>
      <c r="N31" s="374">
        <f t="shared" si="14"/>
        <v>17742</v>
      </c>
      <c r="O31" s="392">
        <f t="shared" si="14"/>
        <v>0</v>
      </c>
      <c r="P31" s="358">
        <f t="shared" si="14"/>
        <v>0</v>
      </c>
      <c r="Q31" s="364">
        <f t="shared" si="14"/>
        <v>0</v>
      </c>
    </row>
    <row r="32" spans="1:17" ht="16.5" thickBot="1">
      <c r="A32" s="357">
        <v>9</v>
      </c>
      <c r="B32" s="348" t="s">
        <v>187</v>
      </c>
      <c r="C32" s="362"/>
      <c r="D32" s="358"/>
      <c r="E32" s="364">
        <f>SUM(C32:D32)</f>
        <v>0</v>
      </c>
      <c r="F32" s="362"/>
      <c r="G32" s="358"/>
      <c r="H32" s="364">
        <f>SUM(F32:G32)</f>
        <v>0</v>
      </c>
      <c r="I32" s="362"/>
      <c r="J32" s="358"/>
      <c r="K32" s="364">
        <f>SUM(I32:J32)</f>
        <v>0</v>
      </c>
      <c r="L32" s="362"/>
      <c r="M32" s="358"/>
      <c r="N32" s="364">
        <f>SUM(L32:M32)</f>
        <v>0</v>
      </c>
      <c r="O32" s="392"/>
      <c r="P32" s="358"/>
      <c r="Q32" s="364">
        <f>SUM(O32:P32)</f>
        <v>0</v>
      </c>
    </row>
    <row r="33" spans="1:17" s="35" customFormat="1" ht="16.5" thickBot="1">
      <c r="A33" s="412">
        <v>10</v>
      </c>
      <c r="B33" s="413"/>
      <c r="C33" s="1242"/>
      <c r="D33" s="414"/>
      <c r="E33" s="1212">
        <f>SUM(C33:D33)</f>
        <v>0</v>
      </c>
      <c r="F33" s="173"/>
      <c r="G33" s="414"/>
      <c r="H33" s="1212">
        <f>SUM(F33:G33)</f>
        <v>0</v>
      </c>
      <c r="I33" s="173"/>
      <c r="J33" s="414"/>
      <c r="K33" s="1212">
        <f>SUM(I33:J33)</f>
        <v>0</v>
      </c>
      <c r="L33" s="173"/>
      <c r="M33" s="414"/>
      <c r="N33" s="1212">
        <f>SUM(L33:M33)</f>
        <v>0</v>
      </c>
      <c r="O33" s="173"/>
      <c r="P33" s="414"/>
      <c r="Q33" s="1212">
        <f>SUM(O33:P33)</f>
        <v>0</v>
      </c>
    </row>
    <row r="34" spans="1:21" s="38" customFormat="1" ht="17.25" thickBot="1" thickTop="1">
      <c r="A34" s="387" t="s">
        <v>118</v>
      </c>
      <c r="B34" s="411" t="s">
        <v>188</v>
      </c>
      <c r="C34" s="410">
        <f aca="true" t="shared" si="15" ref="C34:Q34">C11+C12+C13+C23+C14+C31+C25+C24+C32+C33</f>
        <v>124802</v>
      </c>
      <c r="D34" s="388">
        <f t="shared" si="15"/>
        <v>0</v>
      </c>
      <c r="E34" s="824">
        <f t="shared" si="15"/>
        <v>124802</v>
      </c>
      <c r="F34" s="410">
        <f t="shared" si="15"/>
        <v>89926</v>
      </c>
      <c r="G34" s="388">
        <f t="shared" si="15"/>
        <v>684</v>
      </c>
      <c r="H34" s="824">
        <f t="shared" si="15"/>
        <v>90610</v>
      </c>
      <c r="I34" s="410">
        <f t="shared" si="15"/>
        <v>6199</v>
      </c>
      <c r="J34" s="388">
        <f t="shared" si="15"/>
        <v>-1500</v>
      </c>
      <c r="K34" s="824">
        <f t="shared" si="15"/>
        <v>4699</v>
      </c>
      <c r="L34" s="410">
        <f t="shared" si="15"/>
        <v>14000</v>
      </c>
      <c r="M34" s="388">
        <f t="shared" si="15"/>
        <v>3742</v>
      </c>
      <c r="N34" s="824">
        <f t="shared" si="15"/>
        <v>17742</v>
      </c>
      <c r="O34" s="410">
        <f t="shared" si="15"/>
        <v>15</v>
      </c>
      <c r="P34" s="388">
        <f t="shared" si="15"/>
        <v>8000</v>
      </c>
      <c r="Q34" s="421">
        <f t="shared" si="15"/>
        <v>8015</v>
      </c>
      <c r="R34" s="69"/>
      <c r="S34" s="69"/>
      <c r="T34" s="69"/>
      <c r="U34" s="69"/>
    </row>
    <row r="35" spans="1:21" ht="17.25" thickBot="1" thickTop="1">
      <c r="A35" s="159"/>
      <c r="B35" s="391" t="s">
        <v>142</v>
      </c>
      <c r="C35" s="1182"/>
      <c r="D35" s="345"/>
      <c r="E35" s="1213"/>
      <c r="F35" s="935"/>
      <c r="G35" s="345"/>
      <c r="H35" s="1213"/>
      <c r="I35" s="983"/>
      <c r="J35" s="345"/>
      <c r="K35" s="1213"/>
      <c r="L35" s="983"/>
      <c r="M35" s="345"/>
      <c r="N35" s="1213"/>
      <c r="O35" s="1182"/>
      <c r="P35" s="345"/>
      <c r="Q35" s="1213"/>
      <c r="R35" s="32"/>
      <c r="S35" s="32"/>
      <c r="T35" s="32"/>
      <c r="U35" s="32"/>
    </row>
    <row r="36" spans="1:17" s="808" customFormat="1" ht="15">
      <c r="A36" s="815" t="s">
        <v>108</v>
      </c>
      <c r="B36" s="816" t="s">
        <v>418</v>
      </c>
      <c r="C36" s="1190"/>
      <c r="D36" s="817"/>
      <c r="E36" s="822">
        <f>SUM(C36:D36)</f>
        <v>0</v>
      </c>
      <c r="F36" s="821"/>
      <c r="G36" s="817"/>
      <c r="H36" s="822">
        <f>SUM(F36:G36)</f>
        <v>0</v>
      </c>
      <c r="I36" s="1190"/>
      <c r="J36" s="817"/>
      <c r="K36" s="822">
        <f>SUM(I36:J36)</f>
        <v>0</v>
      </c>
      <c r="L36" s="1190"/>
      <c r="M36" s="817"/>
      <c r="N36" s="822">
        <f>SUM(L36:M36)</f>
        <v>0</v>
      </c>
      <c r="O36" s="1190"/>
      <c r="P36" s="817"/>
      <c r="Q36" s="822">
        <f>SUM(O36:P36)</f>
        <v>0</v>
      </c>
    </row>
    <row r="37" spans="1:17" s="808" customFormat="1" ht="15">
      <c r="A37" s="168" t="s">
        <v>109</v>
      </c>
      <c r="B37" s="164" t="s">
        <v>259</v>
      </c>
      <c r="C37" s="954"/>
      <c r="D37" s="154"/>
      <c r="E37" s="177">
        <f>SUM(C37:D37)</f>
        <v>0</v>
      </c>
      <c r="F37" s="932"/>
      <c r="G37" s="154"/>
      <c r="H37" s="177">
        <f>SUM(F37:G37)</f>
        <v>0</v>
      </c>
      <c r="I37" s="954"/>
      <c r="J37" s="154"/>
      <c r="K37" s="177">
        <f>SUM(I37:J37)</f>
        <v>0</v>
      </c>
      <c r="L37" s="954"/>
      <c r="M37" s="154"/>
      <c r="N37" s="177">
        <f>SUM(L37:M37)</f>
        <v>0</v>
      </c>
      <c r="O37" s="954"/>
      <c r="P37" s="154"/>
      <c r="Q37" s="177">
        <f>SUM(O37:P37)</f>
        <v>0</v>
      </c>
    </row>
    <row r="38" spans="1:17" s="808" customFormat="1" ht="15">
      <c r="A38" s="379" t="s">
        <v>110</v>
      </c>
      <c r="B38" s="157" t="s">
        <v>419</v>
      </c>
      <c r="C38" s="1181"/>
      <c r="D38" s="365"/>
      <c r="E38" s="368">
        <f>SUM(C38:D38)</f>
        <v>0</v>
      </c>
      <c r="F38" s="172"/>
      <c r="G38" s="365"/>
      <c r="H38" s="368">
        <f>SUM(F38:G38)</f>
        <v>0</v>
      </c>
      <c r="I38" s="1181"/>
      <c r="J38" s="365"/>
      <c r="K38" s="368">
        <f>SUM(I38:J38)</f>
        <v>0</v>
      </c>
      <c r="L38" s="1181"/>
      <c r="M38" s="365"/>
      <c r="N38" s="368">
        <f>SUM(L38:M38)</f>
        <v>0</v>
      </c>
      <c r="O38" s="1181"/>
      <c r="P38" s="365"/>
      <c r="Q38" s="368">
        <f>SUM(O38:P38)</f>
        <v>0</v>
      </c>
    </row>
    <row r="39" spans="1:17" s="808" customFormat="1" ht="15.75" thickBot="1">
      <c r="A39" s="169" t="s">
        <v>111</v>
      </c>
      <c r="B39" s="170" t="s">
        <v>423</v>
      </c>
      <c r="C39" s="955"/>
      <c r="D39" s="166">
        <v>805</v>
      </c>
      <c r="E39" s="272">
        <f>SUM(C39:D39)</f>
        <v>805</v>
      </c>
      <c r="F39" s="933"/>
      <c r="G39" s="166"/>
      <c r="H39" s="272">
        <f>SUM(F39:G39)</f>
        <v>0</v>
      </c>
      <c r="I39" s="955"/>
      <c r="J39" s="166"/>
      <c r="K39" s="272">
        <f>SUM(I39:J39)</f>
        <v>0</v>
      </c>
      <c r="L39" s="955"/>
      <c r="M39" s="166"/>
      <c r="N39" s="272">
        <f>SUM(L39:M39)</f>
        <v>0</v>
      </c>
      <c r="O39" s="955"/>
      <c r="P39" s="166"/>
      <c r="Q39" s="272">
        <f>SUM(O39:P39)</f>
        <v>0</v>
      </c>
    </row>
    <row r="40" spans="1:17" s="15" customFormat="1" ht="16.5" thickBot="1">
      <c r="A40" s="357">
        <v>1</v>
      </c>
      <c r="B40" s="348" t="s">
        <v>185</v>
      </c>
      <c r="C40" s="392">
        <f aca="true" t="shared" si="16" ref="C40:Q40">SUM(C36:C39)</f>
        <v>0</v>
      </c>
      <c r="D40" s="358">
        <f t="shared" si="16"/>
        <v>805</v>
      </c>
      <c r="E40" s="364">
        <f t="shared" si="16"/>
        <v>805</v>
      </c>
      <c r="F40" s="392">
        <f t="shared" si="16"/>
        <v>0</v>
      </c>
      <c r="G40" s="358">
        <f t="shared" si="16"/>
        <v>0</v>
      </c>
      <c r="H40" s="364">
        <f t="shared" si="16"/>
        <v>0</v>
      </c>
      <c r="I40" s="392">
        <f t="shared" si="16"/>
        <v>0</v>
      </c>
      <c r="J40" s="358">
        <f t="shared" si="16"/>
        <v>0</v>
      </c>
      <c r="K40" s="364">
        <f t="shared" si="16"/>
        <v>0</v>
      </c>
      <c r="L40" s="392">
        <f t="shared" si="16"/>
        <v>0</v>
      </c>
      <c r="M40" s="358">
        <f t="shared" si="16"/>
        <v>0</v>
      </c>
      <c r="N40" s="364">
        <f t="shared" si="16"/>
        <v>0</v>
      </c>
      <c r="O40" s="392">
        <f t="shared" si="16"/>
        <v>0</v>
      </c>
      <c r="P40" s="358">
        <f t="shared" si="16"/>
        <v>0</v>
      </c>
      <c r="Q40" s="364">
        <f t="shared" si="16"/>
        <v>0</v>
      </c>
    </row>
    <row r="41" spans="1:17" ht="15">
      <c r="A41" s="171" t="s">
        <v>108</v>
      </c>
      <c r="B41" s="160" t="s">
        <v>445</v>
      </c>
      <c r="C41" s="1180"/>
      <c r="D41" s="256"/>
      <c r="E41" s="258">
        <f>SUM(C41:D41)</f>
        <v>0</v>
      </c>
      <c r="F41" s="934"/>
      <c r="G41" s="256"/>
      <c r="H41" s="258">
        <f>SUM(F41:G41)</f>
        <v>0</v>
      </c>
      <c r="I41" s="1180"/>
      <c r="J41" s="256"/>
      <c r="K41" s="258">
        <f>SUM(I41:J41)</f>
        <v>0</v>
      </c>
      <c r="L41" s="1180"/>
      <c r="M41" s="256"/>
      <c r="N41" s="258">
        <f>SUM(L41:M41)</f>
        <v>0</v>
      </c>
      <c r="O41" s="1180"/>
      <c r="P41" s="256"/>
      <c r="Q41" s="258">
        <f>SUM(O41:P41)</f>
        <v>0</v>
      </c>
    </row>
    <row r="42" spans="1:17" ht="15">
      <c r="A42" s="168" t="s">
        <v>109</v>
      </c>
      <c r="B42" s="164" t="s">
        <v>420</v>
      </c>
      <c r="C42" s="954"/>
      <c r="D42" s="154"/>
      <c r="E42" s="177">
        <f>SUM(C42:D42)</f>
        <v>0</v>
      </c>
      <c r="F42" s="932"/>
      <c r="G42" s="154"/>
      <c r="H42" s="177">
        <f>SUM(F42:G42)</f>
        <v>0</v>
      </c>
      <c r="I42" s="954"/>
      <c r="J42" s="154"/>
      <c r="K42" s="177">
        <f>SUM(I42:J42)</f>
        <v>0</v>
      </c>
      <c r="L42" s="954"/>
      <c r="M42" s="154"/>
      <c r="N42" s="177">
        <f>SUM(L42:M42)</f>
        <v>0</v>
      </c>
      <c r="O42" s="954"/>
      <c r="P42" s="154"/>
      <c r="Q42" s="177">
        <f>SUM(O42:P42)</f>
        <v>0</v>
      </c>
    </row>
    <row r="43" spans="1:17" ht="15">
      <c r="A43" s="168" t="s">
        <v>110</v>
      </c>
      <c r="B43" s="164" t="s">
        <v>421</v>
      </c>
      <c r="C43" s="954"/>
      <c r="D43" s="154"/>
      <c r="E43" s="177">
        <f>SUM(C43:D43)</f>
        <v>0</v>
      </c>
      <c r="F43" s="932"/>
      <c r="G43" s="154"/>
      <c r="H43" s="177">
        <f>SUM(F43:G43)</f>
        <v>0</v>
      </c>
      <c r="I43" s="954"/>
      <c r="J43" s="154"/>
      <c r="K43" s="177">
        <f>SUM(I43:J43)</f>
        <v>0</v>
      </c>
      <c r="L43" s="954"/>
      <c r="M43" s="154"/>
      <c r="N43" s="177">
        <f>SUM(L43:M43)</f>
        <v>0</v>
      </c>
      <c r="O43" s="954"/>
      <c r="P43" s="154"/>
      <c r="Q43" s="177">
        <f>SUM(O43:P43)</f>
        <v>0</v>
      </c>
    </row>
    <row r="44" spans="1:17" ht="15.75" thickBot="1">
      <c r="A44" s="169" t="s">
        <v>111</v>
      </c>
      <c r="B44" s="170" t="s">
        <v>183</v>
      </c>
      <c r="C44" s="955"/>
      <c r="D44" s="166"/>
      <c r="E44" s="272">
        <f>SUM(C44:D44)</f>
        <v>0</v>
      </c>
      <c r="F44" s="933"/>
      <c r="G44" s="166"/>
      <c r="H44" s="272">
        <f>SUM(F44:G44)</f>
        <v>0</v>
      </c>
      <c r="I44" s="955"/>
      <c r="J44" s="166"/>
      <c r="K44" s="272">
        <f>SUM(I44:J44)</f>
        <v>0</v>
      </c>
      <c r="L44" s="955"/>
      <c r="M44" s="166"/>
      <c r="N44" s="272">
        <f>SUM(L44:M44)</f>
        <v>0</v>
      </c>
      <c r="O44" s="955"/>
      <c r="P44" s="166"/>
      <c r="Q44" s="272">
        <f>SUM(O44:P44)</f>
        <v>0</v>
      </c>
    </row>
    <row r="45" spans="1:17" s="15" customFormat="1" ht="16.5" thickBot="1">
      <c r="A45" s="357">
        <v>2</v>
      </c>
      <c r="B45" s="348" t="s">
        <v>184</v>
      </c>
      <c r="C45" s="392">
        <f>SUM(C41:C44)</f>
        <v>0</v>
      </c>
      <c r="D45" s="358">
        <f aca="true" t="shared" si="17" ref="D45:Q45">SUM(D41:D44)</f>
        <v>0</v>
      </c>
      <c r="E45" s="360">
        <f t="shared" si="17"/>
        <v>0</v>
      </c>
      <c r="F45" s="392">
        <f t="shared" si="17"/>
        <v>0</v>
      </c>
      <c r="G45" s="358">
        <f t="shared" si="17"/>
        <v>0</v>
      </c>
      <c r="H45" s="360">
        <f t="shared" si="17"/>
        <v>0</v>
      </c>
      <c r="I45" s="392">
        <f t="shared" si="17"/>
        <v>0</v>
      </c>
      <c r="J45" s="358">
        <f t="shared" si="17"/>
        <v>0</v>
      </c>
      <c r="K45" s="360">
        <f t="shared" si="17"/>
        <v>0</v>
      </c>
      <c r="L45" s="392">
        <f t="shared" si="17"/>
        <v>0</v>
      </c>
      <c r="M45" s="358">
        <f t="shared" si="17"/>
        <v>0</v>
      </c>
      <c r="N45" s="374">
        <f t="shared" si="17"/>
        <v>0</v>
      </c>
      <c r="O45" s="392">
        <f t="shared" si="17"/>
        <v>0</v>
      </c>
      <c r="P45" s="358">
        <f t="shared" si="17"/>
        <v>0</v>
      </c>
      <c r="Q45" s="364">
        <f t="shared" si="17"/>
        <v>0</v>
      </c>
    </row>
    <row r="46" spans="1:17" s="15" customFormat="1" ht="16.5" thickBot="1">
      <c r="A46" s="357">
        <v>3</v>
      </c>
      <c r="B46" s="348" t="s">
        <v>278</v>
      </c>
      <c r="C46" s="392"/>
      <c r="D46" s="358">
        <v>617</v>
      </c>
      <c r="E46" s="360">
        <f>SUM(C46:D46)</f>
        <v>617</v>
      </c>
      <c r="F46" s="392"/>
      <c r="G46" s="358"/>
      <c r="H46" s="360">
        <f>SUM(F46:G46)</f>
        <v>0</v>
      </c>
      <c r="I46" s="392"/>
      <c r="J46" s="358"/>
      <c r="K46" s="360">
        <f>SUM(I46:J46)</f>
        <v>0</v>
      </c>
      <c r="L46" s="392"/>
      <c r="M46" s="358"/>
      <c r="N46" s="374">
        <f>SUM(L46:M46)</f>
        <v>0</v>
      </c>
      <c r="O46" s="392"/>
      <c r="P46" s="358"/>
      <c r="Q46" s="364">
        <f>SUM(O46:P46)</f>
        <v>0</v>
      </c>
    </row>
    <row r="47" spans="1:17" ht="16.5" thickBot="1">
      <c r="A47" s="357">
        <v>4</v>
      </c>
      <c r="B47" s="348" t="s">
        <v>299</v>
      </c>
      <c r="C47" s="392"/>
      <c r="D47" s="358">
        <v>20</v>
      </c>
      <c r="E47" s="360">
        <f>SUM(C47:D47)</f>
        <v>20</v>
      </c>
      <c r="F47" s="392"/>
      <c r="G47" s="358"/>
      <c r="H47" s="360">
        <f>SUM(F47:G47)</f>
        <v>0</v>
      </c>
      <c r="I47" s="392"/>
      <c r="J47" s="358"/>
      <c r="K47" s="360">
        <f>SUM(I47:J47)</f>
        <v>0</v>
      </c>
      <c r="L47" s="392"/>
      <c r="M47" s="358"/>
      <c r="N47" s="374">
        <f>SUM(L47:M47)</f>
        <v>0</v>
      </c>
      <c r="O47" s="392"/>
      <c r="P47" s="358"/>
      <c r="Q47" s="364">
        <f>SUM(O47:P47)</f>
        <v>0</v>
      </c>
    </row>
    <row r="48" spans="1:17" s="808" customFormat="1" ht="15">
      <c r="A48" s="171" t="s">
        <v>108</v>
      </c>
      <c r="B48" s="157" t="s">
        <v>305</v>
      </c>
      <c r="C48" s="1180"/>
      <c r="D48" s="256"/>
      <c r="E48" s="258">
        <f>SUM(C48:D48)</f>
        <v>0</v>
      </c>
      <c r="F48" s="934"/>
      <c r="G48" s="256"/>
      <c r="H48" s="258">
        <f>SUM(F48:G48)</f>
        <v>0</v>
      </c>
      <c r="I48" s="1180"/>
      <c r="J48" s="256"/>
      <c r="K48" s="258">
        <f>SUM(I48:J48)</f>
        <v>0</v>
      </c>
      <c r="L48" s="1180"/>
      <c r="M48" s="256"/>
      <c r="N48" s="258">
        <f>SUM(L48:M48)</f>
        <v>0</v>
      </c>
      <c r="O48" s="1180"/>
      <c r="P48" s="256"/>
      <c r="Q48" s="258">
        <f>SUM(O48:P48)</f>
        <v>0</v>
      </c>
    </row>
    <row r="49" spans="1:17" ht="15">
      <c r="A49" s="169" t="s">
        <v>109</v>
      </c>
      <c r="B49" s="378" t="s">
        <v>422</v>
      </c>
      <c r="C49" s="954"/>
      <c r="D49" s="154"/>
      <c r="E49" s="177">
        <f>SUM(C49:D49)</f>
        <v>0</v>
      </c>
      <c r="F49" s="932"/>
      <c r="G49" s="154"/>
      <c r="H49" s="177">
        <f>SUM(F49:G49)</f>
        <v>0</v>
      </c>
      <c r="I49" s="954"/>
      <c r="J49" s="154"/>
      <c r="K49" s="177">
        <f>SUM(I49:J49)</f>
        <v>0</v>
      </c>
      <c r="L49" s="954"/>
      <c r="M49" s="154"/>
      <c r="N49" s="177">
        <f>SUM(L49:M49)</f>
        <v>0</v>
      </c>
      <c r="O49" s="954"/>
      <c r="P49" s="154"/>
      <c r="Q49" s="177">
        <f>SUM(O49:P49)</f>
        <v>0</v>
      </c>
    </row>
    <row r="50" spans="1:17" ht="15.75" thickBot="1">
      <c r="A50" s="169" t="s">
        <v>110</v>
      </c>
      <c r="B50" s="378" t="s">
        <v>455</v>
      </c>
      <c r="C50" s="954"/>
      <c r="D50" s="154"/>
      <c r="E50" s="177">
        <f>SUM(C50:D50)</f>
        <v>0</v>
      </c>
      <c r="F50" s="932"/>
      <c r="G50" s="154"/>
      <c r="H50" s="177">
        <f>SUM(F50:G50)</f>
        <v>0</v>
      </c>
      <c r="I50" s="954"/>
      <c r="J50" s="154"/>
      <c r="K50" s="177">
        <f>SUM(I50:J50)</f>
        <v>0</v>
      </c>
      <c r="L50" s="954"/>
      <c r="M50" s="154"/>
      <c r="N50" s="177">
        <f>SUM(L50:M50)</f>
        <v>0</v>
      </c>
      <c r="O50" s="954"/>
      <c r="P50" s="154"/>
      <c r="Q50" s="177">
        <f>SUM(O50:P50)</f>
        <v>0</v>
      </c>
    </row>
    <row r="51" spans="1:17" s="15" customFormat="1" ht="16.5" thickBot="1">
      <c r="A51" s="357">
        <v>5</v>
      </c>
      <c r="B51" s="348" t="s">
        <v>186</v>
      </c>
      <c r="C51" s="392">
        <f>SUM(C48:C50)</f>
        <v>0</v>
      </c>
      <c r="D51" s="358">
        <f>SUM(D48:D50)</f>
        <v>0</v>
      </c>
      <c r="E51" s="360">
        <f aca="true" t="shared" si="18" ref="E51:Q51">SUM(E48:E50)</f>
        <v>0</v>
      </c>
      <c r="F51" s="392">
        <f t="shared" si="18"/>
        <v>0</v>
      </c>
      <c r="G51" s="358">
        <f t="shared" si="18"/>
        <v>0</v>
      </c>
      <c r="H51" s="360">
        <f t="shared" si="18"/>
        <v>0</v>
      </c>
      <c r="I51" s="392">
        <f t="shared" si="18"/>
        <v>0</v>
      </c>
      <c r="J51" s="358">
        <f t="shared" si="18"/>
        <v>0</v>
      </c>
      <c r="K51" s="360">
        <f t="shared" si="18"/>
        <v>0</v>
      </c>
      <c r="L51" s="392">
        <f t="shared" si="18"/>
        <v>0</v>
      </c>
      <c r="M51" s="358">
        <f t="shared" si="18"/>
        <v>0</v>
      </c>
      <c r="N51" s="360">
        <f t="shared" si="18"/>
        <v>0</v>
      </c>
      <c r="O51" s="392">
        <f t="shared" si="18"/>
        <v>0</v>
      </c>
      <c r="P51" s="358">
        <f t="shared" si="18"/>
        <v>0</v>
      </c>
      <c r="Q51" s="364">
        <f t="shared" si="18"/>
        <v>0</v>
      </c>
    </row>
    <row r="52" spans="1:17" s="15" customFormat="1" ht="16.5" thickBot="1">
      <c r="A52" s="811">
        <v>6</v>
      </c>
      <c r="B52" s="812" t="s">
        <v>309</v>
      </c>
      <c r="C52" s="1183"/>
      <c r="D52" s="383"/>
      <c r="E52" s="376">
        <f>SUM(C52:D52)</f>
        <v>0</v>
      </c>
      <c r="F52" s="377"/>
      <c r="G52" s="383"/>
      <c r="H52" s="376">
        <f>SUM(F52:G52)</f>
        <v>0</v>
      </c>
      <c r="I52" s="1189"/>
      <c r="J52" s="383"/>
      <c r="K52" s="376">
        <f>SUM(I52:J52)</f>
        <v>0</v>
      </c>
      <c r="L52" s="1189"/>
      <c r="M52" s="383"/>
      <c r="N52" s="376">
        <f>SUM(L52:M52)</f>
        <v>0</v>
      </c>
      <c r="O52" s="1189"/>
      <c r="P52" s="383"/>
      <c r="Q52" s="376">
        <f>SUM(O52:P52)</f>
        <v>0</v>
      </c>
    </row>
    <row r="53" spans="1:17" ht="15">
      <c r="A53" s="152" t="s">
        <v>108</v>
      </c>
      <c r="B53" s="153" t="s">
        <v>424</v>
      </c>
      <c r="C53" s="1184"/>
      <c r="D53" s="155"/>
      <c r="E53" s="215">
        <f>SUM(C53:D53)</f>
        <v>0</v>
      </c>
      <c r="F53" s="936"/>
      <c r="G53" s="155"/>
      <c r="H53" s="215">
        <f>SUM(F53:G53)</f>
        <v>0</v>
      </c>
      <c r="I53" s="1184"/>
      <c r="J53" s="155"/>
      <c r="K53" s="215">
        <f>SUM(I53:J53)</f>
        <v>0</v>
      </c>
      <c r="L53" s="1184"/>
      <c r="M53" s="155"/>
      <c r="N53" s="215">
        <f>SUM(L53:M53)</f>
        <v>0</v>
      </c>
      <c r="O53" s="1184"/>
      <c r="P53" s="155"/>
      <c r="Q53" s="215">
        <f>SUM(O53:P53)</f>
        <v>0</v>
      </c>
    </row>
    <row r="54" spans="1:17" ht="15.75" thickBot="1">
      <c r="A54" s="379" t="s">
        <v>109</v>
      </c>
      <c r="B54" s="157" t="s">
        <v>425</v>
      </c>
      <c r="C54" s="1181"/>
      <c r="D54" s="365"/>
      <c r="E54" s="368">
        <f>SUM(C54:D54)</f>
        <v>0</v>
      </c>
      <c r="F54" s="172"/>
      <c r="G54" s="365"/>
      <c r="H54" s="368">
        <f>SUM(F54:G54)</f>
        <v>0</v>
      </c>
      <c r="I54" s="1181"/>
      <c r="J54" s="365"/>
      <c r="K54" s="368">
        <f>SUM(I54:J54)</f>
        <v>0</v>
      </c>
      <c r="L54" s="1181"/>
      <c r="M54" s="365"/>
      <c r="N54" s="368">
        <f>SUM(L54:M54)</f>
        <v>0</v>
      </c>
      <c r="O54" s="1181"/>
      <c r="P54" s="365"/>
      <c r="Q54" s="368">
        <f>SUM(O54:P54)</f>
        <v>0</v>
      </c>
    </row>
    <row r="55" spans="1:17" s="15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>
        <f aca="true" t="shared" si="19" ref="D55:Q55">SUM(D53:D54)</f>
        <v>0</v>
      </c>
      <c r="E55" s="360">
        <f t="shared" si="19"/>
        <v>0</v>
      </c>
      <c r="F55" s="392">
        <f t="shared" si="19"/>
        <v>0</v>
      </c>
      <c r="G55" s="358">
        <f t="shared" si="19"/>
        <v>0</v>
      </c>
      <c r="H55" s="360">
        <f t="shared" si="19"/>
        <v>0</v>
      </c>
      <c r="I55" s="392">
        <f t="shared" si="19"/>
        <v>0</v>
      </c>
      <c r="J55" s="358">
        <f t="shared" si="19"/>
        <v>0</v>
      </c>
      <c r="K55" s="360">
        <f t="shared" si="19"/>
        <v>0</v>
      </c>
      <c r="L55" s="392">
        <f t="shared" si="19"/>
        <v>0</v>
      </c>
      <c r="M55" s="358">
        <f t="shared" si="19"/>
        <v>0</v>
      </c>
      <c r="N55" s="360">
        <f t="shared" si="19"/>
        <v>0</v>
      </c>
      <c r="O55" s="1191">
        <f t="shared" si="19"/>
        <v>0</v>
      </c>
      <c r="P55" s="1193">
        <f t="shared" si="19"/>
        <v>0</v>
      </c>
      <c r="Q55" s="1195">
        <f t="shared" si="19"/>
        <v>0</v>
      </c>
    </row>
    <row r="56" spans="1:17" s="28" customFormat="1" ht="19.5" customHeight="1" thickBot="1">
      <c r="A56" s="762">
        <v>8</v>
      </c>
      <c r="B56" s="763" t="s">
        <v>46</v>
      </c>
      <c r="C56" s="1216">
        <f>C34-C40-C45-C46-C47-C51-C52-C55-C57-C58-C59</f>
        <v>124802</v>
      </c>
      <c r="D56" s="1217">
        <f>D34-D40-D45-D46-D47-D51-D52-D55-D57-D58-D59</f>
        <v>-1442</v>
      </c>
      <c r="E56" s="1214">
        <f aca="true" t="shared" si="20" ref="E56:Q56">E34-E40-E45-E46-E47-E51-E52-E55-E57-E58-E59</f>
        <v>123360</v>
      </c>
      <c r="F56" s="1216">
        <f t="shared" si="20"/>
        <v>89926</v>
      </c>
      <c r="G56" s="1217">
        <f t="shared" si="20"/>
        <v>684</v>
      </c>
      <c r="H56" s="1214">
        <f t="shared" si="20"/>
        <v>90610</v>
      </c>
      <c r="I56" s="1216">
        <f t="shared" si="20"/>
        <v>6199</v>
      </c>
      <c r="J56" s="1217">
        <f t="shared" si="20"/>
        <v>-1500</v>
      </c>
      <c r="K56" s="1214">
        <f t="shared" si="20"/>
        <v>4699</v>
      </c>
      <c r="L56" s="1216">
        <f t="shared" si="20"/>
        <v>14000</v>
      </c>
      <c r="M56" s="1217">
        <f t="shared" si="20"/>
        <v>3742</v>
      </c>
      <c r="N56" s="1214">
        <f t="shared" si="20"/>
        <v>17742</v>
      </c>
      <c r="O56" s="1239">
        <f t="shared" si="20"/>
        <v>15</v>
      </c>
      <c r="P56" s="1241">
        <f t="shared" si="20"/>
        <v>8000</v>
      </c>
      <c r="Q56" s="1229">
        <f t="shared" si="20"/>
        <v>8015</v>
      </c>
    </row>
    <row r="57" spans="1:17" s="15" customFormat="1" ht="15.75">
      <c r="A57" s="380" t="s">
        <v>427</v>
      </c>
      <c r="B57" s="381" t="s">
        <v>192</v>
      </c>
      <c r="C57" s="1186"/>
      <c r="D57" s="371"/>
      <c r="E57" s="1215">
        <f>SUM(C57:D57)</f>
        <v>0</v>
      </c>
      <c r="F57" s="937"/>
      <c r="G57" s="371"/>
      <c r="H57" s="1215">
        <f>SUM(F57:G57)</f>
        <v>0</v>
      </c>
      <c r="I57" s="1186"/>
      <c r="J57" s="371"/>
      <c r="K57" s="1215">
        <f>SUM(I57:J57)</f>
        <v>0</v>
      </c>
      <c r="L57" s="1186"/>
      <c r="M57" s="371"/>
      <c r="N57" s="1215">
        <f>SUM(L57:M57)</f>
        <v>0</v>
      </c>
      <c r="O57" s="1186"/>
      <c r="P57" s="371"/>
      <c r="Q57" s="1215">
        <f>SUM(O57:P57)</f>
        <v>0</v>
      </c>
    </row>
    <row r="58" spans="1:17" s="15" customFormat="1" ht="15.75">
      <c r="A58" s="380" t="s">
        <v>191</v>
      </c>
      <c r="B58" s="381" t="s">
        <v>426</v>
      </c>
      <c r="C58" s="370"/>
      <c r="D58" s="371"/>
      <c r="E58" s="449">
        <f>SUM(C58:D58)</f>
        <v>0</v>
      </c>
      <c r="F58" s="937"/>
      <c r="G58" s="371"/>
      <c r="H58" s="1215">
        <f>SUM(F58:G58)</f>
        <v>0</v>
      </c>
      <c r="I58" s="1186"/>
      <c r="J58" s="371"/>
      <c r="K58" s="1215">
        <f>SUM(I58:J58)</f>
        <v>0</v>
      </c>
      <c r="L58" s="1186"/>
      <c r="M58" s="371"/>
      <c r="N58" s="1215">
        <f>SUM(L58:M58)</f>
        <v>0</v>
      </c>
      <c r="O58" s="370"/>
      <c r="P58" s="371"/>
      <c r="Q58" s="449">
        <f>SUM(O58:P58)</f>
        <v>0</v>
      </c>
    </row>
    <row r="59" spans="1:17" s="15" customFormat="1" ht="16.5" thickBot="1">
      <c r="A59" s="396">
        <v>10</v>
      </c>
      <c r="B59" s="397"/>
      <c r="C59" s="398"/>
      <c r="D59" s="399"/>
      <c r="E59" s="453">
        <f>SUM(C59:D59)</f>
        <v>0</v>
      </c>
      <c r="F59" s="401"/>
      <c r="G59" s="399"/>
      <c r="H59" s="454">
        <f>SUM(F59:G59)</f>
        <v>0</v>
      </c>
      <c r="I59" s="398"/>
      <c r="J59" s="399"/>
      <c r="K59" s="454">
        <f>SUM(I59:J59)</f>
        <v>0</v>
      </c>
      <c r="L59" s="398"/>
      <c r="M59" s="399"/>
      <c r="N59" s="454">
        <f>SUM(L59:M59)</f>
        <v>0</v>
      </c>
      <c r="O59" s="398"/>
      <c r="P59" s="399"/>
      <c r="Q59" s="454">
        <f>SUM(O59:P59)</f>
        <v>0</v>
      </c>
    </row>
    <row r="60" spans="1:17" s="35" customFormat="1" ht="17.25" thickBot="1" thickTop="1">
      <c r="A60" s="387" t="s">
        <v>119</v>
      </c>
      <c r="B60" s="390" t="s">
        <v>190</v>
      </c>
      <c r="C60" s="825">
        <f>C40+C45+C46+C47+C51+C52+C55+C56+C57+C58+C59</f>
        <v>124802</v>
      </c>
      <c r="D60" s="826">
        <f aca="true" t="shared" si="21" ref="D60:Q60">D40+D45+D46+D47+D51+D52+D55+D56+D57+D58+D59</f>
        <v>0</v>
      </c>
      <c r="E60" s="824">
        <f t="shared" si="21"/>
        <v>124802</v>
      </c>
      <c r="F60" s="409">
        <f t="shared" si="21"/>
        <v>89926</v>
      </c>
      <c r="G60" s="388">
        <f t="shared" si="21"/>
        <v>684</v>
      </c>
      <c r="H60" s="824">
        <f t="shared" si="21"/>
        <v>90610</v>
      </c>
      <c r="I60" s="825">
        <f t="shared" si="21"/>
        <v>6199</v>
      </c>
      <c r="J60" s="826">
        <f t="shared" si="21"/>
        <v>-1500</v>
      </c>
      <c r="K60" s="824">
        <f t="shared" si="21"/>
        <v>4699</v>
      </c>
      <c r="L60" s="409">
        <f t="shared" si="21"/>
        <v>14000</v>
      </c>
      <c r="M60" s="388">
        <f t="shared" si="21"/>
        <v>3742</v>
      </c>
      <c r="N60" s="824">
        <f t="shared" si="21"/>
        <v>17742</v>
      </c>
      <c r="O60" s="409">
        <f t="shared" si="21"/>
        <v>15</v>
      </c>
      <c r="P60" s="388">
        <f t="shared" si="21"/>
        <v>8000</v>
      </c>
      <c r="Q60" s="421">
        <f t="shared" si="21"/>
        <v>8015</v>
      </c>
    </row>
    <row r="61" spans="1:17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6.5" thickBot="1" thickTop="1">
      <c r="A62" s="182"/>
      <c r="B62" s="183" t="s">
        <v>580</v>
      </c>
      <c r="C62" s="216">
        <v>0</v>
      </c>
      <c r="D62" s="459"/>
      <c r="E62" s="460">
        <f>SUM(C62:D62)</f>
        <v>0</v>
      </c>
      <c r="F62" s="216"/>
      <c r="G62" s="461"/>
      <c r="H62" s="460">
        <f>SUM(F62:G62)</f>
        <v>0</v>
      </c>
      <c r="I62" s="216">
        <v>0</v>
      </c>
      <c r="J62" s="461"/>
      <c r="K62" s="460">
        <f>SUM(I62:J62)</f>
        <v>0</v>
      </c>
      <c r="L62" s="216">
        <v>0</v>
      </c>
      <c r="M62" s="461"/>
      <c r="N62" s="460">
        <f>SUM(L62:M62)</f>
        <v>0</v>
      </c>
      <c r="O62" s="216">
        <v>0</v>
      </c>
      <c r="P62" s="461"/>
      <c r="Q62" s="460">
        <f>SUM(O62:P62)</f>
        <v>0</v>
      </c>
    </row>
    <row r="63" spans="1:17" ht="16.5" thickBot="1" thickTop="1">
      <c r="A63" s="182"/>
      <c r="B63" s="183" t="s">
        <v>581</v>
      </c>
      <c r="C63" s="216"/>
      <c r="D63" s="459"/>
      <c r="E63" s="460">
        <f>SUM(C63:D63)</f>
        <v>0</v>
      </c>
      <c r="F63" s="216">
        <v>0</v>
      </c>
      <c r="G63" s="461"/>
      <c r="H63" s="460">
        <f>SUM(F63:G63)</f>
        <v>0</v>
      </c>
      <c r="I63" s="216">
        <v>0</v>
      </c>
      <c r="J63" s="461"/>
      <c r="K63" s="460">
        <f>SUM(I63:J63)</f>
        <v>0</v>
      </c>
      <c r="L63" s="216">
        <v>0</v>
      </c>
      <c r="M63" s="461"/>
      <c r="N63" s="460">
        <f>SUM(L63:M63)</f>
        <v>0</v>
      </c>
      <c r="O63" s="216">
        <v>0</v>
      </c>
      <c r="P63" s="461"/>
      <c r="Q63" s="460">
        <f>SUM(O63:P63)</f>
        <v>0</v>
      </c>
    </row>
    <row r="64" ht="16.5" thickTop="1">
      <c r="A64" s="465"/>
    </row>
    <row r="65" ht="15.75">
      <c r="A65" s="465"/>
    </row>
  </sheetData>
  <sheetProtection/>
  <mergeCells count="7">
    <mergeCell ref="A4:Q4"/>
    <mergeCell ref="A5:Q5"/>
    <mergeCell ref="O7:Q7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4" sqref="A4:Q4"/>
      <selection pane="topRight" activeCell="A4" sqref="A4:Q4"/>
      <selection pane="bottomLeft" activeCell="A4" sqref="A4:Q4"/>
      <selection pane="bottomRight" activeCell="Q1" sqref="Q1"/>
    </sheetView>
  </sheetViews>
  <sheetFormatPr defaultColWidth="9.00390625" defaultRowHeight="12.75"/>
  <cols>
    <col min="1" max="1" width="5.375" style="466" customWidth="1"/>
    <col min="2" max="2" width="78.375" style="433" customWidth="1"/>
    <col min="3" max="14" width="14.625" style="433" customWidth="1"/>
    <col min="15" max="17" width="14.625" style="447" customWidth="1"/>
    <col min="18" max="16384" width="9.375" style="5" customWidth="1"/>
  </cols>
  <sheetData>
    <row r="1" spans="1:17" ht="10.5" customHeight="1">
      <c r="A1" s="346"/>
      <c r="B1" s="347"/>
      <c r="C1" s="347"/>
      <c r="K1" s="941"/>
      <c r="Q1" s="940" t="s">
        <v>871</v>
      </c>
    </row>
    <row r="2" spans="1:17" ht="12.75" customHeight="1">
      <c r="A2" s="346"/>
      <c r="B2" s="347"/>
      <c r="C2" s="347"/>
      <c r="K2" s="941"/>
      <c r="Q2" s="940" t="s">
        <v>102</v>
      </c>
    </row>
    <row r="3" spans="1:17" ht="15">
      <c r="A3" s="346"/>
      <c r="B3" s="347"/>
      <c r="C3" s="347"/>
      <c r="K3" s="941"/>
      <c r="Q3" s="941" t="s">
        <v>153</v>
      </c>
    </row>
    <row r="4" spans="1:17" s="92" customFormat="1" ht="20.25">
      <c r="A4" s="1844" t="s">
        <v>103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</row>
    <row r="5" spans="1:17" s="93" customFormat="1" ht="18">
      <c r="A5" s="1845" t="s">
        <v>572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5"/>
      <c r="L5" s="1845"/>
      <c r="M5" s="1845"/>
      <c r="N5" s="1845"/>
      <c r="O5" s="1845"/>
      <c r="P5" s="1845"/>
      <c r="Q5" s="1845"/>
    </row>
    <row r="6" spans="1:17" ht="45" customHeight="1" thickBot="1">
      <c r="A6" s="346"/>
      <c r="B6" s="347"/>
      <c r="C6" s="347"/>
      <c r="K6" s="988"/>
      <c r="L6" s="979"/>
      <c r="M6" s="979"/>
      <c r="O6" s="989"/>
      <c r="P6" s="989"/>
      <c r="Q6" s="990" t="s">
        <v>145</v>
      </c>
    </row>
    <row r="7" spans="1:17" s="277" customFormat="1" ht="37.5" customHeight="1">
      <c r="A7" s="131" t="s">
        <v>135</v>
      </c>
      <c r="B7" s="276" t="s">
        <v>136</v>
      </c>
      <c r="C7" s="1833" t="s">
        <v>471</v>
      </c>
      <c r="D7" s="1852"/>
      <c r="E7" s="1853"/>
      <c r="F7" s="1833" t="s">
        <v>69</v>
      </c>
      <c r="G7" s="1854"/>
      <c r="H7" s="1853"/>
      <c r="I7" s="1833" t="s">
        <v>85</v>
      </c>
      <c r="J7" s="1854"/>
      <c r="K7" s="1853"/>
      <c r="L7" s="1829" t="s">
        <v>61</v>
      </c>
      <c r="M7" s="1830"/>
      <c r="N7" s="1831"/>
      <c r="O7" s="1833" t="s">
        <v>62</v>
      </c>
      <c r="P7" s="1854"/>
      <c r="Q7" s="1853"/>
    </row>
    <row r="8" spans="1:17" ht="24.75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24" t="s">
        <v>463</v>
      </c>
      <c r="P8" s="23" t="s">
        <v>139</v>
      </c>
      <c r="Q8" s="11" t="s">
        <v>665</v>
      </c>
    </row>
    <row r="9" spans="1:17" s="94" customFormat="1" ht="13.5" customHeight="1" thickBot="1">
      <c r="A9" s="467">
        <v>1</v>
      </c>
      <c r="B9" s="467">
        <v>2</v>
      </c>
      <c r="C9" s="468">
        <v>3</v>
      </c>
      <c r="D9" s="469">
        <v>4</v>
      </c>
      <c r="E9" s="471">
        <v>5</v>
      </c>
      <c r="F9" s="469">
        <v>6</v>
      </c>
      <c r="G9" s="469">
        <v>7</v>
      </c>
      <c r="H9" s="469">
        <v>8</v>
      </c>
      <c r="I9" s="468">
        <v>9</v>
      </c>
      <c r="J9" s="469">
        <v>10</v>
      </c>
      <c r="K9" s="471">
        <v>11</v>
      </c>
      <c r="L9" s="469">
        <v>12</v>
      </c>
      <c r="M9" s="469">
        <v>13</v>
      </c>
      <c r="N9" s="471">
        <v>14</v>
      </c>
      <c r="O9" s="469">
        <v>15</v>
      </c>
      <c r="P9" s="469">
        <v>16</v>
      </c>
      <c r="Q9" s="471">
        <v>17</v>
      </c>
    </row>
    <row r="10" spans="1:17" s="433" customFormat="1" ht="16.5" thickBot="1">
      <c r="A10" s="427"/>
      <c r="B10" s="391" t="s">
        <v>140</v>
      </c>
      <c r="C10" s="428"/>
      <c r="D10" s="429"/>
      <c r="E10" s="430"/>
      <c r="F10" s="431"/>
      <c r="G10" s="432"/>
      <c r="H10" s="430"/>
      <c r="I10" s="431"/>
      <c r="J10" s="432"/>
      <c r="K10" s="430"/>
      <c r="L10" s="992"/>
      <c r="M10" s="1244"/>
      <c r="N10" s="964"/>
      <c r="O10" s="992"/>
      <c r="P10" s="432"/>
      <c r="Q10" s="963"/>
    </row>
    <row r="11" spans="1:17" s="433" customFormat="1" ht="16.5" thickBot="1">
      <c r="A11" s="357">
        <v>1</v>
      </c>
      <c r="B11" s="348" t="s">
        <v>123</v>
      </c>
      <c r="C11" s="358"/>
      <c r="D11" s="358">
        <v>847</v>
      </c>
      <c r="E11" s="403">
        <f>SUM(C11:D11)</f>
        <v>847</v>
      </c>
      <c r="F11" s="358">
        <v>2144</v>
      </c>
      <c r="G11" s="358"/>
      <c r="H11" s="403">
        <f>SUM(F11:G11)</f>
        <v>2144</v>
      </c>
      <c r="I11" s="358"/>
      <c r="J11" s="358"/>
      <c r="K11" s="403">
        <f aca="true" t="shared" si="0" ref="K11:K16">SUM(I11:J11)</f>
        <v>0</v>
      </c>
      <c r="L11" s="358"/>
      <c r="M11" s="358"/>
      <c r="N11" s="403">
        <f aca="true" t="shared" si="1" ref="N11:N16">SUM(L11:M11)</f>
        <v>0</v>
      </c>
      <c r="O11" s="1245"/>
      <c r="P11" s="434"/>
      <c r="Q11" s="1222">
        <f aca="true" t="shared" si="2" ref="Q11:Q16">SUM(O11:P11)</f>
        <v>0</v>
      </c>
    </row>
    <row r="12" spans="1:17" s="433" customFormat="1" ht="16.5" thickBot="1">
      <c r="A12" s="361">
        <v>2</v>
      </c>
      <c r="B12" s="348" t="s">
        <v>213</v>
      </c>
      <c r="C12" s="360"/>
      <c r="D12" s="358">
        <v>149</v>
      </c>
      <c r="E12" s="403">
        <f>SUM(C12:D12)</f>
        <v>149</v>
      </c>
      <c r="F12" s="360">
        <v>510</v>
      </c>
      <c r="G12" s="358"/>
      <c r="H12" s="403">
        <f>SUM(F12:G12)</f>
        <v>510</v>
      </c>
      <c r="I12" s="360"/>
      <c r="J12" s="358"/>
      <c r="K12" s="403">
        <f t="shared" si="0"/>
        <v>0</v>
      </c>
      <c r="L12" s="360"/>
      <c r="M12" s="358"/>
      <c r="N12" s="403">
        <f t="shared" si="1"/>
        <v>0</v>
      </c>
      <c r="O12" s="1245"/>
      <c r="P12" s="434"/>
      <c r="Q12" s="1222">
        <f t="shared" si="2"/>
        <v>0</v>
      </c>
    </row>
    <row r="13" spans="1:17" s="441" customFormat="1" ht="16.5" thickBot="1">
      <c r="A13" s="361">
        <v>3</v>
      </c>
      <c r="B13" s="348" t="s">
        <v>126</v>
      </c>
      <c r="C13" s="360">
        <v>267</v>
      </c>
      <c r="D13" s="358">
        <v>5002</v>
      </c>
      <c r="E13" s="403">
        <f>SUM(C13:D13)</f>
        <v>5269</v>
      </c>
      <c r="F13" s="360">
        <v>21327</v>
      </c>
      <c r="G13" s="358"/>
      <c r="H13" s="403">
        <f>SUM(F13:G13)</f>
        <v>21327</v>
      </c>
      <c r="I13" s="358">
        <v>26963</v>
      </c>
      <c r="J13" s="358">
        <v>3851</v>
      </c>
      <c r="K13" s="403">
        <f t="shared" si="0"/>
        <v>30814</v>
      </c>
      <c r="L13" s="358">
        <v>333214</v>
      </c>
      <c r="M13" s="358">
        <v>26770</v>
      </c>
      <c r="N13" s="403">
        <f t="shared" si="1"/>
        <v>359984</v>
      </c>
      <c r="O13" s="1245"/>
      <c r="P13" s="434"/>
      <c r="Q13" s="1222">
        <f t="shared" si="2"/>
        <v>0</v>
      </c>
    </row>
    <row r="14" spans="1:17" s="441" customFormat="1" ht="16.5" thickBot="1">
      <c r="A14" s="361">
        <v>4</v>
      </c>
      <c r="B14" s="348" t="s">
        <v>180</v>
      </c>
      <c r="C14" s="360"/>
      <c r="D14" s="360"/>
      <c r="E14" s="364">
        <f>SUM(C14:D14)</f>
        <v>0</v>
      </c>
      <c r="F14" s="360"/>
      <c r="G14" s="360"/>
      <c r="H14" s="364">
        <f>SUM(F14:G14)</f>
        <v>0</v>
      </c>
      <c r="I14" s="360"/>
      <c r="J14" s="360"/>
      <c r="K14" s="364">
        <f t="shared" si="0"/>
        <v>0</v>
      </c>
      <c r="L14" s="360"/>
      <c r="M14" s="360"/>
      <c r="N14" s="364">
        <f t="shared" si="1"/>
        <v>0</v>
      </c>
      <c r="O14" s="374"/>
      <c r="P14" s="358"/>
      <c r="Q14" s="364">
        <f t="shared" si="2"/>
        <v>0</v>
      </c>
    </row>
    <row r="15" spans="1:17" s="433" customFormat="1" ht="15">
      <c r="A15" s="171" t="s">
        <v>108</v>
      </c>
      <c r="B15" s="160" t="s">
        <v>405</v>
      </c>
      <c r="C15" s="256"/>
      <c r="D15" s="256"/>
      <c r="E15" s="436">
        <f>C15+D15</f>
        <v>0</v>
      </c>
      <c r="F15" s="256"/>
      <c r="G15" s="256"/>
      <c r="H15" s="436">
        <f>F15+G15</f>
        <v>0</v>
      </c>
      <c r="I15" s="256"/>
      <c r="J15" s="256"/>
      <c r="K15" s="436">
        <f t="shared" si="0"/>
        <v>0</v>
      </c>
      <c r="L15" s="256"/>
      <c r="M15" s="256"/>
      <c r="N15" s="436">
        <f t="shared" si="1"/>
        <v>0</v>
      </c>
      <c r="O15" s="1246"/>
      <c r="P15" s="437"/>
      <c r="Q15" s="1221">
        <f t="shared" si="2"/>
        <v>0</v>
      </c>
    </row>
    <row r="16" spans="1:17" s="433" customFormat="1" ht="15">
      <c r="A16" s="168" t="s">
        <v>109</v>
      </c>
      <c r="B16" s="164" t="s">
        <v>406</v>
      </c>
      <c r="C16" s="350"/>
      <c r="D16" s="154"/>
      <c r="E16" s="258">
        <f>C16+D16</f>
        <v>0</v>
      </c>
      <c r="F16" s="154"/>
      <c r="G16" s="154"/>
      <c r="H16" s="436">
        <f>F16+G16</f>
        <v>0</v>
      </c>
      <c r="I16" s="154"/>
      <c r="J16" s="154"/>
      <c r="K16" s="436">
        <f t="shared" si="0"/>
        <v>0</v>
      </c>
      <c r="L16" s="154"/>
      <c r="M16" s="154"/>
      <c r="N16" s="436">
        <f t="shared" si="1"/>
        <v>0</v>
      </c>
      <c r="O16" s="1247"/>
      <c r="P16" s="439"/>
      <c r="Q16" s="1221">
        <f t="shared" si="2"/>
        <v>0</v>
      </c>
    </row>
    <row r="17" spans="1:17" s="433" customFormat="1" ht="15">
      <c r="A17" s="168" t="s">
        <v>110</v>
      </c>
      <c r="B17" s="164" t="s">
        <v>407</v>
      </c>
      <c r="C17" s="350"/>
      <c r="D17" s="154"/>
      <c r="E17" s="258">
        <f aca="true" t="shared" si="3" ref="E17:E22">C17+D17</f>
        <v>0</v>
      </c>
      <c r="F17" s="154"/>
      <c r="G17" s="154"/>
      <c r="H17" s="436">
        <f aca="true" t="shared" si="4" ref="H17:H22">F17+G17</f>
        <v>0</v>
      </c>
      <c r="I17" s="154"/>
      <c r="J17" s="154"/>
      <c r="K17" s="436">
        <f aca="true" t="shared" si="5" ref="K17:K22">SUM(I17:J17)</f>
        <v>0</v>
      </c>
      <c r="L17" s="154"/>
      <c r="M17" s="154"/>
      <c r="N17" s="436">
        <f aca="true" t="shared" si="6" ref="N17:N22">SUM(L17:M17)</f>
        <v>0</v>
      </c>
      <c r="O17" s="1247"/>
      <c r="P17" s="439"/>
      <c r="Q17" s="1221">
        <f aca="true" t="shared" si="7" ref="Q17:Q22">SUM(O17:P17)</f>
        <v>0</v>
      </c>
    </row>
    <row r="18" spans="1:17" s="433" customFormat="1" ht="15">
      <c r="A18" s="168" t="s">
        <v>111</v>
      </c>
      <c r="B18" s="164" t="s">
        <v>408</v>
      </c>
      <c r="C18" s="954"/>
      <c r="D18" s="154"/>
      <c r="E18" s="258">
        <f t="shared" si="3"/>
        <v>0</v>
      </c>
      <c r="F18" s="350"/>
      <c r="G18" s="154"/>
      <c r="H18" s="258">
        <f t="shared" si="4"/>
        <v>0</v>
      </c>
      <c r="I18" s="154"/>
      <c r="J18" s="154"/>
      <c r="K18" s="436">
        <f t="shared" si="5"/>
        <v>0</v>
      </c>
      <c r="L18" s="154"/>
      <c r="M18" s="154"/>
      <c r="N18" s="436">
        <f t="shared" si="6"/>
        <v>0</v>
      </c>
      <c r="O18" s="1247"/>
      <c r="P18" s="439"/>
      <c r="Q18" s="1221">
        <f t="shared" si="7"/>
        <v>0</v>
      </c>
    </row>
    <row r="19" spans="1:17" s="433" customFormat="1" ht="15">
      <c r="A19" s="163" t="s">
        <v>202</v>
      </c>
      <c r="B19" s="164" t="s">
        <v>409</v>
      </c>
      <c r="C19" s="934"/>
      <c r="D19" s="256"/>
      <c r="E19" s="258">
        <f>C19+D19</f>
        <v>0</v>
      </c>
      <c r="F19" s="349"/>
      <c r="G19" s="256"/>
      <c r="H19" s="258">
        <f>F19+G19</f>
        <v>0</v>
      </c>
      <c r="I19" s="349"/>
      <c r="J19" s="154"/>
      <c r="K19" s="258">
        <f>SUM(I19:J19)</f>
        <v>0</v>
      </c>
      <c r="L19" s="256"/>
      <c r="M19" s="256"/>
      <c r="N19" s="436">
        <f>SUM(L19:M19)</f>
        <v>0</v>
      </c>
      <c r="O19" s="1246"/>
      <c r="P19" s="437"/>
      <c r="Q19" s="1221">
        <f>SUM(O19:P19)</f>
        <v>0</v>
      </c>
    </row>
    <row r="20" spans="1:17" s="433" customFormat="1" ht="15">
      <c r="A20" s="163" t="s">
        <v>359</v>
      </c>
      <c r="B20" s="164" t="s">
        <v>410</v>
      </c>
      <c r="C20" s="934"/>
      <c r="D20" s="256"/>
      <c r="E20" s="258">
        <f t="shared" si="3"/>
        <v>0</v>
      </c>
      <c r="F20" s="349"/>
      <c r="G20" s="256"/>
      <c r="H20" s="258">
        <f t="shared" si="4"/>
        <v>0</v>
      </c>
      <c r="I20" s="349"/>
      <c r="J20" s="256"/>
      <c r="K20" s="258">
        <f t="shared" si="5"/>
        <v>0</v>
      </c>
      <c r="L20" s="349"/>
      <c r="M20" s="154"/>
      <c r="N20" s="258">
        <f t="shared" si="6"/>
        <v>0</v>
      </c>
      <c r="O20" s="1246"/>
      <c r="P20" s="437"/>
      <c r="Q20" s="1221">
        <f t="shared" si="7"/>
        <v>0</v>
      </c>
    </row>
    <row r="21" spans="1:17" s="433" customFormat="1" ht="15">
      <c r="A21" s="163" t="s">
        <v>361</v>
      </c>
      <c r="B21" s="164" t="s">
        <v>411</v>
      </c>
      <c r="C21" s="934"/>
      <c r="D21" s="256"/>
      <c r="E21" s="258">
        <f>C21+D21</f>
        <v>0</v>
      </c>
      <c r="F21" s="349"/>
      <c r="G21" s="256"/>
      <c r="H21" s="258">
        <f t="shared" si="4"/>
        <v>0</v>
      </c>
      <c r="I21" s="349"/>
      <c r="J21" s="256"/>
      <c r="K21" s="258">
        <f t="shared" si="5"/>
        <v>0</v>
      </c>
      <c r="L21" s="349"/>
      <c r="M21" s="256"/>
      <c r="N21" s="258">
        <f t="shared" si="6"/>
        <v>0</v>
      </c>
      <c r="O21" s="1246"/>
      <c r="P21" s="437"/>
      <c r="Q21" s="1221">
        <f t="shared" si="7"/>
        <v>0</v>
      </c>
    </row>
    <row r="22" spans="1:17" s="433" customFormat="1" ht="15" customHeight="1" thickBot="1">
      <c r="A22" s="16" t="s">
        <v>74</v>
      </c>
      <c r="B22" s="378" t="s">
        <v>412</v>
      </c>
      <c r="C22" s="933"/>
      <c r="D22" s="166"/>
      <c r="E22" s="258">
        <f t="shared" si="3"/>
        <v>0</v>
      </c>
      <c r="F22" s="351"/>
      <c r="G22" s="166"/>
      <c r="H22" s="258">
        <f t="shared" si="4"/>
        <v>0</v>
      </c>
      <c r="I22" s="351"/>
      <c r="J22" s="166"/>
      <c r="K22" s="258">
        <f t="shared" si="5"/>
        <v>0</v>
      </c>
      <c r="L22" s="351"/>
      <c r="M22" s="166"/>
      <c r="N22" s="258">
        <f t="shared" si="6"/>
        <v>0</v>
      </c>
      <c r="O22" s="1248"/>
      <c r="P22" s="440"/>
      <c r="Q22" s="1221">
        <f t="shared" si="7"/>
        <v>0</v>
      </c>
    </row>
    <row r="23" spans="1:17" s="441" customFormat="1" ht="16.5" thickBot="1">
      <c r="A23" s="361">
        <v>5</v>
      </c>
      <c r="B23" s="348" t="s">
        <v>179</v>
      </c>
      <c r="C23" s="392">
        <f aca="true" t="shared" si="8" ref="C23:Q23">SUM(C15:C22)</f>
        <v>0</v>
      </c>
      <c r="D23" s="358">
        <f t="shared" si="8"/>
        <v>0</v>
      </c>
      <c r="E23" s="364">
        <f t="shared" si="8"/>
        <v>0</v>
      </c>
      <c r="F23" s="374">
        <f t="shared" si="8"/>
        <v>0</v>
      </c>
      <c r="G23" s="358">
        <f t="shared" si="8"/>
        <v>0</v>
      </c>
      <c r="H23" s="374">
        <f t="shared" si="8"/>
        <v>0</v>
      </c>
      <c r="I23" s="392">
        <f t="shared" si="8"/>
        <v>0</v>
      </c>
      <c r="J23" s="358">
        <f t="shared" si="8"/>
        <v>0</v>
      </c>
      <c r="K23" s="364">
        <f t="shared" si="8"/>
        <v>0</v>
      </c>
      <c r="L23" s="392">
        <f t="shared" si="8"/>
        <v>0</v>
      </c>
      <c r="M23" s="358">
        <f t="shared" si="8"/>
        <v>0</v>
      </c>
      <c r="N23" s="364">
        <f t="shared" si="8"/>
        <v>0</v>
      </c>
      <c r="O23" s="392">
        <f t="shared" si="8"/>
        <v>0</v>
      </c>
      <c r="P23" s="358">
        <f t="shared" si="8"/>
        <v>0</v>
      </c>
      <c r="Q23" s="364">
        <f t="shared" si="8"/>
        <v>0</v>
      </c>
    </row>
    <row r="24" spans="1:17" s="433" customFormat="1" ht="16.5" thickBot="1">
      <c r="A24" s="357">
        <v>6</v>
      </c>
      <c r="B24" s="348" t="s">
        <v>182</v>
      </c>
      <c r="C24" s="362">
        <v>5000</v>
      </c>
      <c r="D24" s="358">
        <v>7904</v>
      </c>
      <c r="E24" s="364">
        <f aca="true" t="shared" si="9" ref="E24:E30">SUM(C24:D24)</f>
        <v>12904</v>
      </c>
      <c r="F24" s="362">
        <v>59471</v>
      </c>
      <c r="G24" s="358"/>
      <c r="H24" s="364">
        <f aca="true" t="shared" si="10" ref="H24:H30">SUM(F24:G24)</f>
        <v>59471</v>
      </c>
      <c r="I24" s="374">
        <v>182526</v>
      </c>
      <c r="J24" s="358">
        <v>-3851</v>
      </c>
      <c r="K24" s="364">
        <f aca="true" t="shared" si="11" ref="K24:K30">SUM(I24:J24)</f>
        <v>178675</v>
      </c>
      <c r="L24" s="362">
        <v>173690</v>
      </c>
      <c r="M24" s="358">
        <v>52112</v>
      </c>
      <c r="N24" s="364">
        <f aca="true" t="shared" si="12" ref="N24:N30">SUM(L24:M24)</f>
        <v>225802</v>
      </c>
      <c r="O24" s="1234"/>
      <c r="P24" s="434"/>
      <c r="Q24" s="1222">
        <f aca="true" t="shared" si="13" ref="Q24:Q30">SUM(O24:P24)</f>
        <v>0</v>
      </c>
    </row>
    <row r="25" spans="1:17" s="441" customFormat="1" ht="16.5" thickBot="1">
      <c r="A25" s="357">
        <v>7</v>
      </c>
      <c r="B25" s="348" t="s">
        <v>464</v>
      </c>
      <c r="C25" s="362"/>
      <c r="D25" s="358"/>
      <c r="E25" s="364">
        <f t="shared" si="9"/>
        <v>0</v>
      </c>
      <c r="F25" s="362"/>
      <c r="G25" s="358"/>
      <c r="H25" s="374">
        <f t="shared" si="10"/>
        <v>0</v>
      </c>
      <c r="I25" s="392"/>
      <c r="J25" s="358"/>
      <c r="K25" s="364">
        <f t="shared" si="11"/>
        <v>0</v>
      </c>
      <c r="L25" s="374">
        <v>652982</v>
      </c>
      <c r="M25" s="358">
        <v>-69727</v>
      </c>
      <c r="N25" s="364">
        <f t="shared" si="12"/>
        <v>583255</v>
      </c>
      <c r="O25" s="1245"/>
      <c r="P25" s="434"/>
      <c r="Q25" s="1222">
        <f t="shared" si="13"/>
        <v>0</v>
      </c>
    </row>
    <row r="26" spans="1:17" s="433" customFormat="1" ht="15">
      <c r="A26" s="171" t="s">
        <v>108</v>
      </c>
      <c r="B26" s="164" t="s">
        <v>413</v>
      </c>
      <c r="C26" s="349"/>
      <c r="D26" s="256"/>
      <c r="E26" s="258">
        <f t="shared" si="9"/>
        <v>0</v>
      </c>
      <c r="F26" s="349"/>
      <c r="G26" s="256"/>
      <c r="H26" s="258">
        <f t="shared" si="10"/>
        <v>0</v>
      </c>
      <c r="I26" s="349"/>
      <c r="J26" s="256"/>
      <c r="K26" s="258">
        <f t="shared" si="11"/>
        <v>0</v>
      </c>
      <c r="L26" s="349"/>
      <c r="M26" s="256"/>
      <c r="N26" s="258">
        <f t="shared" si="12"/>
        <v>0</v>
      </c>
      <c r="O26" s="1246"/>
      <c r="P26" s="437"/>
      <c r="Q26" s="1221">
        <f t="shared" si="13"/>
        <v>0</v>
      </c>
    </row>
    <row r="27" spans="1:17" s="433" customFormat="1" ht="15">
      <c r="A27" s="171" t="s">
        <v>109</v>
      </c>
      <c r="B27" s="164" t="s">
        <v>414</v>
      </c>
      <c r="C27" s="349"/>
      <c r="D27" s="256"/>
      <c r="E27" s="258">
        <f t="shared" si="9"/>
        <v>0</v>
      </c>
      <c r="F27" s="349"/>
      <c r="G27" s="256"/>
      <c r="H27" s="258">
        <f t="shared" si="10"/>
        <v>0</v>
      </c>
      <c r="I27" s="349"/>
      <c r="J27" s="256"/>
      <c r="K27" s="258">
        <f t="shared" si="11"/>
        <v>0</v>
      </c>
      <c r="L27" s="349"/>
      <c r="M27" s="256"/>
      <c r="N27" s="258">
        <f t="shared" si="12"/>
        <v>0</v>
      </c>
      <c r="O27" s="1246"/>
      <c r="P27" s="437"/>
      <c r="Q27" s="1221">
        <f t="shared" si="13"/>
        <v>0</v>
      </c>
    </row>
    <row r="28" spans="1:17" s="433" customFormat="1" ht="15">
      <c r="A28" s="171" t="s">
        <v>110</v>
      </c>
      <c r="B28" s="164" t="s">
        <v>415</v>
      </c>
      <c r="C28" s="349"/>
      <c r="D28" s="256"/>
      <c r="E28" s="258">
        <f t="shared" si="9"/>
        <v>0</v>
      </c>
      <c r="F28" s="349"/>
      <c r="G28" s="256"/>
      <c r="H28" s="258">
        <f t="shared" si="10"/>
        <v>0</v>
      </c>
      <c r="I28" s="349"/>
      <c r="J28" s="256"/>
      <c r="K28" s="258">
        <f t="shared" si="11"/>
        <v>0</v>
      </c>
      <c r="L28" s="349"/>
      <c r="M28" s="256"/>
      <c r="N28" s="258">
        <f t="shared" si="12"/>
        <v>0</v>
      </c>
      <c r="O28" s="1246"/>
      <c r="P28" s="437"/>
      <c r="Q28" s="1221">
        <f t="shared" si="13"/>
        <v>0</v>
      </c>
    </row>
    <row r="29" spans="1:17" s="433" customFormat="1" ht="15">
      <c r="A29" s="171" t="s">
        <v>111</v>
      </c>
      <c r="B29" s="164" t="s">
        <v>416</v>
      </c>
      <c r="C29" s="349"/>
      <c r="D29" s="256"/>
      <c r="E29" s="258">
        <f t="shared" si="9"/>
        <v>0</v>
      </c>
      <c r="F29" s="349"/>
      <c r="G29" s="256"/>
      <c r="H29" s="258">
        <f t="shared" si="10"/>
        <v>0</v>
      </c>
      <c r="I29" s="349"/>
      <c r="J29" s="256"/>
      <c r="K29" s="258">
        <f t="shared" si="11"/>
        <v>0</v>
      </c>
      <c r="L29" s="349"/>
      <c r="M29" s="256"/>
      <c r="N29" s="258">
        <f t="shared" si="12"/>
        <v>0</v>
      </c>
      <c r="O29" s="1246"/>
      <c r="P29" s="437"/>
      <c r="Q29" s="1221">
        <f t="shared" si="13"/>
        <v>0</v>
      </c>
    </row>
    <row r="30" spans="1:17" s="433" customFormat="1" ht="15.75" thickBot="1">
      <c r="A30" s="379" t="s">
        <v>202</v>
      </c>
      <c r="B30" s="164" t="s">
        <v>417</v>
      </c>
      <c r="C30" s="373"/>
      <c r="D30" s="365"/>
      <c r="E30" s="368">
        <f t="shared" si="9"/>
        <v>0</v>
      </c>
      <c r="F30" s="373"/>
      <c r="G30" s="365"/>
      <c r="H30" s="368">
        <f t="shared" si="10"/>
        <v>0</v>
      </c>
      <c r="I30" s="373"/>
      <c r="J30" s="365"/>
      <c r="K30" s="368">
        <f t="shared" si="11"/>
        <v>0</v>
      </c>
      <c r="L30" s="373">
        <v>9514</v>
      </c>
      <c r="M30" s="365">
        <v>20000</v>
      </c>
      <c r="N30" s="368">
        <f t="shared" si="12"/>
        <v>29514</v>
      </c>
      <c r="O30" s="1249"/>
      <c r="P30" s="443"/>
      <c r="Q30" s="1223">
        <f t="shared" si="13"/>
        <v>0</v>
      </c>
    </row>
    <row r="31" spans="1:17" s="441" customFormat="1" ht="16.5" thickBot="1">
      <c r="A31" s="357">
        <v>8</v>
      </c>
      <c r="B31" s="348" t="s">
        <v>181</v>
      </c>
      <c r="C31" s="392">
        <f aca="true" t="shared" si="14" ref="C31:Q31">SUM(C26:C30)</f>
        <v>0</v>
      </c>
      <c r="D31" s="358">
        <f t="shared" si="14"/>
        <v>0</v>
      </c>
      <c r="E31" s="364">
        <f t="shared" si="14"/>
        <v>0</v>
      </c>
      <c r="F31" s="374">
        <f t="shared" si="14"/>
        <v>0</v>
      </c>
      <c r="G31" s="358">
        <f t="shared" si="14"/>
        <v>0</v>
      </c>
      <c r="H31" s="374">
        <f t="shared" si="14"/>
        <v>0</v>
      </c>
      <c r="I31" s="392">
        <f t="shared" si="14"/>
        <v>0</v>
      </c>
      <c r="J31" s="358">
        <f t="shared" si="14"/>
        <v>0</v>
      </c>
      <c r="K31" s="364">
        <f t="shared" si="14"/>
        <v>0</v>
      </c>
      <c r="L31" s="392">
        <f t="shared" si="14"/>
        <v>9514</v>
      </c>
      <c r="M31" s="358">
        <f t="shared" si="14"/>
        <v>20000</v>
      </c>
      <c r="N31" s="374">
        <f t="shared" si="14"/>
        <v>29514</v>
      </c>
      <c r="O31" s="392">
        <f t="shared" si="14"/>
        <v>0</v>
      </c>
      <c r="P31" s="358">
        <f t="shared" si="14"/>
        <v>0</v>
      </c>
      <c r="Q31" s="364">
        <f t="shared" si="14"/>
        <v>0</v>
      </c>
    </row>
    <row r="32" spans="1:17" s="433" customFormat="1" ht="16.5" thickBot="1">
      <c r="A32" s="357">
        <v>9</v>
      </c>
      <c r="B32" s="348" t="s">
        <v>187</v>
      </c>
      <c r="C32" s="362"/>
      <c r="D32" s="358"/>
      <c r="E32" s="364">
        <f>SUM(C32:D32)</f>
        <v>0</v>
      </c>
      <c r="F32" s="362"/>
      <c r="G32" s="358"/>
      <c r="H32" s="364">
        <f>SUM(F32:G32)</f>
        <v>0</v>
      </c>
      <c r="I32" s="362"/>
      <c r="J32" s="358"/>
      <c r="K32" s="364">
        <f>SUM(I32:J32)</f>
        <v>0</v>
      </c>
      <c r="L32" s="362"/>
      <c r="M32" s="358"/>
      <c r="N32" s="364">
        <f>SUM(L32:M32)</f>
        <v>0</v>
      </c>
      <c r="O32" s="1234"/>
      <c r="P32" s="434"/>
      <c r="Q32" s="1222">
        <f>SUM(O32:P32)</f>
        <v>0</v>
      </c>
    </row>
    <row r="33" spans="1:21" s="446" customFormat="1" ht="16.5" thickBot="1">
      <c r="A33" s="412">
        <v>10</v>
      </c>
      <c r="B33" s="444"/>
      <c r="C33" s="1242"/>
      <c r="D33" s="414"/>
      <c r="E33" s="1212">
        <f>SUM(C33:D33)</f>
        <v>0</v>
      </c>
      <c r="F33" s="173"/>
      <c r="G33" s="414"/>
      <c r="H33" s="1212">
        <f>SUM(F33:G33)</f>
        <v>0</v>
      </c>
      <c r="I33" s="173"/>
      <c r="J33" s="414"/>
      <c r="K33" s="1212">
        <f>SUM(I33:J33)</f>
        <v>0</v>
      </c>
      <c r="L33" s="173"/>
      <c r="M33" s="414"/>
      <c r="N33" s="1212">
        <f>SUM(L33:M33)</f>
        <v>0</v>
      </c>
      <c r="O33" s="173"/>
      <c r="P33" s="414"/>
      <c r="Q33" s="1212">
        <f>SUM(O33:P33)</f>
        <v>0</v>
      </c>
      <c r="R33" s="445"/>
      <c r="S33" s="445"/>
      <c r="T33" s="445"/>
      <c r="U33" s="445"/>
    </row>
    <row r="34" spans="1:17" s="175" customFormat="1" ht="17.25" thickBot="1" thickTop="1">
      <c r="A34" s="387" t="s">
        <v>118</v>
      </c>
      <c r="B34" s="411" t="s">
        <v>188</v>
      </c>
      <c r="C34" s="410">
        <f aca="true" t="shared" si="15" ref="C34:Q34">C11+C12+C13+C23+C14+C31+C25+C24+C32+C33</f>
        <v>5267</v>
      </c>
      <c r="D34" s="388">
        <f t="shared" si="15"/>
        <v>13902</v>
      </c>
      <c r="E34" s="824">
        <f t="shared" si="15"/>
        <v>19169</v>
      </c>
      <c r="F34" s="410">
        <f t="shared" si="15"/>
        <v>83452</v>
      </c>
      <c r="G34" s="388">
        <f t="shared" si="15"/>
        <v>0</v>
      </c>
      <c r="H34" s="824">
        <f t="shared" si="15"/>
        <v>83452</v>
      </c>
      <c r="I34" s="410">
        <f t="shared" si="15"/>
        <v>209489</v>
      </c>
      <c r="J34" s="388">
        <f t="shared" si="15"/>
        <v>0</v>
      </c>
      <c r="K34" s="824">
        <f t="shared" si="15"/>
        <v>209489</v>
      </c>
      <c r="L34" s="410">
        <f t="shared" si="15"/>
        <v>1169400</v>
      </c>
      <c r="M34" s="388">
        <f t="shared" si="15"/>
        <v>29155</v>
      </c>
      <c r="N34" s="824">
        <f t="shared" si="15"/>
        <v>1198555</v>
      </c>
      <c r="O34" s="410">
        <f t="shared" si="15"/>
        <v>0</v>
      </c>
      <c r="P34" s="388">
        <f t="shared" si="15"/>
        <v>0</v>
      </c>
      <c r="Q34" s="421">
        <f t="shared" si="15"/>
        <v>0</v>
      </c>
    </row>
    <row r="35" spans="1:21" s="433" customFormat="1" ht="17.25" thickBot="1" thickTop="1">
      <c r="A35" s="159"/>
      <c r="B35" s="391" t="s">
        <v>142</v>
      </c>
      <c r="C35" s="1182"/>
      <c r="D35" s="345"/>
      <c r="E35" s="1213"/>
      <c r="F35" s="935"/>
      <c r="G35" s="345"/>
      <c r="H35" s="1213"/>
      <c r="I35" s="983"/>
      <c r="J35" s="345"/>
      <c r="K35" s="1213"/>
      <c r="L35" s="983"/>
      <c r="M35" s="345"/>
      <c r="N35" s="1213"/>
      <c r="O35" s="1182"/>
      <c r="P35" s="345"/>
      <c r="Q35" s="1213"/>
      <c r="R35" s="447"/>
      <c r="S35" s="447"/>
      <c r="T35" s="447"/>
      <c r="U35" s="447"/>
    </row>
    <row r="36" spans="1:17" s="433" customFormat="1" ht="15">
      <c r="A36" s="815" t="s">
        <v>108</v>
      </c>
      <c r="B36" s="816" t="s">
        <v>418</v>
      </c>
      <c r="C36" s="1190"/>
      <c r="D36" s="817"/>
      <c r="E36" s="822">
        <f>SUM(C36:D36)</f>
        <v>0</v>
      </c>
      <c r="F36" s="821"/>
      <c r="G36" s="817"/>
      <c r="H36" s="822">
        <f>SUM(F36:G36)</f>
        <v>0</v>
      </c>
      <c r="I36" s="1190"/>
      <c r="J36" s="817"/>
      <c r="K36" s="822">
        <f>SUM(I36:J36)</f>
        <v>0</v>
      </c>
      <c r="L36" s="1190"/>
      <c r="M36" s="817"/>
      <c r="N36" s="822">
        <f>SUM(L36:M36)</f>
        <v>0</v>
      </c>
      <c r="O36" s="1236"/>
      <c r="P36" s="820"/>
      <c r="Q36" s="1224">
        <f>SUM(O36:P36)</f>
        <v>0</v>
      </c>
    </row>
    <row r="37" spans="1:17" s="433" customFormat="1" ht="15">
      <c r="A37" s="168" t="s">
        <v>109</v>
      </c>
      <c r="B37" s="164" t="s">
        <v>259</v>
      </c>
      <c r="C37" s="954"/>
      <c r="D37" s="154"/>
      <c r="E37" s="177">
        <f>SUM(C37:D37)</f>
        <v>0</v>
      </c>
      <c r="F37" s="932"/>
      <c r="G37" s="154"/>
      <c r="H37" s="177">
        <f>SUM(F37:G37)</f>
        <v>0</v>
      </c>
      <c r="I37" s="954"/>
      <c r="J37" s="154"/>
      <c r="K37" s="177">
        <f>SUM(I37:J37)</f>
        <v>0</v>
      </c>
      <c r="L37" s="954"/>
      <c r="M37" s="154"/>
      <c r="N37" s="177">
        <f>SUM(L37:M37)</f>
        <v>0</v>
      </c>
      <c r="O37" s="1231"/>
      <c r="P37" s="439"/>
      <c r="Q37" s="1225">
        <f>SUM(O37:P37)</f>
        <v>0</v>
      </c>
    </row>
    <row r="38" spans="1:17" s="433" customFormat="1" ht="15">
      <c r="A38" s="379" t="s">
        <v>110</v>
      </c>
      <c r="B38" s="157" t="s">
        <v>419</v>
      </c>
      <c r="C38" s="1181"/>
      <c r="D38" s="365"/>
      <c r="E38" s="368">
        <f>SUM(C38:D38)</f>
        <v>0</v>
      </c>
      <c r="F38" s="172"/>
      <c r="G38" s="365"/>
      <c r="H38" s="368">
        <f>SUM(F38:G38)</f>
        <v>0</v>
      </c>
      <c r="I38" s="1181"/>
      <c r="J38" s="365"/>
      <c r="K38" s="368">
        <f>SUM(I38:J38)</f>
        <v>0</v>
      </c>
      <c r="L38" s="1181"/>
      <c r="M38" s="365"/>
      <c r="N38" s="368">
        <f>SUM(L38:M38)</f>
        <v>0</v>
      </c>
      <c r="O38" s="1235"/>
      <c r="P38" s="443"/>
      <c r="Q38" s="1223">
        <f>SUM(O38:P38)</f>
        <v>0</v>
      </c>
    </row>
    <row r="39" spans="1:17" s="433" customFormat="1" ht="15.75" thickBot="1">
      <c r="A39" s="169" t="s">
        <v>111</v>
      </c>
      <c r="B39" s="170" t="s">
        <v>423</v>
      </c>
      <c r="C39" s="955"/>
      <c r="D39" s="166"/>
      <c r="E39" s="272">
        <f>SUM(C39:D39)</f>
        <v>0</v>
      </c>
      <c r="F39" s="933"/>
      <c r="G39" s="166"/>
      <c r="H39" s="272">
        <f>SUM(F39:G39)</f>
        <v>0</v>
      </c>
      <c r="I39" s="955"/>
      <c r="J39" s="166"/>
      <c r="K39" s="272">
        <f>SUM(I39:J39)</f>
        <v>0</v>
      </c>
      <c r="L39" s="955"/>
      <c r="M39" s="166"/>
      <c r="N39" s="272">
        <f>SUM(L39:M39)</f>
        <v>0</v>
      </c>
      <c r="O39" s="1233"/>
      <c r="P39" s="440"/>
      <c r="Q39" s="1226">
        <f>SUM(O39:P39)</f>
        <v>0</v>
      </c>
    </row>
    <row r="40" spans="1:17" s="441" customFormat="1" ht="16.5" thickBot="1">
      <c r="A40" s="357">
        <v>1</v>
      </c>
      <c r="B40" s="348" t="s">
        <v>185</v>
      </c>
      <c r="C40" s="392">
        <f aca="true" t="shared" si="16" ref="C40:Q40">SUM(C36:C39)</f>
        <v>0</v>
      </c>
      <c r="D40" s="358">
        <f t="shared" si="16"/>
        <v>0</v>
      </c>
      <c r="E40" s="364">
        <f t="shared" si="16"/>
        <v>0</v>
      </c>
      <c r="F40" s="392">
        <f t="shared" si="16"/>
        <v>0</v>
      </c>
      <c r="G40" s="358">
        <f t="shared" si="16"/>
        <v>0</v>
      </c>
      <c r="H40" s="364">
        <f t="shared" si="16"/>
        <v>0</v>
      </c>
      <c r="I40" s="392">
        <f t="shared" si="16"/>
        <v>0</v>
      </c>
      <c r="J40" s="358">
        <f t="shared" si="16"/>
        <v>0</v>
      </c>
      <c r="K40" s="364">
        <f t="shared" si="16"/>
        <v>0</v>
      </c>
      <c r="L40" s="392">
        <f t="shared" si="16"/>
        <v>0</v>
      </c>
      <c r="M40" s="358">
        <f t="shared" si="16"/>
        <v>0</v>
      </c>
      <c r="N40" s="364">
        <f t="shared" si="16"/>
        <v>0</v>
      </c>
      <c r="O40" s="392">
        <f t="shared" si="16"/>
        <v>0</v>
      </c>
      <c r="P40" s="358">
        <f t="shared" si="16"/>
        <v>0</v>
      </c>
      <c r="Q40" s="364">
        <f t="shared" si="16"/>
        <v>0</v>
      </c>
    </row>
    <row r="41" spans="1:17" s="433" customFormat="1" ht="15">
      <c r="A41" s="171" t="s">
        <v>108</v>
      </c>
      <c r="B41" s="160" t="s">
        <v>445</v>
      </c>
      <c r="C41" s="1180"/>
      <c r="D41" s="256"/>
      <c r="E41" s="258">
        <f>SUM(C41:D41)</f>
        <v>0</v>
      </c>
      <c r="F41" s="934"/>
      <c r="G41" s="256"/>
      <c r="H41" s="258">
        <f>SUM(F41:G41)</f>
        <v>0</v>
      </c>
      <c r="I41" s="1180"/>
      <c r="J41" s="256"/>
      <c r="K41" s="258">
        <f>SUM(I41:J41)</f>
        <v>0</v>
      </c>
      <c r="L41" s="1180"/>
      <c r="M41" s="256"/>
      <c r="N41" s="258">
        <f>SUM(L41:M41)</f>
        <v>0</v>
      </c>
      <c r="O41" s="1232"/>
      <c r="P41" s="437"/>
      <c r="Q41" s="1221">
        <f>SUM(O41:P41)</f>
        <v>0</v>
      </c>
    </row>
    <row r="42" spans="1:17" s="433" customFormat="1" ht="15">
      <c r="A42" s="168" t="s">
        <v>109</v>
      </c>
      <c r="B42" s="164" t="s">
        <v>420</v>
      </c>
      <c r="C42" s="954"/>
      <c r="D42" s="154"/>
      <c r="E42" s="177">
        <f>SUM(C42:D42)</f>
        <v>0</v>
      </c>
      <c r="F42" s="932"/>
      <c r="G42" s="154"/>
      <c r="H42" s="177">
        <f>SUM(F42:G42)</f>
        <v>0</v>
      </c>
      <c r="I42" s="954"/>
      <c r="J42" s="154"/>
      <c r="K42" s="177">
        <f>SUM(I42:J42)</f>
        <v>0</v>
      </c>
      <c r="L42" s="954"/>
      <c r="M42" s="154"/>
      <c r="N42" s="177">
        <f>SUM(L42:M42)</f>
        <v>0</v>
      </c>
      <c r="O42" s="1231"/>
      <c r="P42" s="439"/>
      <c r="Q42" s="1225">
        <f>SUM(O42:P42)</f>
        <v>0</v>
      </c>
    </row>
    <row r="43" spans="1:17" s="433" customFormat="1" ht="15">
      <c r="A43" s="168" t="s">
        <v>110</v>
      </c>
      <c r="B43" s="164" t="s">
        <v>421</v>
      </c>
      <c r="C43" s="954"/>
      <c r="D43" s="154"/>
      <c r="E43" s="177">
        <f>SUM(C43:D43)</f>
        <v>0</v>
      </c>
      <c r="F43" s="932"/>
      <c r="G43" s="154"/>
      <c r="H43" s="177">
        <f>SUM(F43:G43)</f>
        <v>0</v>
      </c>
      <c r="I43" s="954"/>
      <c r="J43" s="154"/>
      <c r="K43" s="177">
        <f>SUM(I43:J43)</f>
        <v>0</v>
      </c>
      <c r="L43" s="954"/>
      <c r="M43" s="154"/>
      <c r="N43" s="177">
        <f>SUM(L43:M43)</f>
        <v>0</v>
      </c>
      <c r="O43" s="1231"/>
      <c r="P43" s="439"/>
      <c r="Q43" s="1225">
        <f>SUM(O43:P43)</f>
        <v>0</v>
      </c>
    </row>
    <row r="44" spans="1:17" s="433" customFormat="1" ht="15.75" thickBot="1">
      <c r="A44" s="169" t="s">
        <v>111</v>
      </c>
      <c r="B44" s="170" t="s">
        <v>183</v>
      </c>
      <c r="C44" s="955"/>
      <c r="D44" s="166"/>
      <c r="E44" s="272">
        <f>SUM(C44:D44)</f>
        <v>0</v>
      </c>
      <c r="F44" s="933"/>
      <c r="G44" s="166"/>
      <c r="H44" s="272">
        <f>SUM(F44:G44)</f>
        <v>0</v>
      </c>
      <c r="I44" s="955"/>
      <c r="J44" s="166"/>
      <c r="K44" s="272">
        <f>SUM(I44:J44)</f>
        <v>0</v>
      </c>
      <c r="L44" s="955"/>
      <c r="M44" s="166"/>
      <c r="N44" s="272">
        <f>SUM(L44:M44)</f>
        <v>0</v>
      </c>
      <c r="O44" s="1233"/>
      <c r="P44" s="440"/>
      <c r="Q44" s="1226">
        <f>SUM(O44:P44)</f>
        <v>0</v>
      </c>
    </row>
    <row r="45" spans="1:17" s="441" customFormat="1" ht="16.5" thickBot="1">
      <c r="A45" s="357">
        <v>2</v>
      </c>
      <c r="B45" s="348" t="s">
        <v>184</v>
      </c>
      <c r="C45" s="392">
        <f>SUM(C41:C44)</f>
        <v>0</v>
      </c>
      <c r="D45" s="358">
        <f aca="true" t="shared" si="17" ref="D45:Q45">SUM(D41:D44)</f>
        <v>0</v>
      </c>
      <c r="E45" s="360">
        <f t="shared" si="17"/>
        <v>0</v>
      </c>
      <c r="F45" s="392">
        <f t="shared" si="17"/>
        <v>0</v>
      </c>
      <c r="G45" s="358">
        <f t="shared" si="17"/>
        <v>0</v>
      </c>
      <c r="H45" s="360">
        <f t="shared" si="17"/>
        <v>0</v>
      </c>
      <c r="I45" s="392">
        <f t="shared" si="17"/>
        <v>0</v>
      </c>
      <c r="J45" s="358">
        <f t="shared" si="17"/>
        <v>0</v>
      </c>
      <c r="K45" s="360">
        <f t="shared" si="17"/>
        <v>0</v>
      </c>
      <c r="L45" s="392">
        <f t="shared" si="17"/>
        <v>0</v>
      </c>
      <c r="M45" s="358">
        <f t="shared" si="17"/>
        <v>0</v>
      </c>
      <c r="N45" s="374">
        <f t="shared" si="17"/>
        <v>0</v>
      </c>
      <c r="O45" s="392">
        <f t="shared" si="17"/>
        <v>0</v>
      </c>
      <c r="P45" s="358">
        <f t="shared" si="17"/>
        <v>0</v>
      </c>
      <c r="Q45" s="364">
        <f t="shared" si="17"/>
        <v>0</v>
      </c>
    </row>
    <row r="46" spans="1:17" s="220" customFormat="1" ht="16.5" thickBot="1">
      <c r="A46" s="357">
        <v>3</v>
      </c>
      <c r="B46" s="348" t="s">
        <v>278</v>
      </c>
      <c r="C46" s="392"/>
      <c r="D46" s="358"/>
      <c r="E46" s="360">
        <f>SUM(C46:D46)</f>
        <v>0</v>
      </c>
      <c r="F46" s="392"/>
      <c r="G46" s="358"/>
      <c r="H46" s="360">
        <f>SUM(F46:G46)</f>
        <v>0</v>
      </c>
      <c r="I46" s="392"/>
      <c r="J46" s="358"/>
      <c r="K46" s="360">
        <f>SUM(I46:J46)</f>
        <v>0</v>
      </c>
      <c r="L46" s="392">
        <v>565433</v>
      </c>
      <c r="M46" s="358">
        <v>20070</v>
      </c>
      <c r="N46" s="374">
        <f>SUM(L46:M46)</f>
        <v>585503</v>
      </c>
      <c r="O46" s="392"/>
      <c r="P46" s="358"/>
      <c r="Q46" s="364">
        <f>SUM(O46:P46)</f>
        <v>0</v>
      </c>
    </row>
    <row r="47" spans="1:17" s="96" customFormat="1" ht="16.5" thickBot="1">
      <c r="A47" s="357">
        <v>4</v>
      </c>
      <c r="B47" s="348" t="s">
        <v>299</v>
      </c>
      <c r="C47" s="392"/>
      <c r="D47" s="358"/>
      <c r="E47" s="360">
        <f>SUM(C47:D47)</f>
        <v>0</v>
      </c>
      <c r="F47" s="392"/>
      <c r="G47" s="358"/>
      <c r="H47" s="360">
        <f>SUM(F47:G47)</f>
        <v>0</v>
      </c>
      <c r="I47" s="392"/>
      <c r="J47" s="358"/>
      <c r="K47" s="360">
        <f>SUM(I47:J47)</f>
        <v>0</v>
      </c>
      <c r="L47" s="392"/>
      <c r="M47" s="358"/>
      <c r="N47" s="374">
        <f>SUM(L47:M47)</f>
        <v>0</v>
      </c>
      <c r="O47" s="392"/>
      <c r="P47" s="358"/>
      <c r="Q47" s="364">
        <f>SUM(O47:P47)</f>
        <v>0</v>
      </c>
    </row>
    <row r="48" spans="1:17" s="806" customFormat="1" ht="15">
      <c r="A48" s="171" t="s">
        <v>108</v>
      </c>
      <c r="B48" s="157" t="s">
        <v>305</v>
      </c>
      <c r="C48" s="1180"/>
      <c r="D48" s="256"/>
      <c r="E48" s="258">
        <f>SUM(C48:D48)</f>
        <v>0</v>
      </c>
      <c r="F48" s="934"/>
      <c r="G48" s="256"/>
      <c r="H48" s="258">
        <f>SUM(F48:G48)</f>
        <v>0</v>
      </c>
      <c r="I48" s="1180"/>
      <c r="J48" s="256"/>
      <c r="K48" s="258">
        <f>SUM(I48:J48)</f>
        <v>0</v>
      </c>
      <c r="L48" s="1180"/>
      <c r="M48" s="256"/>
      <c r="N48" s="258">
        <f>SUM(L48:M48)</f>
        <v>0</v>
      </c>
      <c r="O48" s="1232"/>
      <c r="P48" s="437"/>
      <c r="Q48" s="1221">
        <f>SUM(O48:P48)</f>
        <v>0</v>
      </c>
    </row>
    <row r="49" spans="1:17" s="96" customFormat="1" ht="15">
      <c r="A49" s="169" t="s">
        <v>109</v>
      </c>
      <c r="B49" s="378" t="s">
        <v>422</v>
      </c>
      <c r="C49" s="954"/>
      <c r="D49" s="154"/>
      <c r="E49" s="177">
        <f>SUM(C49:D49)</f>
        <v>0</v>
      </c>
      <c r="F49" s="932"/>
      <c r="G49" s="154"/>
      <c r="H49" s="177">
        <f>SUM(F49:G49)</f>
        <v>0</v>
      </c>
      <c r="I49" s="954"/>
      <c r="J49" s="154"/>
      <c r="K49" s="177">
        <f>SUM(I49:J49)</f>
        <v>0</v>
      </c>
      <c r="L49" s="954"/>
      <c r="M49" s="154"/>
      <c r="N49" s="177">
        <f>SUM(L49:M49)</f>
        <v>0</v>
      </c>
      <c r="O49" s="1231"/>
      <c r="P49" s="439"/>
      <c r="Q49" s="1225">
        <f>SUM(O49:P49)</f>
        <v>0</v>
      </c>
    </row>
    <row r="50" spans="1:17" s="96" customFormat="1" ht="15.75" thickBot="1">
      <c r="A50" s="169" t="s">
        <v>110</v>
      </c>
      <c r="B50" s="378" t="s">
        <v>455</v>
      </c>
      <c r="C50" s="954"/>
      <c r="D50" s="154"/>
      <c r="E50" s="177">
        <f>SUM(C50:D50)</f>
        <v>0</v>
      </c>
      <c r="F50" s="932"/>
      <c r="G50" s="154"/>
      <c r="H50" s="177">
        <f>SUM(F50:G50)</f>
        <v>0</v>
      </c>
      <c r="I50" s="954"/>
      <c r="J50" s="154"/>
      <c r="K50" s="177">
        <f>SUM(I50:J50)</f>
        <v>0</v>
      </c>
      <c r="L50" s="954"/>
      <c r="M50" s="154"/>
      <c r="N50" s="177">
        <f>SUM(L50:M50)</f>
        <v>0</v>
      </c>
      <c r="O50" s="1231"/>
      <c r="P50" s="439"/>
      <c r="Q50" s="1225">
        <f>SUM(O50:P50)</f>
        <v>0</v>
      </c>
    </row>
    <row r="51" spans="1:17" s="220" customFormat="1" ht="16.5" thickBot="1">
      <c r="A51" s="357">
        <v>5</v>
      </c>
      <c r="B51" s="348" t="s">
        <v>186</v>
      </c>
      <c r="C51" s="392">
        <f>SUM(C48:C50)</f>
        <v>0</v>
      </c>
      <c r="D51" s="358">
        <f>SUM(D48:D50)</f>
        <v>0</v>
      </c>
      <c r="E51" s="360">
        <f aca="true" t="shared" si="18" ref="E51:Q51">SUM(E48:E50)</f>
        <v>0</v>
      </c>
      <c r="F51" s="392">
        <f t="shared" si="18"/>
        <v>0</v>
      </c>
      <c r="G51" s="358">
        <f t="shared" si="18"/>
        <v>0</v>
      </c>
      <c r="H51" s="360">
        <f t="shared" si="18"/>
        <v>0</v>
      </c>
      <c r="I51" s="392">
        <f t="shared" si="18"/>
        <v>0</v>
      </c>
      <c r="J51" s="358">
        <f t="shared" si="18"/>
        <v>0</v>
      </c>
      <c r="K51" s="360">
        <f t="shared" si="18"/>
        <v>0</v>
      </c>
      <c r="L51" s="392">
        <f t="shared" si="18"/>
        <v>0</v>
      </c>
      <c r="M51" s="358">
        <f t="shared" si="18"/>
        <v>0</v>
      </c>
      <c r="N51" s="360">
        <f t="shared" si="18"/>
        <v>0</v>
      </c>
      <c r="O51" s="392">
        <f t="shared" si="18"/>
        <v>0</v>
      </c>
      <c r="P51" s="358">
        <f t="shared" si="18"/>
        <v>0</v>
      </c>
      <c r="Q51" s="364">
        <f t="shared" si="18"/>
        <v>0</v>
      </c>
    </row>
    <row r="52" spans="1:17" s="220" customFormat="1" ht="16.5" thickBot="1">
      <c r="A52" s="811">
        <v>6</v>
      </c>
      <c r="B52" s="812" t="s">
        <v>309</v>
      </c>
      <c r="C52" s="1183"/>
      <c r="D52" s="383"/>
      <c r="E52" s="376">
        <f>SUM(C52:D52)</f>
        <v>0</v>
      </c>
      <c r="F52" s="377"/>
      <c r="G52" s="383"/>
      <c r="H52" s="376">
        <f>SUM(F52:G52)</f>
        <v>0</v>
      </c>
      <c r="I52" s="1189"/>
      <c r="J52" s="383"/>
      <c r="K52" s="376">
        <f>SUM(I52:J52)</f>
        <v>0</v>
      </c>
      <c r="L52" s="1189">
        <v>479116</v>
      </c>
      <c r="M52" s="383">
        <v>-17932</v>
      </c>
      <c r="N52" s="376">
        <f>SUM(L52:M52)</f>
        <v>461184</v>
      </c>
      <c r="O52" s="1237"/>
      <c r="P52" s="805"/>
      <c r="Q52" s="1227">
        <f>SUM(O52:P52)</f>
        <v>0</v>
      </c>
    </row>
    <row r="53" spans="1:17" s="96" customFormat="1" ht="15">
      <c r="A53" s="152" t="s">
        <v>108</v>
      </c>
      <c r="B53" s="153" t="s">
        <v>424</v>
      </c>
      <c r="C53" s="1184"/>
      <c r="D53" s="155"/>
      <c r="E53" s="215">
        <f>SUM(C53:D53)</f>
        <v>0</v>
      </c>
      <c r="F53" s="936"/>
      <c r="G53" s="155"/>
      <c r="H53" s="215">
        <f>SUM(F53:G53)</f>
        <v>0</v>
      </c>
      <c r="I53" s="1184"/>
      <c r="J53" s="155"/>
      <c r="K53" s="215">
        <f>SUM(I53:J53)</f>
        <v>0</v>
      </c>
      <c r="L53" s="1184"/>
      <c r="M53" s="155"/>
      <c r="N53" s="215">
        <f>SUM(L53:M53)</f>
        <v>0</v>
      </c>
      <c r="O53" s="1238"/>
      <c r="P53" s="448"/>
      <c r="Q53" s="1228">
        <f>SUM(O53:P53)</f>
        <v>0</v>
      </c>
    </row>
    <row r="54" spans="1:17" s="96" customFormat="1" ht="15.75" thickBot="1">
      <c r="A54" s="379" t="s">
        <v>109</v>
      </c>
      <c r="B54" s="157" t="s">
        <v>425</v>
      </c>
      <c r="C54" s="1181"/>
      <c r="D54" s="365"/>
      <c r="E54" s="368">
        <f>SUM(C54:D54)</f>
        <v>0</v>
      </c>
      <c r="F54" s="172"/>
      <c r="G54" s="365"/>
      <c r="H54" s="368">
        <f>SUM(F54:G54)</f>
        <v>0</v>
      </c>
      <c r="I54" s="1181"/>
      <c r="J54" s="365"/>
      <c r="K54" s="368">
        <f>SUM(I54:J54)</f>
        <v>0</v>
      </c>
      <c r="L54" s="1181"/>
      <c r="M54" s="365"/>
      <c r="N54" s="368">
        <f>SUM(L54:M54)</f>
        <v>0</v>
      </c>
      <c r="O54" s="1235"/>
      <c r="P54" s="443"/>
      <c r="Q54" s="1223">
        <f>SUM(O54:P54)</f>
        <v>0</v>
      </c>
    </row>
    <row r="55" spans="1:17" s="220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>
        <f aca="true" t="shared" si="19" ref="D55:Q55">SUM(D53:D54)</f>
        <v>0</v>
      </c>
      <c r="E55" s="360">
        <f t="shared" si="19"/>
        <v>0</v>
      </c>
      <c r="F55" s="392">
        <f t="shared" si="19"/>
        <v>0</v>
      </c>
      <c r="G55" s="358">
        <f t="shared" si="19"/>
        <v>0</v>
      </c>
      <c r="H55" s="360">
        <f t="shared" si="19"/>
        <v>0</v>
      </c>
      <c r="I55" s="392">
        <f t="shared" si="19"/>
        <v>0</v>
      </c>
      <c r="J55" s="358">
        <f t="shared" si="19"/>
        <v>0</v>
      </c>
      <c r="K55" s="360">
        <f t="shared" si="19"/>
        <v>0</v>
      </c>
      <c r="L55" s="392">
        <f t="shared" si="19"/>
        <v>0</v>
      </c>
      <c r="M55" s="358">
        <f t="shared" si="19"/>
        <v>0</v>
      </c>
      <c r="N55" s="360">
        <f t="shared" si="19"/>
        <v>0</v>
      </c>
      <c r="O55" s="1191">
        <f t="shared" si="19"/>
        <v>0</v>
      </c>
      <c r="P55" s="1193">
        <f t="shared" si="19"/>
        <v>0</v>
      </c>
      <c r="Q55" s="1195">
        <f t="shared" si="19"/>
        <v>0</v>
      </c>
    </row>
    <row r="56" spans="1:17" s="311" customFormat="1" ht="19.5" customHeight="1" thickBot="1">
      <c r="A56" s="762">
        <v>8</v>
      </c>
      <c r="B56" s="763" t="s">
        <v>46</v>
      </c>
      <c r="C56" s="1216">
        <f>C34-C40-C45-C46-C47-C51-C52-C55-C57-C58-C59</f>
        <v>5267</v>
      </c>
      <c r="D56" s="1217">
        <f>D34-D40-D45-D46-D47-D51-D52-D55-D57-D58-D59</f>
        <v>13902</v>
      </c>
      <c r="E56" s="1214">
        <f aca="true" t="shared" si="20" ref="E56:Q56">E34-E40-E45-E46-E47-E51-E52-E55-E57-E58-E59</f>
        <v>19169</v>
      </c>
      <c r="F56" s="1216">
        <f t="shared" si="20"/>
        <v>83452</v>
      </c>
      <c r="G56" s="1217">
        <f t="shared" si="20"/>
        <v>0</v>
      </c>
      <c r="H56" s="1214">
        <f t="shared" si="20"/>
        <v>83452</v>
      </c>
      <c r="I56" s="1216">
        <f t="shared" si="20"/>
        <v>209489</v>
      </c>
      <c r="J56" s="1217">
        <f t="shared" si="20"/>
        <v>0</v>
      </c>
      <c r="K56" s="1214">
        <f t="shared" si="20"/>
        <v>209489</v>
      </c>
      <c r="L56" s="1216">
        <f t="shared" si="20"/>
        <v>124851</v>
      </c>
      <c r="M56" s="1217">
        <f t="shared" si="20"/>
        <v>27017</v>
      </c>
      <c r="N56" s="1214">
        <f t="shared" si="20"/>
        <v>151868</v>
      </c>
      <c r="O56" s="1239">
        <f t="shared" si="20"/>
        <v>0</v>
      </c>
      <c r="P56" s="1241">
        <f t="shared" si="20"/>
        <v>0</v>
      </c>
      <c r="Q56" s="1229">
        <f t="shared" si="20"/>
        <v>0</v>
      </c>
    </row>
    <row r="57" spans="1:17" s="220" customFormat="1" ht="15.75">
      <c r="A57" s="380" t="s">
        <v>427</v>
      </c>
      <c r="B57" s="381" t="s">
        <v>192</v>
      </c>
      <c r="C57" s="1186"/>
      <c r="D57" s="371"/>
      <c r="E57" s="1215">
        <f>SUM(C57:D57)</f>
        <v>0</v>
      </c>
      <c r="F57" s="937"/>
      <c r="G57" s="371"/>
      <c r="H57" s="1215">
        <f>SUM(F57:G57)</f>
        <v>0</v>
      </c>
      <c r="I57" s="1186"/>
      <c r="J57" s="371"/>
      <c r="K57" s="1215">
        <f>SUM(I57:J57)</f>
        <v>0</v>
      </c>
      <c r="L57" s="1186"/>
      <c r="M57" s="371"/>
      <c r="N57" s="1215">
        <f>SUM(L57:M57)</f>
        <v>0</v>
      </c>
      <c r="O57" s="1240"/>
      <c r="P57" s="451"/>
      <c r="Q57" s="1230">
        <f>SUM(O57:P57)</f>
        <v>0</v>
      </c>
    </row>
    <row r="58" spans="1:17" s="220" customFormat="1" ht="15.75">
      <c r="A58" s="380" t="s">
        <v>191</v>
      </c>
      <c r="B58" s="381" t="s">
        <v>426</v>
      </c>
      <c r="C58" s="370"/>
      <c r="D58" s="371"/>
      <c r="E58" s="449">
        <f>SUM(C58:D58)</f>
        <v>0</v>
      </c>
      <c r="F58" s="375"/>
      <c r="G58" s="371"/>
      <c r="H58" s="449">
        <f>SUM(F58:G58)</f>
        <v>0</v>
      </c>
      <c r="I58" s="1186"/>
      <c r="J58" s="371"/>
      <c r="K58" s="1215">
        <f>SUM(I58:J58)</f>
        <v>0</v>
      </c>
      <c r="L58" s="1186"/>
      <c r="M58" s="371"/>
      <c r="N58" s="1215">
        <f>SUM(L58:M58)</f>
        <v>0</v>
      </c>
      <c r="O58" s="450"/>
      <c r="P58" s="451"/>
      <c r="Q58" s="452">
        <f>SUM(O58:P58)</f>
        <v>0</v>
      </c>
    </row>
    <row r="59" spans="1:17" s="220" customFormat="1" ht="16.5" thickBot="1">
      <c r="A59" s="396">
        <v>10</v>
      </c>
      <c r="B59" s="397"/>
      <c r="C59" s="398"/>
      <c r="D59" s="399"/>
      <c r="E59" s="453">
        <f>SUM(C59:D59)</f>
        <v>0</v>
      </c>
      <c r="F59" s="401"/>
      <c r="G59" s="399"/>
      <c r="H59" s="454">
        <f>SUM(F59:G59)</f>
        <v>0</v>
      </c>
      <c r="I59" s="398"/>
      <c r="J59" s="399"/>
      <c r="K59" s="454">
        <f>SUM(I59:J59)</f>
        <v>0</v>
      </c>
      <c r="L59" s="398"/>
      <c r="M59" s="399"/>
      <c r="N59" s="454">
        <f>SUM(L59:M59)</f>
        <v>0</v>
      </c>
      <c r="O59" s="455"/>
      <c r="P59" s="456"/>
      <c r="Q59" s="457">
        <f>SUM(O59:P59)</f>
        <v>0</v>
      </c>
    </row>
    <row r="60" spans="1:17" s="167" customFormat="1" ht="17.25" thickBot="1" thickTop="1">
      <c r="A60" s="387" t="s">
        <v>119</v>
      </c>
      <c r="B60" s="390" t="s">
        <v>190</v>
      </c>
      <c r="C60" s="825">
        <f>C40+C45+C46+C47+C51+C52+C55+C56+C57+C58+C59</f>
        <v>5267</v>
      </c>
      <c r="D60" s="826">
        <f aca="true" t="shared" si="21" ref="D60:Q60">D40+D45+D46+D47+D51+D52+D55+D56+D57+D58+D59</f>
        <v>13902</v>
      </c>
      <c r="E60" s="824">
        <f t="shared" si="21"/>
        <v>19169</v>
      </c>
      <c r="F60" s="409">
        <f t="shared" si="21"/>
        <v>83452</v>
      </c>
      <c r="G60" s="388">
        <f t="shared" si="21"/>
        <v>0</v>
      </c>
      <c r="H60" s="824">
        <f t="shared" si="21"/>
        <v>83452</v>
      </c>
      <c r="I60" s="825">
        <f t="shared" si="21"/>
        <v>209489</v>
      </c>
      <c r="J60" s="826">
        <f t="shared" si="21"/>
        <v>0</v>
      </c>
      <c r="K60" s="824">
        <f t="shared" si="21"/>
        <v>209489</v>
      </c>
      <c r="L60" s="409">
        <f t="shared" si="21"/>
        <v>1169400</v>
      </c>
      <c r="M60" s="388">
        <f t="shared" si="21"/>
        <v>29155</v>
      </c>
      <c r="N60" s="824">
        <f t="shared" si="21"/>
        <v>1198555</v>
      </c>
      <c r="O60" s="409">
        <f t="shared" si="21"/>
        <v>0</v>
      </c>
      <c r="P60" s="388">
        <f t="shared" si="21"/>
        <v>0</v>
      </c>
      <c r="Q60" s="421">
        <f t="shared" si="21"/>
        <v>0</v>
      </c>
    </row>
    <row r="61" spans="1:17" s="433" customFormat="1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458"/>
      <c r="P61" s="458"/>
      <c r="Q61" s="458"/>
    </row>
    <row r="62" spans="1:17" s="433" customFormat="1" ht="16.5" thickBot="1" thickTop="1">
      <c r="A62" s="182"/>
      <c r="B62" s="183" t="s">
        <v>580</v>
      </c>
      <c r="C62" s="216">
        <v>0</v>
      </c>
      <c r="D62" s="459"/>
      <c r="E62" s="460">
        <f>SUM(C62:D62)</f>
        <v>0</v>
      </c>
      <c r="F62" s="216"/>
      <c r="G62" s="461"/>
      <c r="H62" s="460">
        <f>SUM(F62:G62)</f>
        <v>0</v>
      </c>
      <c r="I62" s="216">
        <v>0</v>
      </c>
      <c r="J62" s="461"/>
      <c r="K62" s="460">
        <f>SUM(I62:J62)</f>
        <v>0</v>
      </c>
      <c r="L62" s="216">
        <v>0</v>
      </c>
      <c r="M62" s="461"/>
      <c r="N62" s="460">
        <f>SUM(L62:M62)</f>
        <v>0</v>
      </c>
      <c r="O62" s="462">
        <v>0</v>
      </c>
      <c r="P62" s="463"/>
      <c r="Q62" s="464">
        <f>SUM(O62:P62)</f>
        <v>0</v>
      </c>
    </row>
    <row r="63" spans="1:17" s="433" customFormat="1" ht="16.5" thickBot="1" thickTop="1">
      <c r="A63" s="182"/>
      <c r="B63" s="183" t="s">
        <v>581</v>
      </c>
      <c r="C63" s="216"/>
      <c r="D63" s="459"/>
      <c r="E63" s="460">
        <f>SUM(C63:D63)</f>
        <v>0</v>
      </c>
      <c r="F63" s="216">
        <v>0</v>
      </c>
      <c r="G63" s="461"/>
      <c r="H63" s="460">
        <f>SUM(F63:G63)</f>
        <v>0</v>
      </c>
      <c r="I63" s="216">
        <v>0</v>
      </c>
      <c r="J63" s="461"/>
      <c r="K63" s="460">
        <f>SUM(I63:J63)</f>
        <v>0</v>
      </c>
      <c r="L63" s="216">
        <v>0</v>
      </c>
      <c r="M63" s="461"/>
      <c r="N63" s="460">
        <f>SUM(L63:M63)</f>
        <v>0</v>
      </c>
      <c r="O63" s="462">
        <v>0</v>
      </c>
      <c r="P63" s="463"/>
      <c r="Q63" s="464">
        <f>SUM(O63:P63)</f>
        <v>0</v>
      </c>
    </row>
    <row r="64" spans="1:17" s="433" customFormat="1" ht="16.5" thickTop="1">
      <c r="A64" s="465"/>
      <c r="O64" s="447"/>
      <c r="P64" s="447"/>
      <c r="Q64" s="447"/>
    </row>
    <row r="65" spans="1:17" s="433" customFormat="1" ht="15.75">
      <c r="A65" s="465"/>
      <c r="O65" s="447"/>
      <c r="P65" s="447"/>
      <c r="Q65" s="447"/>
    </row>
    <row r="66" spans="1:17" s="433" customFormat="1" ht="15">
      <c r="A66" s="466"/>
      <c r="O66" s="447"/>
      <c r="P66" s="447"/>
      <c r="Q66" s="447"/>
    </row>
    <row r="67" spans="1:17" s="433" customFormat="1" ht="15">
      <c r="A67" s="466"/>
      <c r="O67" s="447"/>
      <c r="P67" s="447"/>
      <c r="Q67" s="447"/>
    </row>
  </sheetData>
  <sheetProtection/>
  <mergeCells count="7">
    <mergeCell ref="A4:Q4"/>
    <mergeCell ref="A5:Q5"/>
    <mergeCell ref="I7:K7"/>
    <mergeCell ref="L7:N7"/>
    <mergeCell ref="O7:Q7"/>
    <mergeCell ref="C7:E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R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4" sqref="A4:Q4"/>
      <selection pane="topRight" activeCell="A4" sqref="A4:Q4"/>
      <selection pane="bottomLeft" activeCell="A4" sqref="A4:Q4"/>
      <selection pane="bottomRight" activeCell="Q1" sqref="Q1"/>
    </sheetView>
  </sheetViews>
  <sheetFormatPr defaultColWidth="9.00390625" defaultRowHeight="12.75"/>
  <cols>
    <col min="1" max="1" width="5.375" style="466" customWidth="1"/>
    <col min="2" max="2" width="78.375" style="96" customWidth="1"/>
    <col min="3" max="14" width="14.625" style="96" customWidth="1"/>
    <col min="15" max="17" width="14.625" style="268" customWidth="1"/>
  </cols>
  <sheetData>
    <row r="1" spans="1:17" ht="10.5" customHeight="1">
      <c r="A1" s="346"/>
      <c r="B1" s="347"/>
      <c r="C1" s="347"/>
      <c r="D1" s="433"/>
      <c r="E1" s="433"/>
      <c r="F1" s="433"/>
      <c r="G1" s="433"/>
      <c r="H1" s="433"/>
      <c r="I1" s="433"/>
      <c r="J1" s="433"/>
      <c r="K1" s="433"/>
      <c r="L1" s="433"/>
      <c r="M1" s="433"/>
      <c r="O1" s="940"/>
      <c r="P1" s="940"/>
      <c r="Q1" s="940" t="s">
        <v>871</v>
      </c>
    </row>
    <row r="2" spans="1:17" ht="13.5" customHeight="1">
      <c r="A2" s="346"/>
      <c r="B2" s="347"/>
      <c r="C2" s="347"/>
      <c r="D2" s="433"/>
      <c r="E2" s="433"/>
      <c r="F2" s="433"/>
      <c r="G2" s="433"/>
      <c r="H2" s="433"/>
      <c r="I2" s="433"/>
      <c r="J2" s="433"/>
      <c r="K2" s="433"/>
      <c r="L2" s="433"/>
      <c r="M2" s="433"/>
      <c r="O2" s="940"/>
      <c r="P2" s="940"/>
      <c r="Q2" s="940" t="s">
        <v>102</v>
      </c>
    </row>
    <row r="3" spans="1:17" ht="15">
      <c r="A3" s="346"/>
      <c r="B3" s="347"/>
      <c r="C3" s="347"/>
      <c r="D3" s="433"/>
      <c r="E3" s="433"/>
      <c r="F3" s="433"/>
      <c r="G3" s="433"/>
      <c r="H3" s="433"/>
      <c r="I3" s="433"/>
      <c r="J3" s="433"/>
      <c r="K3" s="433"/>
      <c r="L3" s="433"/>
      <c r="M3" s="433"/>
      <c r="O3" s="940"/>
      <c r="P3" s="940"/>
      <c r="Q3" s="941" t="s">
        <v>154</v>
      </c>
    </row>
    <row r="4" spans="1:17" s="15" customFormat="1" ht="20.25">
      <c r="A4" s="1844" t="s">
        <v>103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</row>
    <row r="5" spans="1:17" s="15" customFormat="1" ht="18">
      <c r="A5" s="1845" t="s">
        <v>572</v>
      </c>
      <c r="B5" s="1845"/>
      <c r="C5" s="1845"/>
      <c r="D5" s="1845"/>
      <c r="E5" s="1845"/>
      <c r="F5" s="1845"/>
      <c r="G5" s="1845"/>
      <c r="H5" s="1845"/>
      <c r="I5" s="1845"/>
      <c r="J5" s="1845"/>
      <c r="K5" s="1845"/>
      <c r="L5" s="1845"/>
      <c r="M5" s="1845"/>
      <c r="N5" s="1845"/>
      <c r="O5" s="1845"/>
      <c r="P5" s="1845"/>
      <c r="Q5" s="1845"/>
    </row>
    <row r="6" spans="1:17" ht="45" customHeight="1" thickBot="1">
      <c r="A6" s="346"/>
      <c r="B6" s="347"/>
      <c r="C6" s="347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944"/>
      <c r="Q6" s="944" t="s">
        <v>145</v>
      </c>
    </row>
    <row r="7" spans="1:17" s="96" customFormat="1" ht="34.5" customHeight="1">
      <c r="A7" s="260" t="s">
        <v>135</v>
      </c>
      <c r="B7" s="95" t="s">
        <v>136</v>
      </c>
      <c r="C7" s="1829" t="s">
        <v>63</v>
      </c>
      <c r="D7" s="1830"/>
      <c r="E7" s="1831"/>
      <c r="F7" s="1833" t="s">
        <v>64</v>
      </c>
      <c r="G7" s="1852"/>
      <c r="H7" s="1853"/>
      <c r="I7" s="1833" t="s">
        <v>475</v>
      </c>
      <c r="J7" s="1854"/>
      <c r="K7" s="1853"/>
      <c r="L7" s="1833" t="s">
        <v>492</v>
      </c>
      <c r="M7" s="1854"/>
      <c r="N7" s="1853"/>
      <c r="O7" s="1833" t="s">
        <v>554</v>
      </c>
      <c r="P7" s="1854"/>
      <c r="Q7" s="1853"/>
    </row>
    <row r="8" spans="1:17" s="96" customFormat="1" ht="24.75" thickBot="1">
      <c r="A8" s="275" t="s">
        <v>137</v>
      </c>
      <c r="B8" s="16" t="s">
        <v>138</v>
      </c>
      <c r="C8" s="24" t="s">
        <v>463</v>
      </c>
      <c r="D8" s="23" t="s">
        <v>139</v>
      </c>
      <c r="E8" s="11" t="s">
        <v>665</v>
      </c>
      <c r="F8" s="24" t="s">
        <v>463</v>
      </c>
      <c r="G8" s="23" t="s">
        <v>139</v>
      </c>
      <c r="H8" s="11" t="s">
        <v>665</v>
      </c>
      <c r="I8" s="24" t="s">
        <v>463</v>
      </c>
      <c r="J8" s="23" t="s">
        <v>139</v>
      </c>
      <c r="K8" s="11" t="s">
        <v>665</v>
      </c>
      <c r="L8" s="24" t="s">
        <v>463</v>
      </c>
      <c r="M8" s="23" t="s">
        <v>139</v>
      </c>
      <c r="N8" s="11" t="s">
        <v>665</v>
      </c>
      <c r="O8" s="24" t="s">
        <v>463</v>
      </c>
      <c r="P8" s="23" t="s">
        <v>139</v>
      </c>
      <c r="Q8" s="11" t="s">
        <v>665</v>
      </c>
    </row>
    <row r="9" spans="1:17" s="32" customFormat="1" ht="13.5" thickBot="1">
      <c r="A9" s="467">
        <v>1</v>
      </c>
      <c r="B9" s="467">
        <v>2</v>
      </c>
      <c r="C9" s="469">
        <v>3</v>
      </c>
      <c r="D9" s="469">
        <v>4</v>
      </c>
      <c r="E9" s="470">
        <v>5</v>
      </c>
      <c r="F9" s="468">
        <v>6</v>
      </c>
      <c r="G9" s="469">
        <v>7</v>
      </c>
      <c r="H9" s="471">
        <v>8</v>
      </c>
      <c r="I9" s="468">
        <v>9</v>
      </c>
      <c r="J9" s="469">
        <v>10</v>
      </c>
      <c r="K9" s="471">
        <v>11</v>
      </c>
      <c r="L9" s="469">
        <v>12</v>
      </c>
      <c r="M9" s="469">
        <v>13</v>
      </c>
      <c r="N9" s="471">
        <v>14</v>
      </c>
      <c r="O9" s="469">
        <v>15</v>
      </c>
      <c r="P9" s="469">
        <v>16</v>
      </c>
      <c r="Q9" s="471">
        <v>17</v>
      </c>
    </row>
    <row r="10" spans="1:17" s="32" customFormat="1" ht="16.5" thickBot="1">
      <c r="A10" s="427"/>
      <c r="B10" s="391" t="s">
        <v>140</v>
      </c>
      <c r="C10" s="431"/>
      <c r="D10" s="432"/>
      <c r="E10" s="984"/>
      <c r="F10" s="431"/>
      <c r="G10" s="432"/>
      <c r="H10" s="430"/>
      <c r="I10" s="431"/>
      <c r="J10" s="432"/>
      <c r="K10" s="430"/>
      <c r="L10" s="431"/>
      <c r="M10" s="432"/>
      <c r="N10" s="430"/>
      <c r="O10" s="431"/>
      <c r="P10" s="432"/>
      <c r="Q10" s="430"/>
    </row>
    <row r="11" spans="1:17" ht="16.5" thickBot="1">
      <c r="A11" s="357">
        <v>1</v>
      </c>
      <c r="B11" s="348" t="s">
        <v>123</v>
      </c>
      <c r="C11" s="358"/>
      <c r="D11" s="358">
        <v>7774</v>
      </c>
      <c r="E11" s="358">
        <f>SUM(C11:D11)</f>
        <v>7774</v>
      </c>
      <c r="F11" s="363">
        <v>16667</v>
      </c>
      <c r="G11" s="358"/>
      <c r="H11" s="403">
        <f>SUM(F11:G11)</f>
        <v>16667</v>
      </c>
      <c r="I11" s="358"/>
      <c r="J11" s="358"/>
      <c r="K11" s="403">
        <f aca="true" t="shared" si="0" ref="K11:K16">SUM(I11:J11)</f>
        <v>0</v>
      </c>
      <c r="L11" s="358"/>
      <c r="M11" s="358"/>
      <c r="N11" s="403">
        <f aca="true" t="shared" si="1" ref="N11:N16">SUM(L11:M11)</f>
        <v>0</v>
      </c>
      <c r="O11" s="358"/>
      <c r="P11" s="434"/>
      <c r="Q11" s="435">
        <f aca="true" t="shared" si="2" ref="Q11:Q16">SUM(O11:P11)</f>
        <v>0</v>
      </c>
    </row>
    <row r="12" spans="1:17" s="67" customFormat="1" ht="16.5" thickBot="1">
      <c r="A12" s="361">
        <v>2</v>
      </c>
      <c r="B12" s="980" t="s">
        <v>213</v>
      </c>
      <c r="C12" s="363"/>
      <c r="D12" s="358">
        <v>1350</v>
      </c>
      <c r="E12" s="358">
        <f>SUM(C12:D12)</f>
        <v>1350</v>
      </c>
      <c r="F12" s="363">
        <v>3333</v>
      </c>
      <c r="G12" s="358"/>
      <c r="H12" s="403">
        <f>SUM(F12:G12)</f>
        <v>3333</v>
      </c>
      <c r="I12" s="363"/>
      <c r="J12" s="358"/>
      <c r="K12" s="403">
        <f t="shared" si="0"/>
        <v>0</v>
      </c>
      <c r="L12" s="363"/>
      <c r="M12" s="358"/>
      <c r="N12" s="403">
        <f t="shared" si="1"/>
        <v>0</v>
      </c>
      <c r="O12" s="434"/>
      <c r="P12" s="434"/>
      <c r="Q12" s="435">
        <f t="shared" si="2"/>
        <v>0</v>
      </c>
    </row>
    <row r="13" spans="1:17" s="15" customFormat="1" ht="16.5" thickBot="1">
      <c r="A13" s="361">
        <v>3</v>
      </c>
      <c r="B13" s="348" t="s">
        <v>126</v>
      </c>
      <c r="C13" s="358">
        <v>950696</v>
      </c>
      <c r="D13" s="358">
        <v>161666</v>
      </c>
      <c r="E13" s="358">
        <f>SUM(C13:D13)</f>
        <v>1112362</v>
      </c>
      <c r="F13" s="363"/>
      <c r="G13" s="358"/>
      <c r="H13" s="403">
        <f>SUM(F13:G13)</f>
        <v>0</v>
      </c>
      <c r="I13" s="363"/>
      <c r="J13" s="358">
        <v>13</v>
      </c>
      <c r="K13" s="403">
        <f t="shared" si="0"/>
        <v>13</v>
      </c>
      <c r="L13" s="358"/>
      <c r="M13" s="358"/>
      <c r="N13" s="403">
        <f t="shared" si="1"/>
        <v>0</v>
      </c>
      <c r="O13" s="358">
        <v>4200</v>
      </c>
      <c r="P13" s="434"/>
      <c r="Q13" s="435">
        <f t="shared" si="2"/>
        <v>4200</v>
      </c>
    </row>
    <row r="14" spans="1:17" s="15" customFormat="1" ht="16.5" thickBot="1">
      <c r="A14" s="361">
        <v>4</v>
      </c>
      <c r="B14" s="348" t="s">
        <v>180</v>
      </c>
      <c r="C14" s="363"/>
      <c r="D14" s="358"/>
      <c r="E14" s="403">
        <f>SUM(C14:D14)</f>
        <v>0</v>
      </c>
      <c r="F14" s="360"/>
      <c r="G14" s="358"/>
      <c r="H14" s="362">
        <f>SUM(F14:G14)</f>
        <v>0</v>
      </c>
      <c r="I14" s="363"/>
      <c r="J14" s="358"/>
      <c r="K14" s="403">
        <f t="shared" si="0"/>
        <v>0</v>
      </c>
      <c r="L14" s="363"/>
      <c r="M14" s="358"/>
      <c r="N14" s="403">
        <f t="shared" si="1"/>
        <v>0</v>
      </c>
      <c r="O14" s="363"/>
      <c r="P14" s="358"/>
      <c r="Q14" s="403">
        <f t="shared" si="2"/>
        <v>0</v>
      </c>
    </row>
    <row r="15" spans="1:17" ht="15">
      <c r="A15" s="171" t="s">
        <v>108</v>
      </c>
      <c r="B15" s="160" t="s">
        <v>405</v>
      </c>
      <c r="C15" s="256"/>
      <c r="D15" s="256"/>
      <c r="E15" s="256">
        <f>C15+D15</f>
        <v>0</v>
      </c>
      <c r="F15" s="257"/>
      <c r="G15" s="256"/>
      <c r="H15" s="436">
        <f>F15+G15</f>
        <v>0</v>
      </c>
      <c r="I15" s="256"/>
      <c r="J15" s="256"/>
      <c r="K15" s="436">
        <f t="shared" si="0"/>
        <v>0</v>
      </c>
      <c r="L15" s="256"/>
      <c r="M15" s="256"/>
      <c r="N15" s="436">
        <f t="shared" si="1"/>
        <v>0</v>
      </c>
      <c r="O15" s="437"/>
      <c r="P15" s="437"/>
      <c r="Q15" s="438">
        <f t="shared" si="2"/>
        <v>0</v>
      </c>
    </row>
    <row r="16" spans="1:17" ht="15">
      <c r="A16" s="168" t="s">
        <v>109</v>
      </c>
      <c r="B16" s="164" t="s">
        <v>406</v>
      </c>
      <c r="C16" s="154"/>
      <c r="D16" s="154"/>
      <c r="E16" s="256">
        <f>C16+D16</f>
        <v>0</v>
      </c>
      <c r="F16" s="158"/>
      <c r="G16" s="154"/>
      <c r="H16" s="436">
        <f>F16+G16</f>
        <v>0</v>
      </c>
      <c r="I16" s="154"/>
      <c r="J16" s="154"/>
      <c r="K16" s="436">
        <f t="shared" si="0"/>
        <v>0</v>
      </c>
      <c r="L16" s="154"/>
      <c r="M16" s="154"/>
      <c r="N16" s="436">
        <f t="shared" si="1"/>
        <v>0</v>
      </c>
      <c r="O16" s="439"/>
      <c r="P16" s="439"/>
      <c r="Q16" s="438">
        <f t="shared" si="2"/>
        <v>0</v>
      </c>
    </row>
    <row r="17" spans="1:17" ht="15">
      <c r="A17" s="168" t="s">
        <v>110</v>
      </c>
      <c r="B17" s="164" t="s">
        <v>407</v>
      </c>
      <c r="C17" s="154"/>
      <c r="D17" s="154"/>
      <c r="E17" s="256">
        <f aca="true" t="shared" si="3" ref="E17:E22">C17+D17</f>
        <v>0</v>
      </c>
      <c r="F17" s="158"/>
      <c r="G17" s="154"/>
      <c r="H17" s="436">
        <f aca="true" t="shared" si="4" ref="H17:H22">F17+G17</f>
        <v>0</v>
      </c>
      <c r="I17" s="154"/>
      <c r="J17" s="154"/>
      <c r="K17" s="436">
        <f aca="true" t="shared" si="5" ref="K17:K22">SUM(I17:J17)</f>
        <v>0</v>
      </c>
      <c r="L17" s="154"/>
      <c r="M17" s="154"/>
      <c r="N17" s="436">
        <f aca="true" t="shared" si="6" ref="N17:N22">SUM(L17:M17)</f>
        <v>0</v>
      </c>
      <c r="O17" s="439"/>
      <c r="P17" s="439"/>
      <c r="Q17" s="438">
        <f aca="true" t="shared" si="7" ref="Q17:Q22">SUM(O17:P17)</f>
        <v>0</v>
      </c>
    </row>
    <row r="18" spans="1:17" ht="15">
      <c r="A18" s="168" t="s">
        <v>111</v>
      </c>
      <c r="B18" s="170" t="s">
        <v>408</v>
      </c>
      <c r="C18" s="350"/>
      <c r="D18" s="154"/>
      <c r="E18" s="273">
        <f t="shared" si="3"/>
        <v>0</v>
      </c>
      <c r="F18" s="954"/>
      <c r="G18" s="154"/>
      <c r="H18" s="258">
        <f t="shared" si="4"/>
        <v>0</v>
      </c>
      <c r="I18" s="154"/>
      <c r="J18" s="154"/>
      <c r="K18" s="436">
        <f t="shared" si="5"/>
        <v>0</v>
      </c>
      <c r="L18" s="154"/>
      <c r="M18" s="154"/>
      <c r="N18" s="436">
        <f t="shared" si="6"/>
        <v>0</v>
      </c>
      <c r="O18" s="439"/>
      <c r="P18" s="439"/>
      <c r="Q18" s="438">
        <f t="shared" si="7"/>
        <v>0</v>
      </c>
    </row>
    <row r="19" spans="1:17" ht="15">
      <c r="A19" s="163" t="s">
        <v>202</v>
      </c>
      <c r="B19" s="164" t="s">
        <v>409</v>
      </c>
      <c r="C19" s="954"/>
      <c r="D19" s="154"/>
      <c r="E19" s="273">
        <f>C19+D19</f>
        <v>0</v>
      </c>
      <c r="F19" s="954"/>
      <c r="G19" s="154"/>
      <c r="H19" s="258">
        <f>F19+G19</f>
        <v>0</v>
      </c>
      <c r="I19" s="154"/>
      <c r="J19" s="154"/>
      <c r="K19" s="436">
        <f>SUM(I19:J19)</f>
        <v>0</v>
      </c>
      <c r="L19" s="154"/>
      <c r="M19" s="154"/>
      <c r="N19" s="436">
        <f>SUM(L19:M19)</f>
        <v>0</v>
      </c>
      <c r="O19" s="439"/>
      <c r="P19" s="439"/>
      <c r="Q19" s="438">
        <f>SUM(O19:P19)</f>
        <v>0</v>
      </c>
    </row>
    <row r="20" spans="1:17" ht="15">
      <c r="A20" s="163" t="s">
        <v>359</v>
      </c>
      <c r="B20" s="164" t="s">
        <v>410</v>
      </c>
      <c r="C20" s="954"/>
      <c r="D20" s="154"/>
      <c r="E20" s="273">
        <f t="shared" si="3"/>
        <v>0</v>
      </c>
      <c r="F20" s="954"/>
      <c r="G20" s="154"/>
      <c r="H20" s="258">
        <f t="shared" si="4"/>
        <v>0</v>
      </c>
      <c r="I20" s="350"/>
      <c r="J20" s="154"/>
      <c r="K20" s="258">
        <f t="shared" si="5"/>
        <v>0</v>
      </c>
      <c r="L20" s="350"/>
      <c r="M20" s="154"/>
      <c r="N20" s="258">
        <f t="shared" si="6"/>
        <v>0</v>
      </c>
      <c r="O20" s="439"/>
      <c r="P20" s="439"/>
      <c r="Q20" s="438">
        <f t="shared" si="7"/>
        <v>0</v>
      </c>
    </row>
    <row r="21" spans="1:17" ht="15">
      <c r="A21" s="163" t="s">
        <v>361</v>
      </c>
      <c r="B21" s="170" t="s">
        <v>411</v>
      </c>
      <c r="C21" s="349"/>
      <c r="D21" s="256"/>
      <c r="E21" s="273">
        <f>C21+D21</f>
        <v>0</v>
      </c>
      <c r="F21" s="1180"/>
      <c r="G21" s="256"/>
      <c r="H21" s="258">
        <f t="shared" si="4"/>
        <v>0</v>
      </c>
      <c r="I21" s="349"/>
      <c r="J21" s="256"/>
      <c r="K21" s="258">
        <f t="shared" si="5"/>
        <v>0</v>
      </c>
      <c r="L21" s="349"/>
      <c r="M21" s="256"/>
      <c r="N21" s="258">
        <f t="shared" si="6"/>
        <v>0</v>
      </c>
      <c r="O21" s="1246"/>
      <c r="P21" s="439"/>
      <c r="Q21" s="1221">
        <f t="shared" si="7"/>
        <v>0</v>
      </c>
    </row>
    <row r="22" spans="1:17" ht="15" customHeight="1" thickBot="1">
      <c r="A22" s="16" t="s">
        <v>74</v>
      </c>
      <c r="B22" s="378" t="s">
        <v>412</v>
      </c>
      <c r="C22" s="351"/>
      <c r="D22" s="166"/>
      <c r="E22" s="273">
        <f t="shared" si="3"/>
        <v>0</v>
      </c>
      <c r="F22" s="955"/>
      <c r="G22" s="166"/>
      <c r="H22" s="258">
        <f t="shared" si="4"/>
        <v>0</v>
      </c>
      <c r="I22" s="933"/>
      <c r="J22" s="166"/>
      <c r="K22" s="258">
        <f t="shared" si="5"/>
        <v>0</v>
      </c>
      <c r="L22" s="351"/>
      <c r="M22" s="166"/>
      <c r="N22" s="258">
        <f t="shared" si="6"/>
        <v>0</v>
      </c>
      <c r="O22" s="1248"/>
      <c r="P22" s="440"/>
      <c r="Q22" s="1221">
        <f t="shared" si="7"/>
        <v>0</v>
      </c>
    </row>
    <row r="23" spans="1:17" s="15" customFormat="1" ht="16.5" thickBot="1">
      <c r="A23" s="361">
        <v>5</v>
      </c>
      <c r="B23" s="348" t="s">
        <v>179</v>
      </c>
      <c r="C23" s="392">
        <f aca="true" t="shared" si="8" ref="C23:Q23">SUM(C15:C22)</f>
        <v>0</v>
      </c>
      <c r="D23" s="358">
        <f t="shared" si="8"/>
        <v>0</v>
      </c>
      <c r="E23" s="364">
        <f t="shared" si="8"/>
        <v>0</v>
      </c>
      <c r="F23" s="374">
        <f t="shared" si="8"/>
        <v>0</v>
      </c>
      <c r="G23" s="358">
        <f t="shared" si="8"/>
        <v>0</v>
      </c>
      <c r="H23" s="374">
        <f t="shared" si="8"/>
        <v>0</v>
      </c>
      <c r="I23" s="392">
        <f t="shared" si="8"/>
        <v>0</v>
      </c>
      <c r="J23" s="358">
        <f t="shared" si="8"/>
        <v>0</v>
      </c>
      <c r="K23" s="364">
        <f t="shared" si="8"/>
        <v>0</v>
      </c>
      <c r="L23" s="392">
        <f t="shared" si="8"/>
        <v>0</v>
      </c>
      <c r="M23" s="358">
        <f t="shared" si="8"/>
        <v>0</v>
      </c>
      <c r="N23" s="364">
        <f t="shared" si="8"/>
        <v>0</v>
      </c>
      <c r="O23" s="392">
        <f t="shared" si="8"/>
        <v>0</v>
      </c>
      <c r="P23" s="358">
        <f t="shared" si="8"/>
        <v>0</v>
      </c>
      <c r="Q23" s="364">
        <f t="shared" si="8"/>
        <v>0</v>
      </c>
    </row>
    <row r="24" spans="1:17" ht="16.5" thickBot="1">
      <c r="A24" s="357">
        <v>6</v>
      </c>
      <c r="B24" s="348" t="s">
        <v>182</v>
      </c>
      <c r="C24" s="362">
        <v>969635</v>
      </c>
      <c r="D24" s="358">
        <v>16650</v>
      </c>
      <c r="E24" s="360">
        <f aca="true" t="shared" si="9" ref="E24:E30">SUM(C24:D24)</f>
        <v>986285</v>
      </c>
      <c r="F24" s="392"/>
      <c r="G24" s="358"/>
      <c r="H24" s="364">
        <f aca="true" t="shared" si="10" ref="H24:H30">SUM(F24:G24)</f>
        <v>0</v>
      </c>
      <c r="I24" s="362">
        <v>50000</v>
      </c>
      <c r="J24" s="358">
        <v>-13</v>
      </c>
      <c r="K24" s="364">
        <f aca="true" t="shared" si="11" ref="K24:K30">SUM(I24:J24)</f>
        <v>49987</v>
      </c>
      <c r="L24" s="362"/>
      <c r="M24" s="358"/>
      <c r="N24" s="364">
        <f aca="true" t="shared" si="12" ref="N24:N30">SUM(L24:M24)</f>
        <v>0</v>
      </c>
      <c r="O24" s="392">
        <v>3500</v>
      </c>
      <c r="P24" s="434"/>
      <c r="Q24" s="1222">
        <f aca="true" t="shared" si="13" ref="Q24:Q30">SUM(O24:P24)</f>
        <v>3500</v>
      </c>
    </row>
    <row r="25" spans="1:17" s="15" customFormat="1" ht="16.5" thickBot="1">
      <c r="A25" s="357">
        <v>7</v>
      </c>
      <c r="B25" s="348" t="s">
        <v>464</v>
      </c>
      <c r="C25" s="362">
        <v>1581891</v>
      </c>
      <c r="D25" s="358">
        <v>-23618</v>
      </c>
      <c r="E25" s="360">
        <f t="shared" si="9"/>
        <v>1558273</v>
      </c>
      <c r="F25" s="392"/>
      <c r="G25" s="358"/>
      <c r="H25" s="374">
        <f t="shared" si="10"/>
        <v>0</v>
      </c>
      <c r="I25" s="392"/>
      <c r="J25" s="358"/>
      <c r="K25" s="364">
        <f t="shared" si="11"/>
        <v>0</v>
      </c>
      <c r="L25" s="374"/>
      <c r="M25" s="358"/>
      <c r="N25" s="364">
        <f t="shared" si="12"/>
        <v>0</v>
      </c>
      <c r="O25" s="362"/>
      <c r="P25" s="434"/>
      <c r="Q25" s="1222">
        <f t="shared" si="13"/>
        <v>0</v>
      </c>
    </row>
    <row r="26" spans="1:17" ht="15">
      <c r="A26" s="171" t="s">
        <v>108</v>
      </c>
      <c r="B26" s="164" t="s">
        <v>413</v>
      </c>
      <c r="C26" s="349"/>
      <c r="D26" s="256"/>
      <c r="E26" s="273">
        <f t="shared" si="9"/>
        <v>0</v>
      </c>
      <c r="F26" s="1180"/>
      <c r="G26" s="256"/>
      <c r="H26" s="258">
        <f t="shared" si="10"/>
        <v>0</v>
      </c>
      <c r="I26" s="1180"/>
      <c r="J26" s="256"/>
      <c r="K26" s="258">
        <f t="shared" si="11"/>
        <v>0</v>
      </c>
      <c r="L26" s="349"/>
      <c r="M26" s="256"/>
      <c r="N26" s="258">
        <f t="shared" si="12"/>
        <v>0</v>
      </c>
      <c r="O26" s="349"/>
      <c r="P26" s="437"/>
      <c r="Q26" s="1221">
        <f t="shared" si="13"/>
        <v>0</v>
      </c>
    </row>
    <row r="27" spans="1:17" ht="15">
      <c r="A27" s="171" t="s">
        <v>109</v>
      </c>
      <c r="B27" s="164" t="s">
        <v>414</v>
      </c>
      <c r="C27" s="349"/>
      <c r="D27" s="256"/>
      <c r="E27" s="273">
        <f t="shared" si="9"/>
        <v>0</v>
      </c>
      <c r="F27" s="1180"/>
      <c r="G27" s="256"/>
      <c r="H27" s="258">
        <f t="shared" si="10"/>
        <v>0</v>
      </c>
      <c r="I27" s="1180"/>
      <c r="J27" s="256"/>
      <c r="K27" s="258">
        <f t="shared" si="11"/>
        <v>0</v>
      </c>
      <c r="L27" s="349"/>
      <c r="M27" s="256"/>
      <c r="N27" s="258">
        <f t="shared" si="12"/>
        <v>0</v>
      </c>
      <c r="O27" s="349"/>
      <c r="P27" s="437"/>
      <c r="Q27" s="1221">
        <f t="shared" si="13"/>
        <v>0</v>
      </c>
    </row>
    <row r="28" spans="1:17" ht="15">
      <c r="A28" s="171" t="s">
        <v>110</v>
      </c>
      <c r="B28" s="170" t="s">
        <v>415</v>
      </c>
      <c r="C28" s="349">
        <v>153125</v>
      </c>
      <c r="D28" s="256"/>
      <c r="E28" s="273">
        <f t="shared" si="9"/>
        <v>153125</v>
      </c>
      <c r="F28" s="1180"/>
      <c r="G28" s="256"/>
      <c r="H28" s="258">
        <f t="shared" si="10"/>
        <v>0</v>
      </c>
      <c r="I28" s="1180"/>
      <c r="J28" s="256"/>
      <c r="K28" s="258">
        <f t="shared" si="11"/>
        <v>0</v>
      </c>
      <c r="L28" s="349"/>
      <c r="M28" s="256"/>
      <c r="N28" s="258">
        <f t="shared" si="12"/>
        <v>0</v>
      </c>
      <c r="O28" s="349"/>
      <c r="P28" s="437"/>
      <c r="Q28" s="1221">
        <f t="shared" si="13"/>
        <v>0</v>
      </c>
    </row>
    <row r="29" spans="1:17" ht="15">
      <c r="A29" s="171" t="s">
        <v>111</v>
      </c>
      <c r="B29" s="164" t="s">
        <v>416</v>
      </c>
      <c r="C29" s="349"/>
      <c r="D29" s="256"/>
      <c r="E29" s="273">
        <f t="shared" si="9"/>
        <v>0</v>
      </c>
      <c r="F29" s="1180"/>
      <c r="G29" s="256"/>
      <c r="H29" s="258">
        <f t="shared" si="10"/>
        <v>0</v>
      </c>
      <c r="I29" s="1180"/>
      <c r="J29" s="256"/>
      <c r="K29" s="258">
        <f t="shared" si="11"/>
        <v>0</v>
      </c>
      <c r="L29" s="349"/>
      <c r="M29" s="256"/>
      <c r="N29" s="258">
        <f t="shared" si="12"/>
        <v>0</v>
      </c>
      <c r="O29" s="349"/>
      <c r="P29" s="437"/>
      <c r="Q29" s="1221">
        <f t="shared" si="13"/>
        <v>0</v>
      </c>
    </row>
    <row r="30" spans="1:17" ht="15.75" thickBot="1">
      <c r="A30" s="379" t="s">
        <v>202</v>
      </c>
      <c r="B30" s="170" t="s">
        <v>417</v>
      </c>
      <c r="C30" s="373"/>
      <c r="D30" s="365"/>
      <c r="E30" s="366">
        <f t="shared" si="9"/>
        <v>0</v>
      </c>
      <c r="F30" s="1181"/>
      <c r="G30" s="365"/>
      <c r="H30" s="368">
        <f t="shared" si="10"/>
        <v>0</v>
      </c>
      <c r="I30" s="1181"/>
      <c r="J30" s="365"/>
      <c r="K30" s="368">
        <f t="shared" si="11"/>
        <v>0</v>
      </c>
      <c r="L30" s="373"/>
      <c r="M30" s="365"/>
      <c r="N30" s="368">
        <f t="shared" si="12"/>
        <v>0</v>
      </c>
      <c r="O30" s="373"/>
      <c r="P30" s="443"/>
      <c r="Q30" s="1223">
        <f t="shared" si="13"/>
        <v>0</v>
      </c>
    </row>
    <row r="31" spans="1:17" s="15" customFormat="1" ht="16.5" thickBot="1">
      <c r="A31" s="357">
        <v>8</v>
      </c>
      <c r="B31" s="348" t="s">
        <v>181</v>
      </c>
      <c r="C31" s="392">
        <f aca="true" t="shared" si="14" ref="C31:Q31">SUM(C26:C30)</f>
        <v>153125</v>
      </c>
      <c r="D31" s="358">
        <f t="shared" si="14"/>
        <v>0</v>
      </c>
      <c r="E31" s="364">
        <f t="shared" si="14"/>
        <v>153125</v>
      </c>
      <c r="F31" s="374">
        <f t="shared" si="14"/>
        <v>0</v>
      </c>
      <c r="G31" s="358">
        <f t="shared" si="14"/>
        <v>0</v>
      </c>
      <c r="H31" s="374">
        <f t="shared" si="14"/>
        <v>0</v>
      </c>
      <c r="I31" s="392">
        <f t="shared" si="14"/>
        <v>0</v>
      </c>
      <c r="J31" s="358">
        <f t="shared" si="14"/>
        <v>0</v>
      </c>
      <c r="K31" s="364">
        <f t="shared" si="14"/>
        <v>0</v>
      </c>
      <c r="L31" s="392">
        <f t="shared" si="14"/>
        <v>0</v>
      </c>
      <c r="M31" s="358">
        <f t="shared" si="14"/>
        <v>0</v>
      </c>
      <c r="N31" s="374">
        <f t="shared" si="14"/>
        <v>0</v>
      </c>
      <c r="O31" s="392">
        <f t="shared" si="14"/>
        <v>0</v>
      </c>
      <c r="P31" s="358">
        <f t="shared" si="14"/>
        <v>0</v>
      </c>
      <c r="Q31" s="364">
        <f t="shared" si="14"/>
        <v>0</v>
      </c>
    </row>
    <row r="32" spans="1:17" ht="16.5" thickBot="1">
      <c r="A32" s="357">
        <v>9</v>
      </c>
      <c r="B32" s="348" t="s">
        <v>187</v>
      </c>
      <c r="C32" s="362"/>
      <c r="D32" s="358"/>
      <c r="E32" s="360">
        <f>SUM(C32:D32)</f>
        <v>0</v>
      </c>
      <c r="F32" s="392"/>
      <c r="G32" s="358"/>
      <c r="H32" s="364">
        <f>SUM(F32:G32)</f>
        <v>0</v>
      </c>
      <c r="I32" s="362"/>
      <c r="J32" s="358"/>
      <c r="K32" s="364">
        <f>SUM(I32:J32)</f>
        <v>0</v>
      </c>
      <c r="L32" s="362"/>
      <c r="M32" s="358"/>
      <c r="N32" s="364">
        <f>SUM(L32:M32)</f>
        <v>0</v>
      </c>
      <c r="O32" s="1234"/>
      <c r="P32" s="434"/>
      <c r="Q32" s="1222">
        <f>SUM(O32:P32)</f>
        <v>0</v>
      </c>
    </row>
    <row r="33" spans="1:21" s="37" customFormat="1" ht="16.5" thickBot="1">
      <c r="A33" s="412">
        <v>10</v>
      </c>
      <c r="B33" s="981"/>
      <c r="C33" s="1196"/>
      <c r="D33" s="422"/>
      <c r="E33" s="423">
        <f>SUM(C33:D33)</f>
        <v>0</v>
      </c>
      <c r="F33" s="336"/>
      <c r="G33" s="414"/>
      <c r="H33" s="1212">
        <f>SUM(F33:G33)</f>
        <v>0</v>
      </c>
      <c r="I33" s="173"/>
      <c r="J33" s="414"/>
      <c r="K33" s="1212">
        <f>SUM(I33:J33)</f>
        <v>0</v>
      </c>
      <c r="L33" s="173"/>
      <c r="M33" s="414"/>
      <c r="N33" s="1212">
        <f>SUM(L33:M33)</f>
        <v>0</v>
      </c>
      <c r="O33" s="173"/>
      <c r="P33" s="414"/>
      <c r="Q33" s="1212">
        <f>SUM(O33:P33)</f>
        <v>0</v>
      </c>
      <c r="R33" s="35"/>
      <c r="S33" s="35"/>
      <c r="T33" s="35"/>
      <c r="U33" s="35"/>
    </row>
    <row r="34" spans="1:96" s="38" customFormat="1" ht="17.25" thickBot="1" thickTop="1">
      <c r="A34" s="387" t="s">
        <v>118</v>
      </c>
      <c r="B34" s="411" t="s">
        <v>188</v>
      </c>
      <c r="C34" s="410">
        <f aca="true" t="shared" si="15" ref="C34:Q34">C11+C12+C13+C23+C14+C31+C25+C24+C32+C33</f>
        <v>3655347</v>
      </c>
      <c r="D34" s="388">
        <f t="shared" si="15"/>
        <v>163822</v>
      </c>
      <c r="E34" s="408">
        <f t="shared" si="15"/>
        <v>3819169</v>
      </c>
      <c r="F34" s="410">
        <f t="shared" si="15"/>
        <v>20000</v>
      </c>
      <c r="G34" s="388">
        <f t="shared" si="15"/>
        <v>0</v>
      </c>
      <c r="H34" s="408">
        <f t="shared" si="15"/>
        <v>20000</v>
      </c>
      <c r="I34" s="410">
        <f t="shared" si="15"/>
        <v>50000</v>
      </c>
      <c r="J34" s="388">
        <f t="shared" si="15"/>
        <v>0</v>
      </c>
      <c r="K34" s="408">
        <f t="shared" si="15"/>
        <v>50000</v>
      </c>
      <c r="L34" s="410">
        <f t="shared" si="15"/>
        <v>0</v>
      </c>
      <c r="M34" s="388">
        <f t="shared" si="15"/>
        <v>0</v>
      </c>
      <c r="N34" s="408">
        <f t="shared" si="15"/>
        <v>0</v>
      </c>
      <c r="O34" s="410">
        <f t="shared" si="15"/>
        <v>7700</v>
      </c>
      <c r="P34" s="388">
        <f t="shared" si="15"/>
        <v>0</v>
      </c>
      <c r="Q34" s="421">
        <f t="shared" si="15"/>
        <v>7700</v>
      </c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</row>
    <row r="35" spans="1:96" ht="17.25" thickBot="1" thickTop="1">
      <c r="A35" s="159"/>
      <c r="B35" s="391" t="s">
        <v>142</v>
      </c>
      <c r="C35" s="1197"/>
      <c r="D35" s="419"/>
      <c r="E35" s="968"/>
      <c r="F35" s="935"/>
      <c r="G35" s="345"/>
      <c r="H35" s="1213"/>
      <c r="I35" s="983"/>
      <c r="J35" s="345"/>
      <c r="K35" s="1213"/>
      <c r="L35" s="983"/>
      <c r="M35" s="345"/>
      <c r="N35" s="1213"/>
      <c r="O35" s="1182"/>
      <c r="P35" s="345"/>
      <c r="Q35" s="1213"/>
      <c r="R35" s="26"/>
      <c r="S35" s="26"/>
      <c r="T35" s="26"/>
      <c r="U35" s="26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</row>
    <row r="36" spans="1:17" s="808" customFormat="1" ht="15">
      <c r="A36" s="815" t="s">
        <v>108</v>
      </c>
      <c r="B36" s="816" t="s">
        <v>418</v>
      </c>
      <c r="C36" s="1190"/>
      <c r="D36" s="817"/>
      <c r="E36" s="822">
        <f aca="true" t="shared" si="16" ref="E36:E44">SUM(C36:D36)</f>
        <v>0</v>
      </c>
      <c r="F36" s="821"/>
      <c r="G36" s="817"/>
      <c r="H36" s="822">
        <f>SUM(F36:G36)</f>
        <v>0</v>
      </c>
      <c r="I36" s="1190"/>
      <c r="J36" s="817"/>
      <c r="K36" s="822">
        <f>SUM(I36:J36)</f>
        <v>0</v>
      </c>
      <c r="L36" s="1190"/>
      <c r="M36" s="817"/>
      <c r="N36" s="822">
        <f>SUM(L36:M36)</f>
        <v>0</v>
      </c>
      <c r="O36" s="1236"/>
      <c r="P36" s="820"/>
      <c r="Q36" s="1224">
        <f>SUM(O36:P36)</f>
        <v>0</v>
      </c>
    </row>
    <row r="37" spans="1:17" s="808" customFormat="1" ht="15">
      <c r="A37" s="168" t="s">
        <v>109</v>
      </c>
      <c r="B37" s="164" t="s">
        <v>259</v>
      </c>
      <c r="C37" s="954"/>
      <c r="D37" s="154"/>
      <c r="E37" s="177">
        <f t="shared" si="16"/>
        <v>0</v>
      </c>
      <c r="F37" s="932"/>
      <c r="G37" s="154"/>
      <c r="H37" s="177">
        <f>SUM(F37:G37)</f>
        <v>0</v>
      </c>
      <c r="I37" s="954"/>
      <c r="J37" s="154"/>
      <c r="K37" s="177">
        <f>SUM(I37:J37)</f>
        <v>0</v>
      </c>
      <c r="L37" s="954"/>
      <c r="M37" s="154"/>
      <c r="N37" s="177">
        <f>SUM(L37:M37)</f>
        <v>0</v>
      </c>
      <c r="O37" s="1231"/>
      <c r="P37" s="439"/>
      <c r="Q37" s="1225">
        <f>SUM(O37:P37)</f>
        <v>0</v>
      </c>
    </row>
    <row r="38" spans="1:17" s="808" customFormat="1" ht="15">
      <c r="A38" s="379" t="s">
        <v>110</v>
      </c>
      <c r="B38" s="157" t="s">
        <v>419</v>
      </c>
      <c r="C38" s="1181"/>
      <c r="D38" s="365"/>
      <c r="E38" s="368">
        <f t="shared" si="16"/>
        <v>0</v>
      </c>
      <c r="F38" s="172"/>
      <c r="G38" s="365"/>
      <c r="H38" s="368">
        <f>SUM(F38:G38)</f>
        <v>0</v>
      </c>
      <c r="I38" s="1181"/>
      <c r="J38" s="365"/>
      <c r="K38" s="368">
        <f>SUM(I38:J38)</f>
        <v>0</v>
      </c>
      <c r="L38" s="1181"/>
      <c r="M38" s="365"/>
      <c r="N38" s="368">
        <f>SUM(L38:M38)</f>
        <v>0</v>
      </c>
      <c r="O38" s="1235"/>
      <c r="P38" s="443"/>
      <c r="Q38" s="1223">
        <f>SUM(O38:P38)</f>
        <v>0</v>
      </c>
    </row>
    <row r="39" spans="1:17" s="808" customFormat="1" ht="15.75" thickBot="1">
      <c r="A39" s="169" t="s">
        <v>111</v>
      </c>
      <c r="B39" s="170" t="s">
        <v>423</v>
      </c>
      <c r="C39" s="955"/>
      <c r="D39" s="166"/>
      <c r="E39" s="272">
        <f t="shared" si="16"/>
        <v>0</v>
      </c>
      <c r="F39" s="933">
        <v>20000</v>
      </c>
      <c r="G39" s="166"/>
      <c r="H39" s="272">
        <f>SUM(F39:G39)</f>
        <v>20000</v>
      </c>
      <c r="I39" s="955"/>
      <c r="J39" s="166"/>
      <c r="K39" s="272">
        <f>SUM(I39:J39)</f>
        <v>0</v>
      </c>
      <c r="L39" s="955"/>
      <c r="M39" s="166"/>
      <c r="N39" s="272">
        <f>SUM(L39:M39)</f>
        <v>0</v>
      </c>
      <c r="O39" s="1233"/>
      <c r="P39" s="440"/>
      <c r="Q39" s="1226">
        <f>SUM(O39:P39)</f>
        <v>0</v>
      </c>
    </row>
    <row r="40" spans="1:17" s="15" customFormat="1" ht="16.5" thickBot="1">
      <c r="A40" s="357">
        <v>1</v>
      </c>
      <c r="B40" s="348" t="s">
        <v>185</v>
      </c>
      <c r="C40" s="392">
        <f aca="true" t="shared" si="17" ref="C40:Q40">SUM(C36:C39)</f>
        <v>0</v>
      </c>
      <c r="D40" s="358">
        <f t="shared" si="17"/>
        <v>0</v>
      </c>
      <c r="E40" s="364">
        <f t="shared" si="17"/>
        <v>0</v>
      </c>
      <c r="F40" s="392">
        <f t="shared" si="17"/>
        <v>20000</v>
      </c>
      <c r="G40" s="358">
        <f t="shared" si="17"/>
        <v>0</v>
      </c>
      <c r="H40" s="364">
        <f t="shared" si="17"/>
        <v>20000</v>
      </c>
      <c r="I40" s="392">
        <f t="shared" si="17"/>
        <v>0</v>
      </c>
      <c r="J40" s="358">
        <f t="shared" si="17"/>
        <v>0</v>
      </c>
      <c r="K40" s="364">
        <f t="shared" si="17"/>
        <v>0</v>
      </c>
      <c r="L40" s="392">
        <f t="shared" si="17"/>
        <v>0</v>
      </c>
      <c r="M40" s="358">
        <f t="shared" si="17"/>
        <v>0</v>
      </c>
      <c r="N40" s="364">
        <f t="shared" si="17"/>
        <v>0</v>
      </c>
      <c r="O40" s="392">
        <f t="shared" si="17"/>
        <v>0</v>
      </c>
      <c r="P40" s="358">
        <f t="shared" si="17"/>
        <v>0</v>
      </c>
      <c r="Q40" s="364">
        <f t="shared" si="17"/>
        <v>0</v>
      </c>
    </row>
    <row r="41" spans="1:17" ht="15">
      <c r="A41" s="171" t="s">
        <v>108</v>
      </c>
      <c r="B41" s="160" t="s">
        <v>445</v>
      </c>
      <c r="C41" s="1180"/>
      <c r="D41" s="256"/>
      <c r="E41" s="258">
        <f t="shared" si="16"/>
        <v>0</v>
      </c>
      <c r="F41" s="934"/>
      <c r="G41" s="256"/>
      <c r="H41" s="258">
        <f>SUM(F41:G41)</f>
        <v>0</v>
      </c>
      <c r="I41" s="1180"/>
      <c r="J41" s="256"/>
      <c r="K41" s="258">
        <f>SUM(I41:J41)</f>
        <v>0</v>
      </c>
      <c r="L41" s="1180"/>
      <c r="M41" s="256"/>
      <c r="N41" s="258">
        <f>SUM(L41:M41)</f>
        <v>0</v>
      </c>
      <c r="O41" s="1232"/>
      <c r="P41" s="437"/>
      <c r="Q41" s="1221">
        <f>SUM(O41:P41)</f>
        <v>0</v>
      </c>
    </row>
    <row r="42" spans="1:17" ht="15">
      <c r="A42" s="168" t="s">
        <v>109</v>
      </c>
      <c r="B42" s="164" t="s">
        <v>420</v>
      </c>
      <c r="C42" s="954"/>
      <c r="D42" s="154"/>
      <c r="E42" s="177">
        <f t="shared" si="16"/>
        <v>0</v>
      </c>
      <c r="F42" s="932"/>
      <c r="G42" s="154"/>
      <c r="H42" s="177">
        <f>SUM(F42:G42)</f>
        <v>0</v>
      </c>
      <c r="I42" s="954"/>
      <c r="J42" s="154"/>
      <c r="K42" s="177">
        <f>SUM(I42:J42)</f>
        <v>0</v>
      </c>
      <c r="L42" s="954"/>
      <c r="M42" s="154"/>
      <c r="N42" s="177">
        <f>SUM(L42:M42)</f>
        <v>0</v>
      </c>
      <c r="O42" s="1231"/>
      <c r="P42" s="439"/>
      <c r="Q42" s="1225">
        <f>SUM(O42:P42)</f>
        <v>0</v>
      </c>
    </row>
    <row r="43" spans="1:17" ht="15">
      <c r="A43" s="168" t="s">
        <v>110</v>
      </c>
      <c r="B43" s="164" t="s">
        <v>421</v>
      </c>
      <c r="C43" s="954"/>
      <c r="D43" s="154"/>
      <c r="E43" s="177">
        <f t="shared" si="16"/>
        <v>0</v>
      </c>
      <c r="F43" s="932"/>
      <c r="G43" s="154"/>
      <c r="H43" s="177">
        <f>SUM(F43:G43)</f>
        <v>0</v>
      </c>
      <c r="I43" s="954"/>
      <c r="J43" s="154"/>
      <c r="K43" s="177">
        <f>SUM(I43:J43)</f>
        <v>0</v>
      </c>
      <c r="L43" s="954"/>
      <c r="M43" s="154"/>
      <c r="N43" s="177">
        <f>SUM(L43:M43)</f>
        <v>0</v>
      </c>
      <c r="O43" s="1231"/>
      <c r="P43" s="439"/>
      <c r="Q43" s="1225">
        <f>SUM(O43:P43)</f>
        <v>0</v>
      </c>
    </row>
    <row r="44" spans="1:17" ht="15.75" thickBot="1">
      <c r="A44" s="169" t="s">
        <v>111</v>
      </c>
      <c r="B44" s="170" t="s">
        <v>183</v>
      </c>
      <c r="C44" s="955"/>
      <c r="D44" s="166"/>
      <c r="E44" s="272">
        <f t="shared" si="16"/>
        <v>0</v>
      </c>
      <c r="F44" s="933"/>
      <c r="G44" s="166"/>
      <c r="H44" s="272">
        <f>SUM(F44:G44)</f>
        <v>0</v>
      </c>
      <c r="I44" s="955"/>
      <c r="J44" s="166"/>
      <c r="K44" s="272">
        <f>SUM(I44:J44)</f>
        <v>0</v>
      </c>
      <c r="L44" s="955"/>
      <c r="M44" s="166"/>
      <c r="N44" s="272">
        <f>SUM(L44:M44)</f>
        <v>0</v>
      </c>
      <c r="O44" s="1233"/>
      <c r="P44" s="440"/>
      <c r="Q44" s="1226">
        <f>SUM(O44:P44)</f>
        <v>0</v>
      </c>
    </row>
    <row r="45" spans="1:17" s="15" customFormat="1" ht="16.5" thickBot="1">
      <c r="A45" s="357">
        <v>2</v>
      </c>
      <c r="B45" s="348" t="s">
        <v>184</v>
      </c>
      <c r="C45" s="392">
        <f>SUM(C41:C44)</f>
        <v>0</v>
      </c>
      <c r="D45" s="358">
        <f aca="true" t="shared" si="18" ref="D45:Q45">SUM(D41:D44)</f>
        <v>0</v>
      </c>
      <c r="E45" s="360">
        <f t="shared" si="18"/>
        <v>0</v>
      </c>
      <c r="F45" s="392">
        <f t="shared" si="18"/>
        <v>0</v>
      </c>
      <c r="G45" s="358">
        <f t="shared" si="18"/>
        <v>0</v>
      </c>
      <c r="H45" s="360">
        <f t="shared" si="18"/>
        <v>0</v>
      </c>
      <c r="I45" s="392">
        <f t="shared" si="18"/>
        <v>0</v>
      </c>
      <c r="J45" s="358">
        <f t="shared" si="18"/>
        <v>0</v>
      </c>
      <c r="K45" s="360">
        <f t="shared" si="18"/>
        <v>0</v>
      </c>
      <c r="L45" s="392">
        <f t="shared" si="18"/>
        <v>0</v>
      </c>
      <c r="M45" s="358">
        <f t="shared" si="18"/>
        <v>0</v>
      </c>
      <c r="N45" s="374">
        <f t="shared" si="18"/>
        <v>0</v>
      </c>
      <c r="O45" s="392">
        <f t="shared" si="18"/>
        <v>0</v>
      </c>
      <c r="P45" s="358">
        <f t="shared" si="18"/>
        <v>0</v>
      </c>
      <c r="Q45" s="364">
        <f t="shared" si="18"/>
        <v>0</v>
      </c>
    </row>
    <row r="46" spans="1:17" s="15" customFormat="1" ht="16.5" thickBot="1">
      <c r="A46" s="357">
        <v>3</v>
      </c>
      <c r="B46" s="348" t="s">
        <v>278</v>
      </c>
      <c r="C46" s="392"/>
      <c r="D46" s="358">
        <v>442</v>
      </c>
      <c r="E46" s="360">
        <f>SUM(C46:D46)</f>
        <v>442</v>
      </c>
      <c r="F46" s="392"/>
      <c r="G46" s="358"/>
      <c r="H46" s="360">
        <f>SUM(F46:G46)</f>
        <v>0</v>
      </c>
      <c r="I46" s="392"/>
      <c r="J46" s="358"/>
      <c r="K46" s="360">
        <f>SUM(I46:J46)</f>
        <v>0</v>
      </c>
      <c r="L46" s="392"/>
      <c r="M46" s="358"/>
      <c r="N46" s="374">
        <f>SUM(L46:M46)</f>
        <v>0</v>
      </c>
      <c r="O46" s="392"/>
      <c r="P46" s="358"/>
      <c r="Q46" s="364">
        <f>SUM(O46:P46)</f>
        <v>0</v>
      </c>
    </row>
    <row r="47" spans="1:17" ht="16.5" thickBot="1">
      <c r="A47" s="357">
        <v>4</v>
      </c>
      <c r="B47" s="348" t="s">
        <v>299</v>
      </c>
      <c r="C47" s="392"/>
      <c r="D47" s="358"/>
      <c r="E47" s="360">
        <f>SUM(C47:D47)</f>
        <v>0</v>
      </c>
      <c r="F47" s="392"/>
      <c r="G47" s="358"/>
      <c r="H47" s="360">
        <f>SUM(F47:G47)</f>
        <v>0</v>
      </c>
      <c r="I47" s="392"/>
      <c r="J47" s="358"/>
      <c r="K47" s="360">
        <f>SUM(I47:J47)</f>
        <v>0</v>
      </c>
      <c r="L47" s="392"/>
      <c r="M47" s="358"/>
      <c r="N47" s="374">
        <f>SUM(L47:M47)</f>
        <v>0</v>
      </c>
      <c r="O47" s="392"/>
      <c r="P47" s="358"/>
      <c r="Q47" s="364">
        <f>SUM(O47:P47)</f>
        <v>0</v>
      </c>
    </row>
    <row r="48" spans="1:17" s="808" customFormat="1" ht="15">
      <c r="A48" s="171" t="s">
        <v>108</v>
      </c>
      <c r="B48" s="157" t="s">
        <v>305</v>
      </c>
      <c r="C48" s="1180"/>
      <c r="D48" s="256"/>
      <c r="E48" s="258">
        <f>SUM(C48:D48)</f>
        <v>0</v>
      </c>
      <c r="F48" s="934"/>
      <c r="G48" s="256"/>
      <c r="H48" s="258">
        <f>SUM(F48:G48)</f>
        <v>0</v>
      </c>
      <c r="I48" s="1180"/>
      <c r="J48" s="256"/>
      <c r="K48" s="258">
        <f>SUM(I48:J48)</f>
        <v>0</v>
      </c>
      <c r="L48" s="1180"/>
      <c r="M48" s="256"/>
      <c r="N48" s="258">
        <f>SUM(L48:M48)</f>
        <v>0</v>
      </c>
      <c r="O48" s="1232"/>
      <c r="P48" s="437"/>
      <c r="Q48" s="1221">
        <f>SUM(O48:P48)</f>
        <v>0</v>
      </c>
    </row>
    <row r="49" spans="1:17" ht="15">
      <c r="A49" s="169" t="s">
        <v>109</v>
      </c>
      <c r="B49" s="378" t="s">
        <v>422</v>
      </c>
      <c r="C49" s="954"/>
      <c r="D49" s="154"/>
      <c r="E49" s="177">
        <f>SUM(C49:D49)</f>
        <v>0</v>
      </c>
      <c r="F49" s="932"/>
      <c r="G49" s="154"/>
      <c r="H49" s="177">
        <f>SUM(F49:G49)</f>
        <v>0</v>
      </c>
      <c r="I49" s="954"/>
      <c r="J49" s="154"/>
      <c r="K49" s="177">
        <f>SUM(I49:J49)</f>
        <v>0</v>
      </c>
      <c r="L49" s="954"/>
      <c r="M49" s="154"/>
      <c r="N49" s="177">
        <f>SUM(L49:M49)</f>
        <v>0</v>
      </c>
      <c r="O49" s="1231"/>
      <c r="P49" s="439"/>
      <c r="Q49" s="1225">
        <f>SUM(O49:P49)</f>
        <v>0</v>
      </c>
    </row>
    <row r="50" spans="1:17" ht="15.75" thickBot="1">
      <c r="A50" s="169" t="s">
        <v>110</v>
      </c>
      <c r="B50" s="378" t="s">
        <v>455</v>
      </c>
      <c r="C50" s="954"/>
      <c r="D50" s="154">
        <v>108383</v>
      </c>
      <c r="E50" s="177">
        <f>SUM(C50:D50)</f>
        <v>108383</v>
      </c>
      <c r="F50" s="932"/>
      <c r="G50" s="154"/>
      <c r="H50" s="177">
        <f>SUM(F50:G50)</f>
        <v>0</v>
      </c>
      <c r="I50" s="954"/>
      <c r="J50" s="154"/>
      <c r="K50" s="177">
        <f>SUM(I50:J50)</f>
        <v>0</v>
      </c>
      <c r="L50" s="954"/>
      <c r="M50" s="154"/>
      <c r="N50" s="177">
        <f>SUM(L50:M50)</f>
        <v>0</v>
      </c>
      <c r="O50" s="1231"/>
      <c r="P50" s="439"/>
      <c r="Q50" s="1225">
        <f>SUM(O50:P50)</f>
        <v>0</v>
      </c>
    </row>
    <row r="51" spans="1:17" s="15" customFormat="1" ht="16.5" thickBot="1">
      <c r="A51" s="357">
        <v>5</v>
      </c>
      <c r="B51" s="348" t="s">
        <v>186</v>
      </c>
      <c r="C51" s="392">
        <f>SUM(C48:C50)</f>
        <v>0</v>
      </c>
      <c r="D51" s="358">
        <f>SUM(D48:D50)</f>
        <v>108383</v>
      </c>
      <c r="E51" s="360">
        <f aca="true" t="shared" si="19" ref="E51:Q51">SUM(E48:E50)</f>
        <v>108383</v>
      </c>
      <c r="F51" s="392">
        <f t="shared" si="19"/>
        <v>0</v>
      </c>
      <c r="G51" s="358">
        <f t="shared" si="19"/>
        <v>0</v>
      </c>
      <c r="H51" s="360">
        <f t="shared" si="19"/>
        <v>0</v>
      </c>
      <c r="I51" s="392">
        <f t="shared" si="19"/>
        <v>0</v>
      </c>
      <c r="J51" s="358">
        <f t="shared" si="19"/>
        <v>0</v>
      </c>
      <c r="K51" s="360">
        <f t="shared" si="19"/>
        <v>0</v>
      </c>
      <c r="L51" s="392">
        <f t="shared" si="19"/>
        <v>0</v>
      </c>
      <c r="M51" s="358">
        <f t="shared" si="19"/>
        <v>0</v>
      </c>
      <c r="N51" s="360">
        <f t="shared" si="19"/>
        <v>0</v>
      </c>
      <c r="O51" s="392">
        <f t="shared" si="19"/>
        <v>0</v>
      </c>
      <c r="P51" s="358">
        <f t="shared" si="19"/>
        <v>0</v>
      </c>
      <c r="Q51" s="364">
        <f t="shared" si="19"/>
        <v>0</v>
      </c>
    </row>
    <row r="52" spans="1:17" s="15" customFormat="1" ht="16.5" thickBot="1">
      <c r="A52" s="811">
        <v>6</v>
      </c>
      <c r="B52" s="812" t="s">
        <v>309</v>
      </c>
      <c r="C52" s="1183"/>
      <c r="D52" s="383">
        <v>60</v>
      </c>
      <c r="E52" s="376">
        <f>SUM(C52:D52)</f>
        <v>60</v>
      </c>
      <c r="F52" s="377"/>
      <c r="G52" s="383"/>
      <c r="H52" s="376">
        <f>SUM(F52:G52)</f>
        <v>0</v>
      </c>
      <c r="I52" s="1189"/>
      <c r="J52" s="383"/>
      <c r="K52" s="376">
        <f>SUM(I52:J52)</f>
        <v>0</v>
      </c>
      <c r="L52" s="1189"/>
      <c r="M52" s="383"/>
      <c r="N52" s="376">
        <f>SUM(L52:M52)</f>
        <v>0</v>
      </c>
      <c r="O52" s="1237"/>
      <c r="P52" s="805"/>
      <c r="Q52" s="1227">
        <f>SUM(O52:P52)</f>
        <v>0</v>
      </c>
    </row>
    <row r="53" spans="1:17" ht="15">
      <c r="A53" s="152" t="s">
        <v>108</v>
      </c>
      <c r="B53" s="153" t="s">
        <v>424</v>
      </c>
      <c r="C53" s="1184"/>
      <c r="D53" s="155"/>
      <c r="E53" s="215">
        <f>SUM(C53:D53)</f>
        <v>0</v>
      </c>
      <c r="F53" s="936"/>
      <c r="G53" s="155"/>
      <c r="H53" s="215">
        <f>SUM(F53:G53)</f>
        <v>0</v>
      </c>
      <c r="I53" s="1184"/>
      <c r="J53" s="155"/>
      <c r="K53" s="215">
        <f>SUM(I53:J53)</f>
        <v>0</v>
      </c>
      <c r="L53" s="1184"/>
      <c r="M53" s="155"/>
      <c r="N53" s="215">
        <f>SUM(L53:M53)</f>
        <v>0</v>
      </c>
      <c r="O53" s="1238"/>
      <c r="P53" s="448"/>
      <c r="Q53" s="1228">
        <f>SUM(O53:P53)</f>
        <v>0</v>
      </c>
    </row>
    <row r="54" spans="1:17" ht="15.75" thickBot="1">
      <c r="A54" s="379" t="s">
        <v>109</v>
      </c>
      <c r="B54" s="157" t="s">
        <v>425</v>
      </c>
      <c r="C54" s="1181"/>
      <c r="D54" s="365">
        <v>150000</v>
      </c>
      <c r="E54" s="368">
        <f>SUM(C54:D54)</f>
        <v>150000</v>
      </c>
      <c r="F54" s="172"/>
      <c r="G54" s="365"/>
      <c r="H54" s="368">
        <f>SUM(F54:G54)</f>
        <v>0</v>
      </c>
      <c r="I54" s="1181"/>
      <c r="J54" s="365"/>
      <c r="K54" s="368">
        <f>SUM(I54:J54)</f>
        <v>0</v>
      </c>
      <c r="L54" s="1181"/>
      <c r="M54" s="365"/>
      <c r="N54" s="368">
        <f>SUM(L54:M54)</f>
        <v>0</v>
      </c>
      <c r="O54" s="1235"/>
      <c r="P54" s="443"/>
      <c r="Q54" s="1223">
        <f>SUM(O54:P54)</f>
        <v>0</v>
      </c>
    </row>
    <row r="55" spans="1:17" s="15" customFormat="1" ht="17.25" customHeight="1" thickBot="1">
      <c r="A55" s="357">
        <v>7</v>
      </c>
      <c r="B55" s="348" t="s">
        <v>189</v>
      </c>
      <c r="C55" s="392">
        <f>SUM(C53:C54)</f>
        <v>0</v>
      </c>
      <c r="D55" s="358">
        <f aca="true" t="shared" si="20" ref="D55:Q55">SUM(D53:D54)</f>
        <v>150000</v>
      </c>
      <c r="E55" s="360">
        <f t="shared" si="20"/>
        <v>150000</v>
      </c>
      <c r="F55" s="392">
        <f t="shared" si="20"/>
        <v>0</v>
      </c>
      <c r="G55" s="358">
        <f t="shared" si="20"/>
        <v>0</v>
      </c>
      <c r="H55" s="360">
        <f t="shared" si="20"/>
        <v>0</v>
      </c>
      <c r="I55" s="392">
        <f t="shared" si="20"/>
        <v>0</v>
      </c>
      <c r="J55" s="358">
        <f t="shared" si="20"/>
        <v>0</v>
      </c>
      <c r="K55" s="360">
        <f t="shared" si="20"/>
        <v>0</v>
      </c>
      <c r="L55" s="392">
        <f t="shared" si="20"/>
        <v>0</v>
      </c>
      <c r="M55" s="358">
        <f t="shared" si="20"/>
        <v>0</v>
      </c>
      <c r="N55" s="360">
        <f t="shared" si="20"/>
        <v>0</v>
      </c>
      <c r="O55" s="1191">
        <f t="shared" si="20"/>
        <v>0</v>
      </c>
      <c r="P55" s="1193">
        <f t="shared" si="20"/>
        <v>0</v>
      </c>
      <c r="Q55" s="1195">
        <f t="shared" si="20"/>
        <v>0</v>
      </c>
    </row>
    <row r="56" spans="1:17" s="67" customFormat="1" ht="19.5" customHeight="1" thickBot="1">
      <c r="A56" s="762">
        <v>8</v>
      </c>
      <c r="B56" s="763" t="s">
        <v>46</v>
      </c>
      <c r="C56" s="1216">
        <f>C34-C40-C45-C46-C47-C51-C52-C55-C57-C58-C59</f>
        <v>3655347</v>
      </c>
      <c r="D56" s="1217">
        <f>D34-D40-D45-D46-D47-D51-D52-D55-D57-D58-D59</f>
        <v>-95063</v>
      </c>
      <c r="E56" s="1214">
        <f aca="true" t="shared" si="21" ref="E56:Q56">E34-E40-E45-E46-E47-E51-E52-E55-E57-E58-E59</f>
        <v>3560284</v>
      </c>
      <c r="F56" s="1216">
        <f t="shared" si="21"/>
        <v>0</v>
      </c>
      <c r="G56" s="1217">
        <f t="shared" si="21"/>
        <v>0</v>
      </c>
      <c r="H56" s="1214">
        <f t="shared" si="21"/>
        <v>0</v>
      </c>
      <c r="I56" s="1216">
        <f t="shared" si="21"/>
        <v>50000</v>
      </c>
      <c r="J56" s="1217">
        <f t="shared" si="21"/>
        <v>0</v>
      </c>
      <c r="K56" s="1214">
        <f t="shared" si="21"/>
        <v>50000</v>
      </c>
      <c r="L56" s="1216">
        <f t="shared" si="21"/>
        <v>0</v>
      </c>
      <c r="M56" s="1217">
        <f t="shared" si="21"/>
        <v>0</v>
      </c>
      <c r="N56" s="1214">
        <f t="shared" si="21"/>
        <v>0</v>
      </c>
      <c r="O56" s="1239">
        <f t="shared" si="21"/>
        <v>7700</v>
      </c>
      <c r="P56" s="1241">
        <f t="shared" si="21"/>
        <v>0</v>
      </c>
      <c r="Q56" s="1229">
        <f t="shared" si="21"/>
        <v>7700</v>
      </c>
    </row>
    <row r="57" spans="1:17" s="15" customFormat="1" ht="15.75">
      <c r="A57" s="380" t="s">
        <v>427</v>
      </c>
      <c r="B57" s="381" t="s">
        <v>192</v>
      </c>
      <c r="C57" s="1186"/>
      <c r="D57" s="371"/>
      <c r="E57" s="1215">
        <f>SUM(C57:D57)</f>
        <v>0</v>
      </c>
      <c r="F57" s="937"/>
      <c r="G57" s="371"/>
      <c r="H57" s="1215">
        <f>SUM(F57:G57)</f>
        <v>0</v>
      </c>
      <c r="I57" s="1186"/>
      <c r="J57" s="371"/>
      <c r="K57" s="1215">
        <f>SUM(I57:J57)</f>
        <v>0</v>
      </c>
      <c r="L57" s="1186"/>
      <c r="M57" s="371"/>
      <c r="N57" s="1215">
        <f>SUM(L57:M57)</f>
        <v>0</v>
      </c>
      <c r="O57" s="1240"/>
      <c r="P57" s="451"/>
      <c r="Q57" s="1230">
        <f>SUM(O57:P57)</f>
        <v>0</v>
      </c>
    </row>
    <row r="58" spans="1:17" s="15" customFormat="1" ht="15.75">
      <c r="A58" s="380" t="s">
        <v>191</v>
      </c>
      <c r="B58" s="381" t="s">
        <v>426</v>
      </c>
      <c r="C58" s="370"/>
      <c r="D58" s="371"/>
      <c r="E58" s="449">
        <f>SUM(C58:D58)</f>
        <v>0</v>
      </c>
      <c r="F58" s="375"/>
      <c r="G58" s="371"/>
      <c r="H58" s="449">
        <f>SUM(F58:G58)</f>
        <v>0</v>
      </c>
      <c r="I58" s="1186"/>
      <c r="J58" s="371"/>
      <c r="K58" s="1215">
        <f>SUM(I58:J58)</f>
        <v>0</v>
      </c>
      <c r="L58" s="1186"/>
      <c r="M58" s="371"/>
      <c r="N58" s="1215">
        <f>SUM(L58:M58)</f>
        <v>0</v>
      </c>
      <c r="O58" s="1240"/>
      <c r="P58" s="451"/>
      <c r="Q58" s="1230">
        <f>SUM(O58:P58)</f>
        <v>0</v>
      </c>
    </row>
    <row r="59" spans="1:17" s="15" customFormat="1" ht="16.5" thickBot="1">
      <c r="A59" s="396">
        <v>10</v>
      </c>
      <c r="B59" s="397"/>
      <c r="C59" s="398"/>
      <c r="D59" s="399"/>
      <c r="E59" s="453">
        <f>SUM(C59:D59)</f>
        <v>0</v>
      </c>
      <c r="F59" s="401"/>
      <c r="G59" s="399"/>
      <c r="H59" s="454">
        <f>SUM(F59:G59)</f>
        <v>0</v>
      </c>
      <c r="I59" s="398"/>
      <c r="J59" s="399"/>
      <c r="K59" s="454">
        <f>SUM(I59:J59)</f>
        <v>0</v>
      </c>
      <c r="L59" s="398"/>
      <c r="M59" s="399"/>
      <c r="N59" s="454">
        <f>SUM(L59:M59)</f>
        <v>0</v>
      </c>
      <c r="O59" s="455"/>
      <c r="P59" s="456"/>
      <c r="Q59" s="457">
        <f>SUM(O59:P59)</f>
        <v>0</v>
      </c>
    </row>
    <row r="60" spans="1:17" s="35" customFormat="1" ht="17.25" thickBot="1" thickTop="1">
      <c r="A60" s="387" t="s">
        <v>119</v>
      </c>
      <c r="B60" s="390" t="s">
        <v>190</v>
      </c>
      <c r="C60" s="825">
        <f>C40+C45+C46+C47+C51+C52+C55+C56+C57+C58+C59</f>
        <v>3655347</v>
      </c>
      <c r="D60" s="826">
        <f aca="true" t="shared" si="22" ref="D60:Q60">D40+D45+D46+D47+D51+D52+D55+D56+D57+D58+D59</f>
        <v>163822</v>
      </c>
      <c r="E60" s="824">
        <f t="shared" si="22"/>
        <v>3819169</v>
      </c>
      <c r="F60" s="409">
        <f t="shared" si="22"/>
        <v>20000</v>
      </c>
      <c r="G60" s="388">
        <f t="shared" si="22"/>
        <v>0</v>
      </c>
      <c r="H60" s="824">
        <f t="shared" si="22"/>
        <v>20000</v>
      </c>
      <c r="I60" s="825">
        <f t="shared" si="22"/>
        <v>50000</v>
      </c>
      <c r="J60" s="826">
        <f t="shared" si="22"/>
        <v>0</v>
      </c>
      <c r="K60" s="824">
        <f t="shared" si="22"/>
        <v>50000</v>
      </c>
      <c r="L60" s="409">
        <f t="shared" si="22"/>
        <v>0</v>
      </c>
      <c r="M60" s="388">
        <f t="shared" si="22"/>
        <v>0</v>
      </c>
      <c r="N60" s="824">
        <f t="shared" si="22"/>
        <v>0</v>
      </c>
      <c r="O60" s="409">
        <f t="shared" si="22"/>
        <v>7700</v>
      </c>
      <c r="P60" s="388">
        <f t="shared" si="22"/>
        <v>0</v>
      </c>
      <c r="Q60" s="421">
        <f t="shared" si="22"/>
        <v>7700</v>
      </c>
    </row>
    <row r="61" spans="1:17" ht="13.5" customHeight="1" thickBot="1" thickTop="1">
      <c r="A61" s="178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458"/>
      <c r="P61" s="458"/>
      <c r="Q61" s="458"/>
    </row>
    <row r="62" spans="1:17" ht="16.5" thickBot="1" thickTop="1">
      <c r="A62" s="182"/>
      <c r="B62" s="183" t="s">
        <v>580</v>
      </c>
      <c r="C62" s="216">
        <v>0</v>
      </c>
      <c r="D62" s="217"/>
      <c r="E62" s="985">
        <v>0</v>
      </c>
      <c r="F62" s="986"/>
      <c r="G62" s="459"/>
      <c r="H62" s="460">
        <f>SUM(F62:G62)</f>
        <v>0</v>
      </c>
      <c r="I62" s="986"/>
      <c r="J62" s="459"/>
      <c r="K62" s="460">
        <f>SUM(I62:J62)</f>
        <v>0</v>
      </c>
      <c r="L62" s="216">
        <v>0</v>
      </c>
      <c r="M62" s="459"/>
      <c r="N62" s="460">
        <f>SUM(L62:M62)</f>
        <v>0</v>
      </c>
      <c r="O62" s="462">
        <v>0</v>
      </c>
      <c r="P62" s="987"/>
      <c r="Q62" s="464">
        <f>SUM(O62:P62)</f>
        <v>0</v>
      </c>
    </row>
    <row r="63" spans="1:17" ht="16.5" thickBot="1" thickTop="1">
      <c r="A63" s="182"/>
      <c r="B63" s="183" t="s">
        <v>581</v>
      </c>
      <c r="C63" s="216"/>
      <c r="D63" s="217"/>
      <c r="E63" s="985">
        <v>0</v>
      </c>
      <c r="F63" s="986">
        <v>15</v>
      </c>
      <c r="G63" s="459"/>
      <c r="H63" s="460">
        <f>SUM(F63:G63)</f>
        <v>15</v>
      </c>
      <c r="I63" s="986"/>
      <c r="J63" s="459"/>
      <c r="K63" s="460">
        <f>SUM(I63:J63)</f>
        <v>0</v>
      </c>
      <c r="L63" s="216">
        <v>0</v>
      </c>
      <c r="M63" s="459"/>
      <c r="N63" s="460">
        <f>SUM(L63:M63)</f>
        <v>0</v>
      </c>
      <c r="O63" s="462">
        <v>0</v>
      </c>
      <c r="P63" s="987"/>
      <c r="Q63" s="464">
        <f>SUM(O63:P63)</f>
        <v>0</v>
      </c>
    </row>
    <row r="64" ht="16.5" thickTop="1">
      <c r="A64" s="465"/>
    </row>
    <row r="65" ht="15.75">
      <c r="A65" s="465"/>
    </row>
  </sheetData>
  <sheetProtection/>
  <mergeCells count="7">
    <mergeCell ref="A4:Q4"/>
    <mergeCell ref="A5:Q5"/>
    <mergeCell ref="C7:E7"/>
    <mergeCell ref="F7:H7"/>
    <mergeCell ref="I7:K7"/>
    <mergeCell ref="L7:N7"/>
    <mergeCell ref="O7:Q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Kisfaludi Emese</cp:lastModifiedBy>
  <cp:lastPrinted>2018-09-14T07:25:31Z</cp:lastPrinted>
  <dcterms:created xsi:type="dcterms:W3CDTF">2001-11-27T10:09:29Z</dcterms:created>
  <dcterms:modified xsi:type="dcterms:W3CDTF">2018-09-18T09:24:44Z</dcterms:modified>
  <cp:category/>
  <cp:version/>
  <cp:contentType/>
  <cp:contentStatus/>
</cp:coreProperties>
</file>