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ltsegvetesi\harkai.gabor\2020. ÉV\2019. ÉVI BESZÁMOLÓ\Ingatlanok, gépek, immat jav leltár\2019. év\Önkormányzat\12 főkönyv\"/>
    </mc:Choice>
  </mc:AlternateContent>
  <bookViews>
    <workbookView xWindow="0" yWindow="0" windowWidth="28800" windowHeight="11700"/>
  </bookViews>
  <sheets>
    <sheet name="19.01.01-19.12.31" sheetId="1" r:id="rId1"/>
    <sheet name="Munka2" sheetId="2" r:id="rId2"/>
    <sheet name="Munka3" sheetId="3" r:id="rId3"/>
  </sheets>
  <definedNames>
    <definedName name="_xlnm._FilterDatabase" localSheetId="0" hidden="1">'19.01.01-19.12.31'!$A$5:$AC$68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0" i="1" l="1"/>
  <c r="W59" i="1"/>
  <c r="W61" i="1"/>
  <c r="G48" i="1"/>
  <c r="G39" i="1"/>
  <c r="P48" i="1" l="1"/>
  <c r="P39" i="1"/>
  <c r="N7" i="1" l="1"/>
  <c r="N8" i="1"/>
  <c r="N10" i="1"/>
  <c r="N11" i="1"/>
  <c r="N14" i="1"/>
  <c r="N17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6" i="1"/>
  <c r="S7" i="1" l="1"/>
  <c r="T7" i="1"/>
  <c r="S8" i="1"/>
  <c r="T8" i="1"/>
  <c r="T9" i="1"/>
  <c r="S10" i="1"/>
  <c r="T10" i="1"/>
  <c r="S11" i="1"/>
  <c r="T11" i="1"/>
  <c r="T12" i="1"/>
  <c r="S13" i="1"/>
  <c r="T13" i="1"/>
  <c r="S14" i="1"/>
  <c r="T14" i="1"/>
  <c r="T15" i="1"/>
  <c r="T16" i="1"/>
  <c r="S17" i="1"/>
  <c r="T17" i="1"/>
  <c r="T18" i="1"/>
  <c r="T19" i="1"/>
  <c r="S20" i="1"/>
  <c r="T20" i="1"/>
  <c r="S21" i="1"/>
  <c r="T21" i="1"/>
  <c r="S22" i="1"/>
  <c r="T22" i="1"/>
  <c r="S23" i="1"/>
  <c r="T23" i="1"/>
  <c r="S24" i="1"/>
  <c r="T24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T35" i="1"/>
  <c r="S36" i="1"/>
  <c r="S37" i="1"/>
  <c r="T37" i="1"/>
  <c r="S38" i="1"/>
  <c r="T38" i="1"/>
  <c r="S39" i="1"/>
  <c r="T39" i="1"/>
  <c r="S40" i="1"/>
  <c r="S41" i="1"/>
  <c r="T41" i="1"/>
  <c r="S42" i="1"/>
  <c r="T42" i="1"/>
  <c r="S43" i="1"/>
  <c r="S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T6" i="1"/>
  <c r="S6" i="1"/>
  <c r="R6" i="1"/>
  <c r="Q6" i="1"/>
  <c r="Q76" i="1"/>
  <c r="K44" i="1"/>
  <c r="T44" i="1" s="1"/>
  <c r="K43" i="1"/>
  <c r="T43" i="1" s="1"/>
  <c r="K40" i="1"/>
  <c r="T40" i="1" s="1"/>
  <c r="K36" i="1"/>
  <c r="T36" i="1" s="1"/>
  <c r="J35" i="1"/>
  <c r="J25" i="1"/>
  <c r="N25" i="1" s="1"/>
  <c r="J19" i="1"/>
  <c r="S19" i="1" s="1"/>
  <c r="J18" i="1"/>
  <c r="N18" i="1" s="1"/>
  <c r="J16" i="1"/>
  <c r="S16" i="1" s="1"/>
  <c r="J15" i="1"/>
  <c r="J12" i="1"/>
  <c r="J9" i="1"/>
  <c r="S12" i="1" l="1"/>
  <c r="N12" i="1"/>
  <c r="S25" i="1"/>
  <c r="S15" i="1"/>
  <c r="N15" i="1"/>
  <c r="S9" i="1"/>
  <c r="Q78" i="1" s="1"/>
  <c r="N9" i="1"/>
  <c r="T53" i="1"/>
  <c r="S18" i="1"/>
  <c r="Q79" i="1" s="1"/>
  <c r="K53" i="1"/>
  <c r="S35" i="1"/>
  <c r="J53" i="1"/>
  <c r="S53" i="1" l="1"/>
  <c r="Q77" i="1"/>
  <c r="AP7" i="1" l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6" i="1"/>
  <c r="M44" i="1" l="1"/>
  <c r="M43" i="1"/>
  <c r="M40" i="1"/>
  <c r="M36" i="1"/>
  <c r="L35" i="1"/>
  <c r="N35" i="1" s="1"/>
  <c r="L13" i="1"/>
  <c r="N13" i="1" s="1"/>
  <c r="L16" i="1"/>
  <c r="N16" i="1" s="1"/>
  <c r="L19" i="1"/>
  <c r="N19" i="1" s="1"/>
  <c r="N53" i="1" l="1"/>
  <c r="R49" i="1"/>
  <c r="Y80" i="1" l="1"/>
  <c r="Y73" i="1"/>
  <c r="Y72" i="1"/>
  <c r="Y74" i="1" l="1"/>
  <c r="Q82" i="1"/>
  <c r="Q80" i="1" s="1"/>
  <c r="P103" i="1" l="1"/>
  <c r="P128" i="1"/>
  <c r="R98" i="1"/>
  <c r="R99" i="1"/>
  <c r="P91" i="1"/>
  <c r="P94" i="1"/>
  <c r="P131" i="1" l="1"/>
  <c r="Q28" i="1" l="1"/>
  <c r="Q27" i="1"/>
  <c r="Y27" i="1" s="1"/>
  <c r="Q8" i="1"/>
  <c r="Q9" i="1"/>
  <c r="Y9" i="1" s="1"/>
  <c r="Q10" i="1"/>
  <c r="Q81" i="1" s="1"/>
  <c r="Q11" i="1"/>
  <c r="Q12" i="1"/>
  <c r="Q13" i="1"/>
  <c r="Q14" i="1"/>
  <c r="Q15" i="1"/>
  <c r="Q16" i="1"/>
  <c r="Q17" i="1"/>
  <c r="Q18" i="1"/>
  <c r="Q19" i="1"/>
  <c r="Q20" i="1"/>
  <c r="Q23" i="1"/>
  <c r="Q24" i="1"/>
  <c r="W24" i="1" s="1"/>
  <c r="Q25" i="1"/>
  <c r="Q29" i="1"/>
  <c r="Q31" i="1"/>
  <c r="Q32" i="1"/>
  <c r="X32" i="1" s="1"/>
  <c r="Q34" i="1"/>
  <c r="Q35" i="1"/>
  <c r="Q36" i="1"/>
  <c r="Q33" i="1"/>
  <c r="Q30" i="1"/>
  <c r="Q26" i="1"/>
  <c r="Q22" i="1"/>
  <c r="Q21" i="1"/>
  <c r="Q7" i="1"/>
  <c r="Q86" i="1" l="1"/>
  <c r="Q88" i="1" s="1"/>
  <c r="Y12" i="1"/>
  <c r="V12" i="1"/>
  <c r="V24" i="1"/>
  <c r="V27" i="1"/>
  <c r="V32" i="1"/>
  <c r="V49" i="1"/>
  <c r="U12" i="1"/>
  <c r="U24" i="1"/>
  <c r="U27" i="1"/>
  <c r="U32" i="1"/>
  <c r="U47" i="1"/>
  <c r="U49" i="1"/>
  <c r="D53" i="1"/>
  <c r="E53" i="1"/>
  <c r="F53" i="1"/>
  <c r="G53" i="1"/>
  <c r="H53" i="1"/>
  <c r="I53" i="1"/>
  <c r="H56" i="1" l="1"/>
  <c r="W67" i="1"/>
  <c r="W68" i="1" s="1"/>
  <c r="W86" i="1" s="1"/>
  <c r="X60" i="1" l="1"/>
  <c r="M53" i="1" l="1"/>
  <c r="M56" i="1" s="1"/>
  <c r="L53" i="1"/>
  <c r="P53" i="1"/>
  <c r="L56" i="1" l="1"/>
  <c r="K57" i="1"/>
  <c r="X61" i="1"/>
  <c r="X62" i="1" s="1"/>
  <c r="O53" i="1" l="1"/>
  <c r="O56" i="1" s="1"/>
  <c r="R47" i="1" l="1"/>
  <c r="V47" i="1" s="1"/>
  <c r="U16" i="1" l="1"/>
  <c r="R7" i="1"/>
  <c r="V7" i="1" s="1"/>
  <c r="U8" i="1"/>
  <c r="R8" i="1"/>
  <c r="V8" i="1" s="1"/>
  <c r="U9" i="1"/>
  <c r="R9" i="1"/>
  <c r="V9" i="1" s="1"/>
  <c r="R10" i="1"/>
  <c r="V10" i="1" s="1"/>
  <c r="R11" i="1"/>
  <c r="V11" i="1" s="1"/>
  <c r="U13" i="1"/>
  <c r="R13" i="1"/>
  <c r="V13" i="1" s="1"/>
  <c r="U14" i="1"/>
  <c r="R14" i="1"/>
  <c r="V14" i="1" s="1"/>
  <c r="R15" i="1"/>
  <c r="V15" i="1" s="1"/>
  <c r="R16" i="1"/>
  <c r="V16" i="1" s="1"/>
  <c r="U17" i="1"/>
  <c r="R17" i="1"/>
  <c r="V17" i="1" s="1"/>
  <c r="U18" i="1"/>
  <c r="R18" i="1"/>
  <c r="V18" i="1" s="1"/>
  <c r="U19" i="1"/>
  <c r="R19" i="1"/>
  <c r="V19" i="1" s="1"/>
  <c r="U20" i="1"/>
  <c r="R20" i="1"/>
  <c r="V20" i="1" s="1"/>
  <c r="U21" i="1"/>
  <c r="R21" i="1"/>
  <c r="V21" i="1" s="1"/>
  <c r="U22" i="1"/>
  <c r="R22" i="1"/>
  <c r="V22" i="1" s="1"/>
  <c r="U23" i="1"/>
  <c r="R23" i="1"/>
  <c r="V23" i="1" s="1"/>
  <c r="U25" i="1"/>
  <c r="R25" i="1"/>
  <c r="V25" i="1" s="1"/>
  <c r="U26" i="1"/>
  <c r="R26" i="1"/>
  <c r="V26" i="1" s="1"/>
  <c r="U28" i="1"/>
  <c r="R28" i="1"/>
  <c r="V28" i="1" s="1"/>
  <c r="U29" i="1"/>
  <c r="R29" i="1"/>
  <c r="V29" i="1" s="1"/>
  <c r="U30" i="1"/>
  <c r="R30" i="1"/>
  <c r="V30" i="1" s="1"/>
  <c r="U31" i="1"/>
  <c r="R31" i="1"/>
  <c r="V31" i="1" s="1"/>
  <c r="U33" i="1"/>
  <c r="R33" i="1"/>
  <c r="V33" i="1" s="1"/>
  <c r="U34" i="1"/>
  <c r="R34" i="1"/>
  <c r="V34" i="1" s="1"/>
  <c r="U35" i="1"/>
  <c r="R35" i="1"/>
  <c r="V35" i="1" s="1"/>
  <c r="U36" i="1"/>
  <c r="R36" i="1"/>
  <c r="V36" i="1" s="1"/>
  <c r="Q37" i="1"/>
  <c r="U37" i="1" s="1"/>
  <c r="R37" i="1"/>
  <c r="V37" i="1" s="1"/>
  <c r="Q38" i="1"/>
  <c r="U38" i="1" s="1"/>
  <c r="R38" i="1"/>
  <c r="V38" i="1" s="1"/>
  <c r="Q39" i="1"/>
  <c r="U39" i="1" s="1"/>
  <c r="R39" i="1"/>
  <c r="V39" i="1" s="1"/>
  <c r="Q40" i="1"/>
  <c r="U40" i="1" s="1"/>
  <c r="R40" i="1"/>
  <c r="V40" i="1" s="1"/>
  <c r="Q41" i="1"/>
  <c r="U41" i="1" s="1"/>
  <c r="R41" i="1"/>
  <c r="V41" i="1" s="1"/>
  <c r="Q42" i="1"/>
  <c r="U42" i="1" s="1"/>
  <c r="R42" i="1"/>
  <c r="V42" i="1" s="1"/>
  <c r="Q43" i="1"/>
  <c r="U43" i="1" s="1"/>
  <c r="R43" i="1"/>
  <c r="V43" i="1" s="1"/>
  <c r="Q44" i="1"/>
  <c r="U44" i="1" s="1"/>
  <c r="R44" i="1"/>
  <c r="V44" i="1" s="1"/>
  <c r="Q45" i="1"/>
  <c r="U45" i="1" s="1"/>
  <c r="R45" i="1"/>
  <c r="V45" i="1" s="1"/>
  <c r="Q46" i="1"/>
  <c r="U46" i="1" s="1"/>
  <c r="R46" i="1"/>
  <c r="V46" i="1" s="1"/>
  <c r="Q48" i="1"/>
  <c r="U48" i="1" s="1"/>
  <c r="R48" i="1"/>
  <c r="V48" i="1" s="1"/>
  <c r="Q50" i="1"/>
  <c r="U50" i="1" s="1"/>
  <c r="R50" i="1"/>
  <c r="V50" i="1" s="1"/>
  <c r="Q51" i="1"/>
  <c r="U51" i="1" s="1"/>
  <c r="R51" i="1"/>
  <c r="V51" i="1" s="1"/>
  <c r="Q52" i="1"/>
  <c r="U52" i="1" s="1"/>
  <c r="R52" i="1"/>
  <c r="V52" i="1" s="1"/>
  <c r="V6" i="1"/>
  <c r="U6" i="1"/>
  <c r="U11" i="1" l="1"/>
  <c r="W11" i="1"/>
  <c r="U7" i="1"/>
  <c r="Q53" i="1"/>
  <c r="Y8" i="1"/>
  <c r="W33" i="1"/>
  <c r="Z29" i="1"/>
  <c r="AA29" i="1" s="1"/>
  <c r="AA53" i="1" s="1"/>
  <c r="Y25" i="1"/>
  <c r="Y21" i="1"/>
  <c r="Y18" i="1"/>
  <c r="Y7" i="1"/>
  <c r="Y35" i="1"/>
  <c r="W31" i="1"/>
  <c r="Z28" i="1"/>
  <c r="AB28" i="1" s="1"/>
  <c r="X23" i="1"/>
  <c r="Y20" i="1"/>
  <c r="X17" i="1"/>
  <c r="X14" i="1"/>
  <c r="Z30" i="1"/>
  <c r="AC30" i="1" s="1"/>
  <c r="AC53" i="1" s="1"/>
  <c r="X22" i="1"/>
  <c r="Z26" i="1"/>
  <c r="AB26" i="1" s="1"/>
  <c r="Y19" i="1"/>
  <c r="W13" i="1"/>
  <c r="R53" i="1"/>
  <c r="W6" i="1"/>
  <c r="W34" i="1"/>
  <c r="W16" i="1"/>
  <c r="AB53" i="1" l="1"/>
  <c r="AC56" i="1" s="1"/>
  <c r="Z53" i="1"/>
  <c r="AE53" i="1" s="1"/>
  <c r="Y53" i="1"/>
  <c r="Y60" i="1" s="1"/>
  <c r="W53" i="1"/>
  <c r="U15" i="1"/>
  <c r="U10" i="1"/>
  <c r="AC57" i="1" l="1"/>
  <c r="U53" i="1"/>
  <c r="V53" i="1"/>
  <c r="X10" i="1"/>
  <c r="R57" i="1"/>
  <c r="U57" i="1" s="1"/>
  <c r="Y59" i="1"/>
  <c r="X15" i="1"/>
  <c r="U55" i="1" l="1"/>
  <c r="X53" i="1"/>
  <c r="Z56" i="1" l="1"/>
  <c r="Z57" i="1" s="1"/>
  <c r="Y61" i="1"/>
  <c r="Y62" i="1" s="1"/>
  <c r="W62" i="1"/>
</calcChain>
</file>

<file path=xl/sharedStrings.xml><?xml version="1.0" encoding="utf-8"?>
<sst xmlns="http://schemas.openxmlformats.org/spreadsheetml/2006/main" count="361" uniqueCount="185">
  <si>
    <t>Főkönyv típus</t>
  </si>
  <si>
    <t>Főkönyvi számlaszám</t>
  </si>
  <si>
    <t>Főkönyvi számla neve</t>
  </si>
  <si>
    <t>Tartozik nyitó</t>
  </si>
  <si>
    <t>Tartozik forgalom</t>
  </si>
  <si>
    <t>Követel forgalom</t>
  </si>
  <si>
    <t>Tartozik egyenleg</t>
  </si>
  <si>
    <t>Követel egyenleg</t>
  </si>
  <si>
    <t>Állományi</t>
  </si>
  <si>
    <t>1211213</t>
  </si>
  <si>
    <t>ÜZLETI (FORGALOMKÉPES) LAKÓTELEK AKT. ÁLL.</t>
  </si>
  <si>
    <t>12112211</t>
  </si>
  <si>
    <t>FORG.KÉPT.FÖLDTER.AKT.ÁLL.ÉRT.</t>
  </si>
  <si>
    <t>12112212</t>
  </si>
  <si>
    <t>FORG.KÉPT.UTAK FÖLDTER.AKT.ÁLL.ÉRT.</t>
  </si>
  <si>
    <t>12112213</t>
  </si>
  <si>
    <t>FORG.KÉPT.TEREK,PARKOK FÖLDTER.AKT.ÁLL.ÉRT.</t>
  </si>
  <si>
    <t>1211222</t>
  </si>
  <si>
    <t>KORLÁTOZOTTAN FORGALOMKÉPES EGYÉB CÉLÚ TEL AKT ÁLL</t>
  </si>
  <si>
    <t>12112231</t>
  </si>
  <si>
    <t>FORG.KÉP.FÖLDTER.AKT.ÁLL.ÉRT.</t>
  </si>
  <si>
    <t>1211313</t>
  </si>
  <si>
    <t>ÜZLETI (FORGALOMKÉPES) LAKÓÉPÜLETEK AKT. ÁLL. ÉRT.</t>
  </si>
  <si>
    <t>1211322</t>
  </si>
  <si>
    <t>KORLÁTOZOTTAN FORGALOMKÉP. ÉRT. NEM CSÖK ÉP AKT ÁL</t>
  </si>
  <si>
    <t>1211332</t>
  </si>
  <si>
    <t>KORLÁTOZOTTAN FORGALOMKÉPES EGYÉB ÉP. AKT. ÁLL. ÉR</t>
  </si>
  <si>
    <t>1211333</t>
  </si>
  <si>
    <t>ÜZLETI (FORGALOMKÉPES) EGYÉB ÉP. AKT. ÁLL. ÉRT.</t>
  </si>
  <si>
    <t>1211334</t>
  </si>
  <si>
    <t>VADÁSZ U. 11-13 ÉPÜLETENERGETIA AKT. ÁLL</t>
  </si>
  <si>
    <t>1211401</t>
  </si>
  <si>
    <t>FORG.KÉPT.KÜLÖNF.UTAK ÉP., /FŐUTCA I. ÜTEM/ ÁLL</t>
  </si>
  <si>
    <t>1211402</t>
  </si>
  <si>
    <t>FORG.KÉPT.KÜLÖNF.TEREK,PARK/FŐUTCA I. ÜTEM/ ÁLL</t>
  </si>
  <si>
    <t>1211403</t>
  </si>
  <si>
    <t>FORG.KÉPT.KÜLÖNF.ZÖLDTER.AKT.ÁLL.ÉRT.</t>
  </si>
  <si>
    <t>1211404</t>
  </si>
  <si>
    <t>FORG.KÉPT.KÜLÖNF.NÖV /FŐUTCA I. ÜTEM/ AKT ÁLL</t>
  </si>
  <si>
    <t>1211442</t>
  </si>
  <si>
    <t>KORLÁTOZOTTAN FORG.KÉPES ÉRTÉKÉT N.CSÖK.ÉP.AKT.ÁLL</t>
  </si>
  <si>
    <t>1211492</t>
  </si>
  <si>
    <t>KORLÁTOZOTTAN FORG.KÉPES KÜLÖNFÉLE EGYÉB ÉP.AKT.ÁL</t>
  </si>
  <si>
    <t>1214911</t>
  </si>
  <si>
    <t>FORG. KÉPT KÜLÖNF. UTAK, FŐUTCA I. AKT ÁLL.</t>
  </si>
  <si>
    <t>12182221</t>
  </si>
  <si>
    <t>Ü-RE,K-BE ADOTT KORL.FORG.KÉP.FÖLDTER.AKT.ÁLL.ÉRT</t>
  </si>
  <si>
    <t>1218332</t>
  </si>
  <si>
    <t>ÜZEM.KEZ.-BE ADOTT,KOR.FORG.KÉPES EGYÉB ÉP. ÁLL.ÉR</t>
  </si>
  <si>
    <t>1218333</t>
  </si>
  <si>
    <t>ÜZEM.KEZ.-BE ADOTT FORG.KÉPES EGYÉB ÉP. ÁLL. ÉRT.</t>
  </si>
  <si>
    <t>1218401</t>
  </si>
  <si>
    <t>Ü-RE,K-BE ADOTT FORG.KÉPT.KÜLÖNF.UTAK AKT.ÁLL.ÉRT.</t>
  </si>
  <si>
    <t>12192313</t>
  </si>
  <si>
    <t>TELJ.0-IG LEÍRT FORG.KÉPES LAKÓÉP. AKT.ÁLL.ÉRT.</t>
  </si>
  <si>
    <t>1219233</t>
  </si>
  <si>
    <t>Telj. 0-ig leírt egyéb épületek aktiv. áll. értéke</t>
  </si>
  <si>
    <t>12192333</t>
  </si>
  <si>
    <t>TELJ.0-IG LEÍRT FORG.KÉPES EGYÉB ÉP. AKT.ÁLL.ÉRT.</t>
  </si>
  <si>
    <t>12192403</t>
  </si>
  <si>
    <t>0-IG LEÍRT FORG.KÉPT.KÜLÖNF.ZÖLDTER.AKT.ÁLL.ÉRT.</t>
  </si>
  <si>
    <t>1291313</t>
  </si>
  <si>
    <t>FORG.KÉP.LAKÓÉP.TERV.SZ.ÉCS.</t>
  </si>
  <si>
    <t>1291322</t>
  </si>
  <si>
    <t>KORL.FORG.KÉP. MŰEMLÉK ÉP.TERV SZ.ÉCS.</t>
  </si>
  <si>
    <t>129133</t>
  </si>
  <si>
    <t>Egyéb épületek terv szerinti ÉCS</t>
  </si>
  <si>
    <t>1291332</t>
  </si>
  <si>
    <t>KORL.FORG.KÉP.EGY.ÉP.TERV SZ.ÉCS.</t>
  </si>
  <si>
    <t>1291333</t>
  </si>
  <si>
    <t>FORG.KÉP.EGY.ÉP.TERV.SZ.ÉCS</t>
  </si>
  <si>
    <t>1291334</t>
  </si>
  <si>
    <t>VADÁSZ U.11-13. ÉPÜLETENEG ÉCS.</t>
  </si>
  <si>
    <t>1291401</t>
  </si>
  <si>
    <t>FORG.KÉPT.KÜLÖNF.UTAK ÉP. TERV SZ. ÉCS.</t>
  </si>
  <si>
    <t>1291402</t>
  </si>
  <si>
    <t>FORG.KÉPT.KÜLÖNF.TEREK,PARKOK ÉP.TERV SZ.ÉCS.</t>
  </si>
  <si>
    <t>1291403</t>
  </si>
  <si>
    <t>FORG.KÉPT.KÜLÖNF.ZÖLDTER.ÉP.TERV SZ.ÉCS.</t>
  </si>
  <si>
    <t>1291404</t>
  </si>
  <si>
    <t>FORG.KÉPT.KÜLÖNF.NÖVÉNYT.ÉP.TERV.SZ.ÉCS.</t>
  </si>
  <si>
    <t>1291442</t>
  </si>
  <si>
    <t>KORL.FORG.KÉP.MŰEMLÉK ÉP.TERV SZ.ÉCS</t>
  </si>
  <si>
    <t>1291492</t>
  </si>
  <si>
    <t>KORL.FORG.KÉP.MŰEMLÉK ÉP.TERV SZ.ÉCS.</t>
  </si>
  <si>
    <t>1298332</t>
  </si>
  <si>
    <t>ÜZEM.KEZ.ADOTT KORL.FORG.KÉP.EGY.ÉP.TERV SZ.ÉCS</t>
  </si>
  <si>
    <t>1298333</t>
  </si>
  <si>
    <t>ÜZEM.KEZ.ADOTT FORG.KÉP.EGY.ÉP.TERV SZ.ÉCS.</t>
  </si>
  <si>
    <t>1298401</t>
  </si>
  <si>
    <t>Ü-RE,K-BE ADOTT FORG.KÉPT.KÜLÖNF.UTAK TERV SZ.ÉCS.</t>
  </si>
  <si>
    <t>FŐKÖNYV</t>
  </si>
  <si>
    <t>ELTÉRÉS</t>
  </si>
  <si>
    <t>összesen</t>
  </si>
  <si>
    <t>1291491</t>
  </si>
  <si>
    <t>óvoda, Bölcsi, ESZI</t>
  </si>
  <si>
    <t>forgalomképesség szerint</t>
  </si>
  <si>
    <t>üzemeltetésre adott forgslomképesség szerint</t>
  </si>
  <si>
    <t>üzleti</t>
  </si>
  <si>
    <t>korl</t>
  </si>
  <si>
    <t>forg képt</t>
  </si>
  <si>
    <t>üzemeltetésre</t>
  </si>
  <si>
    <t>Harkai Gábor</t>
  </si>
  <si>
    <t>korlátozottan forgalomképes</t>
  </si>
  <si>
    <t>forgalomképtelen</t>
  </si>
  <si>
    <t>eltérés:</t>
  </si>
  <si>
    <t>összesen forgalomképesség szerint:</t>
  </si>
  <si>
    <t>üzleti forgslomképesség szerint:</t>
  </si>
  <si>
    <t>nettó:</t>
  </si>
  <si>
    <t>bruttó</t>
  </si>
  <si>
    <t>vagyonkezelésbe adott</t>
  </si>
  <si>
    <t>Fővárosi Önkorm</t>
  </si>
  <si>
    <t>Belső- Pesti Tankerület:</t>
  </si>
  <si>
    <t>ÖSSZESEN</t>
  </si>
  <si>
    <t>VAGYONKEZ</t>
  </si>
  <si>
    <t>ÖNKORM</t>
  </si>
  <si>
    <t>kataszterbe</t>
  </si>
  <si>
    <t>Bohrát Gábor</t>
  </si>
  <si>
    <t>forgalomképes (üzleti)</t>
  </si>
  <si>
    <t>FORG.KÉPT.KÜLÖNF.EGY.ÉP.TERV.SZ.ÉCS</t>
  </si>
  <si>
    <t>MNV Zrt</t>
  </si>
  <si>
    <t>rakpart</t>
  </si>
  <si>
    <t>iskolák</t>
  </si>
  <si>
    <t>Vértanuk tere</t>
  </si>
  <si>
    <t>2019.12.31.</t>
  </si>
  <si>
    <t>2120/7/2020.02.14</t>
  </si>
  <si>
    <t>Követel Nyitó</t>
  </si>
  <si>
    <t>1211311</t>
  </si>
  <si>
    <t>FORGALOMKÉPTELEN LAKÓÉPÜLETEK AKT. ÁLL. ÉRT.</t>
  </si>
  <si>
    <t>1211493</t>
  </si>
  <si>
    <t>ÜZLETI(FORGALOMKÉPES) KÜLÖNFÉLE EGYÉB ÉP.AKT.ÁLL.É</t>
  </si>
  <si>
    <t>1218331</t>
  </si>
  <si>
    <t>ÜZEM.KEZ.-BE ADOTT FORG.KÉPTELEN EGYÉB ÉP. ÁLL.ÉR.</t>
  </si>
  <si>
    <t>12192322</t>
  </si>
  <si>
    <t>TELJ.0-IG LEÍRT KORL.FORG.KÉPES MŰEMLÉKÉP.AKT.ÁLL.</t>
  </si>
  <si>
    <t>1291493</t>
  </si>
  <si>
    <t>12 FŐKÖNYV, EGYEZTETŐ</t>
  </si>
  <si>
    <t>Önkormányzat</t>
  </si>
  <si>
    <t>földterület</t>
  </si>
  <si>
    <t>zöldterület</t>
  </si>
  <si>
    <t>zöldterületen lévő építmények (park)</t>
  </si>
  <si>
    <t>közlekedési területek (utak)</t>
  </si>
  <si>
    <t>lakóépületek, otthonházak</t>
  </si>
  <si>
    <t>Egészségügyi int (BLESZ)</t>
  </si>
  <si>
    <t>szálló jellegű ép (Balatonfenyves, Balatonszepezd)</t>
  </si>
  <si>
    <t>Kataszterhez</t>
  </si>
  <si>
    <t>köznevelési intézmények (iskola, óvodák, pszszk)</t>
  </si>
  <si>
    <t>óvoda</t>
  </si>
  <si>
    <t>pszszk</t>
  </si>
  <si>
    <t>bölcsi nem kerül ide maradnak az egyéb ép- ben</t>
  </si>
  <si>
    <t>kulturális int, (Aranytíz, Szépegy)</t>
  </si>
  <si>
    <t>Szép1 (Kossuth L u. 3.)</t>
  </si>
  <si>
    <t>iskolák (konyha, orvosi helység)</t>
  </si>
  <si>
    <t>Aranytíz</t>
  </si>
  <si>
    <t>BLESZ</t>
  </si>
  <si>
    <t>127312</t>
  </si>
  <si>
    <t>BALATONFENYVESI TÁBOR - FÜRDŐSZOBÁK, FÖDÉMTARTÓ ELEMEK FELÚJÍTÁSA</t>
  </si>
  <si>
    <t>Balatonfenyves Balaton u. 02.</t>
  </si>
  <si>
    <t>Balatonfenyves  Balaton  u.  2. 4682/1</t>
  </si>
  <si>
    <t>Balatonfenyves  Lépcsokorlát</t>
  </si>
  <si>
    <t>Balatonfenyves  Kerités</t>
  </si>
  <si>
    <t>Balatonfenyves  Vízitábor raktár készítés</t>
  </si>
  <si>
    <t>Balatonfenyves  Vízitábor partvédelmi munkák</t>
  </si>
  <si>
    <t>Balatonfenyves  Balaton  u.  2.</t>
  </si>
  <si>
    <t>BALATONSZEPEZDI TÁBOR - FAHÁZAK FELÚJÍTÁSA</t>
  </si>
  <si>
    <t>Balatonszepezd  Gesztenyesor u. 64., 59,63/2, külterület</t>
  </si>
  <si>
    <t>Balatonszepezd szennyvíz elvezetés, külterület</t>
  </si>
  <si>
    <t>Balatonszepezd  Gesztenyesor u. 54.</t>
  </si>
  <si>
    <t>Balatonszepezd  2 787 300</t>
  </si>
  <si>
    <t>Balatonszepezd  külterület  7 475 040</t>
  </si>
  <si>
    <t>Balatonszepezd vízfogyasztási jog vásárlás, külterület</t>
  </si>
  <si>
    <t xml:space="preserve"> ,</t>
  </si>
  <si>
    <t>egyéb ép</t>
  </si>
  <si>
    <t>földtelek</t>
  </si>
  <si>
    <t>terek</t>
  </si>
  <si>
    <t>FORG.KÉPT.KÜLÖNF.TEREK,PARK, FŐUTCA I. ÜTEM ÁLL</t>
  </si>
  <si>
    <t>idegenen tulajdonon végzett beruházás nélkül</t>
  </si>
  <si>
    <t>Össszesen idegen nélkül</t>
  </si>
  <si>
    <t>Önkormányzat, isk konyha, PSZK idegen nélkül</t>
  </si>
  <si>
    <t>Önkormányzat, isk konyha, PSZK, idegennel együtt</t>
  </si>
  <si>
    <t>Könyv szerinti bruttó érték (idegen kivételével)</t>
  </si>
  <si>
    <t>külön lista</t>
  </si>
  <si>
    <t>nevesített összeg külön listán</t>
  </si>
  <si>
    <t>idegen bruttó</t>
  </si>
  <si>
    <t>Csak az idegen bruttó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</si>
</sst>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Ft&quot;;[Red]\-#,##0\ &quot;Ft&quot;"/>
    <numFmt numFmtId="164" formatCode="#,##0\ &quot;Ft&quot;"/>
    <numFmt numFmtId="165" formatCode="0_ ;[Red]\-0\ "/>
  </numFmts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Times"/>
      <family val="1"/>
    </font>
    <font>
      <b/>
      <sz val="8"/>
      <color theme="1"/>
      <name val="Times"/>
      <family val="1"/>
    </font>
    <font>
      <sz val="8"/>
      <color theme="1"/>
      <name val="Times New Roman"/>
      <family val="1"/>
      <charset val="238"/>
    </font>
    <font>
      <b/>
      <sz val="8"/>
      <color theme="1"/>
      <name val="Times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"/>
      <charset val="238"/>
    </font>
    <font>
      <sz val="10"/>
      <color theme="1"/>
      <name val="Times"/>
      <family val="1"/>
    </font>
    <font>
      <sz val="8"/>
      <color theme="1"/>
      <name val="Times"/>
      <charset val="238"/>
    </font>
    <font>
      <b/>
      <i/>
      <u/>
      <sz val="8"/>
      <color theme="1"/>
      <name val="Times"/>
      <charset val="238"/>
    </font>
    <font>
      <sz val="8"/>
      <name val="Times"/>
      <family val="1"/>
    </font>
    <font>
      <b/>
      <i/>
      <sz val="8"/>
      <color theme="1"/>
      <name val="Times"/>
      <charset val="238"/>
    </font>
    <font>
      <sz val="8"/>
      <name val="Times New Roman"/>
      <family val="1"/>
      <charset val="238"/>
    </font>
    <font>
      <i/>
      <u/>
      <sz val="8"/>
      <color theme="1"/>
      <name val="Times"/>
      <charset val="238"/>
    </font>
    <font>
      <u/>
      <sz val="8"/>
      <color theme="1"/>
      <name val="Times"/>
      <charset val="238"/>
    </font>
    <font>
      <b/>
      <i/>
      <u/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164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Fill="1" applyAlignment="1">
      <alignment vertical="center"/>
    </xf>
    <xf numFmtId="6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6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4" fontId="3" fillId="4" borderId="10" xfId="0" applyNumberFormat="1" applyFont="1" applyFill="1" applyBorder="1" applyAlignment="1">
      <alignment vertical="center"/>
    </xf>
    <xf numFmtId="164" fontId="3" fillId="3" borderId="10" xfId="0" applyNumberFormat="1" applyFont="1" applyFill="1" applyBorder="1" applyAlignment="1">
      <alignment vertical="center"/>
    </xf>
    <xf numFmtId="164" fontId="3" fillId="5" borderId="10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3" borderId="11" xfId="0" applyNumberFormat="1" applyFont="1" applyFill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/>
    </xf>
    <xf numFmtId="164" fontId="3" fillId="0" borderId="24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6" fontId="1" fillId="0" borderId="29" xfId="0" applyNumberFormat="1" applyFont="1" applyBorder="1" applyAlignment="1">
      <alignment vertical="center"/>
    </xf>
    <xf numFmtId="6" fontId="1" fillId="0" borderId="30" xfId="0" applyNumberFormat="1" applyFont="1" applyBorder="1" applyAlignment="1">
      <alignment vertical="center"/>
    </xf>
    <xf numFmtId="6" fontId="1" fillId="0" borderId="25" xfId="0" applyNumberFormat="1" applyFont="1" applyBorder="1" applyAlignment="1">
      <alignment vertical="center"/>
    </xf>
    <xf numFmtId="6" fontId="1" fillId="0" borderId="26" xfId="0" applyNumberFormat="1" applyFont="1" applyBorder="1" applyAlignment="1">
      <alignment vertical="center"/>
    </xf>
    <xf numFmtId="6" fontId="1" fillId="0" borderId="27" xfId="0" applyNumberFormat="1" applyFont="1" applyBorder="1" applyAlignment="1">
      <alignment vertical="center"/>
    </xf>
    <xf numFmtId="6" fontId="1" fillId="0" borderId="28" xfId="0" applyNumberFormat="1" applyFont="1" applyBorder="1" applyAlignment="1">
      <alignment vertical="center"/>
    </xf>
    <xf numFmtId="164" fontId="1" fillId="2" borderId="12" xfId="0" applyNumberFormat="1" applyFont="1" applyFill="1" applyBorder="1" applyAlignment="1">
      <alignment vertical="center"/>
    </xf>
    <xf numFmtId="164" fontId="1" fillId="4" borderId="12" xfId="0" applyNumberFormat="1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164" fontId="1" fillId="5" borderId="14" xfId="0" applyNumberFormat="1" applyFont="1" applyFill="1" applyBorder="1" applyAlignment="1">
      <alignment vertical="center"/>
    </xf>
    <xf numFmtId="164" fontId="1" fillId="2" borderId="13" xfId="0" applyNumberFormat="1" applyFont="1" applyFill="1" applyBorder="1" applyAlignment="1">
      <alignment vertical="center"/>
    </xf>
    <xf numFmtId="164" fontId="1" fillId="3" borderId="14" xfId="0" applyNumberFormat="1" applyFont="1" applyFill="1" applyBorder="1" applyAlignment="1">
      <alignment vertical="center"/>
    </xf>
    <xf numFmtId="49" fontId="1" fillId="2" borderId="26" xfId="0" applyNumberFormat="1" applyFont="1" applyFill="1" applyBorder="1" applyAlignment="1">
      <alignment vertical="center"/>
    </xf>
    <xf numFmtId="6" fontId="1" fillId="0" borderId="30" xfId="0" applyNumberFormat="1" applyFont="1" applyFill="1" applyBorder="1" applyAlignment="1">
      <alignment vertical="center"/>
    </xf>
    <xf numFmtId="6" fontId="1" fillId="0" borderId="29" xfId="0" applyNumberFormat="1" applyFont="1" applyFill="1" applyBorder="1" applyAlignment="1">
      <alignment vertical="center"/>
    </xf>
    <xf numFmtId="6" fontId="1" fillId="2" borderId="0" xfId="0" applyNumberFormat="1" applyFont="1" applyFill="1" applyBorder="1" applyAlignment="1">
      <alignment vertical="center"/>
    </xf>
    <xf numFmtId="6" fontId="1" fillId="4" borderId="0" xfId="0" applyNumberFormat="1" applyFont="1" applyFill="1" applyBorder="1" applyAlignment="1">
      <alignment vertical="center"/>
    </xf>
    <xf numFmtId="6" fontId="1" fillId="3" borderId="0" xfId="0" applyNumberFormat="1" applyFont="1" applyFill="1" applyBorder="1" applyAlignment="1">
      <alignment vertical="center"/>
    </xf>
    <xf numFmtId="6" fontId="1" fillId="5" borderId="2" xfId="0" applyNumberFormat="1" applyFont="1" applyFill="1" applyBorder="1" applyAlignment="1">
      <alignment vertical="center"/>
    </xf>
    <xf numFmtId="6" fontId="1" fillId="2" borderId="1" xfId="0" applyNumberFormat="1" applyFont="1" applyFill="1" applyBorder="1" applyAlignment="1">
      <alignment vertical="center"/>
    </xf>
    <xf numFmtId="6" fontId="1" fillId="3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1" fillId="3" borderId="26" xfId="0" applyNumberFormat="1" applyFont="1" applyFill="1" applyBorder="1" applyAlignment="1">
      <alignment vertical="center"/>
    </xf>
    <xf numFmtId="6" fontId="10" fillId="0" borderId="29" xfId="0" applyNumberFormat="1" applyFont="1" applyFill="1" applyBorder="1" applyAlignment="1">
      <alignment vertical="center"/>
    </xf>
    <xf numFmtId="49" fontId="1" fillId="4" borderId="26" xfId="0" applyNumberFormat="1" applyFont="1" applyFill="1" applyBorder="1" applyAlignment="1">
      <alignment vertical="center"/>
    </xf>
    <xf numFmtId="6" fontId="1" fillId="0" borderId="25" xfId="0" applyNumberFormat="1" applyFont="1" applyFill="1" applyBorder="1" applyAlignment="1">
      <alignment vertical="center"/>
    </xf>
    <xf numFmtId="6" fontId="1" fillId="0" borderId="26" xfId="0" applyNumberFormat="1" applyFont="1" applyFill="1" applyBorder="1" applyAlignment="1">
      <alignment vertical="center"/>
    </xf>
    <xf numFmtId="49" fontId="3" fillId="0" borderId="25" xfId="0" applyNumberFormat="1" applyFont="1" applyBorder="1" applyAlignment="1">
      <alignment vertical="center"/>
    </xf>
    <xf numFmtId="49" fontId="3" fillId="3" borderId="26" xfId="0" applyNumberFormat="1" applyFont="1" applyFill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164" fontId="1" fillId="5" borderId="0" xfId="0" applyNumberFormat="1" applyFont="1" applyFill="1" applyAlignment="1">
      <alignment vertical="center"/>
    </xf>
    <xf numFmtId="49" fontId="3" fillId="2" borderId="26" xfId="0" applyNumberFormat="1" applyFont="1" applyFill="1" applyBorder="1" applyAlignment="1">
      <alignment vertical="center"/>
    </xf>
    <xf numFmtId="49" fontId="3" fillId="4" borderId="26" xfId="0" applyNumberFormat="1" applyFont="1" applyFill="1" applyBorder="1" applyAlignment="1">
      <alignment vertical="center"/>
    </xf>
    <xf numFmtId="6" fontId="1" fillId="2" borderId="5" xfId="0" applyNumberFormat="1" applyFont="1" applyFill="1" applyBorder="1" applyAlignment="1">
      <alignment vertical="center"/>
    </xf>
    <xf numFmtId="6" fontId="1" fillId="4" borderId="5" xfId="0" applyNumberFormat="1" applyFont="1" applyFill="1" applyBorder="1" applyAlignment="1">
      <alignment vertical="center"/>
    </xf>
    <xf numFmtId="6" fontId="1" fillId="3" borderId="5" xfId="0" applyNumberFormat="1" applyFont="1" applyFill="1" applyBorder="1" applyAlignment="1">
      <alignment vertical="center"/>
    </xf>
    <xf numFmtId="6" fontId="1" fillId="5" borderId="4" xfId="0" applyNumberFormat="1" applyFont="1" applyFill="1" applyBorder="1" applyAlignment="1">
      <alignment vertical="center"/>
    </xf>
    <xf numFmtId="6" fontId="1" fillId="2" borderId="3" xfId="0" applyNumberFormat="1" applyFont="1" applyFill="1" applyBorder="1" applyAlignment="1">
      <alignment vertical="center"/>
    </xf>
    <xf numFmtId="6" fontId="1" fillId="3" borderId="4" xfId="0" applyNumberFormat="1" applyFont="1" applyFill="1" applyBorder="1" applyAlignment="1">
      <alignment vertical="center"/>
    </xf>
    <xf numFmtId="49" fontId="1" fillId="0" borderId="26" xfId="0" applyNumberFormat="1" applyFont="1" applyFill="1" applyBorder="1" applyAlignment="1">
      <alignment vertical="center"/>
    </xf>
    <xf numFmtId="6" fontId="8" fillId="0" borderId="26" xfId="0" applyNumberFormat="1" applyFont="1" applyFill="1" applyBorder="1" applyAlignment="1">
      <alignment vertical="center"/>
    </xf>
    <xf numFmtId="49" fontId="3" fillId="0" borderId="26" xfId="0" applyNumberFormat="1" applyFont="1" applyBorder="1" applyAlignment="1">
      <alignment vertical="center"/>
    </xf>
    <xf numFmtId="6" fontId="1" fillId="0" borderId="31" xfId="0" applyNumberFormat="1" applyFont="1" applyFill="1" applyBorder="1" applyAlignment="1">
      <alignment vertical="center"/>
    </xf>
    <xf numFmtId="6" fontId="1" fillId="0" borderId="32" xfId="0" applyNumberFormat="1" applyFont="1" applyFill="1" applyBorder="1" applyAlignment="1">
      <alignment vertical="center"/>
    </xf>
    <xf numFmtId="6" fontId="5" fillId="0" borderId="24" xfId="0" applyNumberFormat="1" applyFont="1" applyBorder="1" applyAlignment="1">
      <alignment vertical="center"/>
    </xf>
    <xf numFmtId="6" fontId="5" fillId="0" borderId="25" xfId="0" applyNumberFormat="1" applyFont="1" applyBorder="1" applyAlignment="1">
      <alignment vertical="center"/>
    </xf>
    <xf numFmtId="6" fontId="5" fillId="0" borderId="0" xfId="0" applyNumberFormat="1" applyFont="1" applyAlignment="1">
      <alignment vertical="center"/>
    </xf>
    <xf numFmtId="6" fontId="2" fillId="0" borderId="0" xfId="0" applyNumberFormat="1" applyFont="1" applyAlignment="1">
      <alignment vertical="center"/>
    </xf>
    <xf numFmtId="164" fontId="4" fillId="0" borderId="0" xfId="0" applyNumberFormat="1" applyFont="1" applyFill="1" applyAlignment="1">
      <alignment vertical="center"/>
    </xf>
    <xf numFmtId="6" fontId="3" fillId="0" borderId="0" xfId="0" applyNumberFormat="1" applyFont="1" applyAlignment="1">
      <alignment vertical="center"/>
    </xf>
    <xf numFmtId="6" fontId="12" fillId="0" borderId="0" xfId="0" applyNumberFormat="1" applyFont="1" applyAlignment="1">
      <alignment vertical="center"/>
    </xf>
    <xf numFmtId="6" fontId="1" fillId="0" borderId="0" xfId="0" applyNumberFormat="1" applyFont="1" applyAlignment="1">
      <alignment horizontal="right" vertical="center"/>
    </xf>
    <xf numFmtId="6" fontId="4" fillId="0" borderId="0" xfId="0" applyNumberFormat="1" applyFont="1" applyAlignment="1">
      <alignment vertical="center"/>
    </xf>
    <xf numFmtId="6" fontId="1" fillId="0" borderId="19" xfId="0" applyNumberFormat="1" applyFont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6" fontId="1" fillId="2" borderId="0" xfId="0" applyNumberFormat="1" applyFont="1" applyFill="1" applyAlignment="1">
      <alignment vertical="center"/>
    </xf>
    <xf numFmtId="6" fontId="1" fillId="2" borderId="20" xfId="0" applyNumberFormat="1" applyFont="1" applyFill="1" applyBorder="1" applyAlignment="1">
      <alignment vertical="center"/>
    </xf>
    <xf numFmtId="49" fontId="1" fillId="3" borderId="0" xfId="0" applyNumberFormat="1" applyFont="1" applyFill="1" applyAlignment="1">
      <alignment vertical="center"/>
    </xf>
    <xf numFmtId="6" fontId="1" fillId="3" borderId="0" xfId="0" applyNumberFormat="1" applyFont="1" applyFill="1" applyAlignment="1">
      <alignment vertical="center"/>
    </xf>
    <xf numFmtId="6" fontId="1" fillId="3" borderId="20" xfId="0" applyNumberFormat="1" applyFont="1" applyFill="1" applyBorder="1" applyAlignment="1">
      <alignment vertical="center"/>
    </xf>
    <xf numFmtId="49" fontId="1" fillId="4" borderId="0" xfId="0" applyNumberFormat="1" applyFont="1" applyFill="1" applyAlignment="1">
      <alignment vertical="center"/>
    </xf>
    <xf numFmtId="6" fontId="1" fillId="4" borderId="0" xfId="0" applyNumberFormat="1" applyFont="1" applyFill="1" applyAlignment="1">
      <alignment vertical="center"/>
    </xf>
    <xf numFmtId="6" fontId="1" fillId="4" borderId="20" xfId="0" applyNumberFormat="1" applyFont="1" applyFill="1" applyBorder="1" applyAlignment="1">
      <alignment vertical="center"/>
    </xf>
    <xf numFmtId="6" fontId="4" fillId="0" borderId="15" xfId="0" applyNumberFormat="1" applyFont="1" applyBorder="1" applyAlignment="1">
      <alignment vertical="center"/>
    </xf>
    <xf numFmtId="6" fontId="1" fillId="0" borderId="17" xfId="0" applyNumberFormat="1" applyFont="1" applyBorder="1" applyAlignment="1">
      <alignment vertical="center"/>
    </xf>
    <xf numFmtId="6" fontId="1" fillId="0" borderId="18" xfId="0" applyNumberFormat="1" applyFont="1" applyBorder="1" applyAlignment="1">
      <alignment vertical="center"/>
    </xf>
    <xf numFmtId="6" fontId="7" fillId="0" borderId="0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6" fontId="1" fillId="0" borderId="12" xfId="0" applyNumberFormat="1" applyFont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164" fontId="1" fillId="0" borderId="12" xfId="0" applyNumberFormat="1" applyFont="1" applyBorder="1" applyAlignment="1">
      <alignment vertical="center"/>
    </xf>
    <xf numFmtId="49" fontId="11" fillId="0" borderId="0" xfId="0" applyNumberFormat="1" applyFont="1" applyFill="1" applyAlignment="1">
      <alignment horizontal="right" vertical="center"/>
    </xf>
    <xf numFmtId="49" fontId="9" fillId="0" borderId="0" xfId="0" applyNumberFormat="1" applyFont="1" applyFill="1" applyAlignment="1">
      <alignment vertical="center"/>
    </xf>
    <xf numFmtId="6" fontId="9" fillId="0" borderId="0" xfId="0" applyNumberFormat="1" applyFont="1" applyAlignment="1">
      <alignment vertical="center"/>
    </xf>
    <xf numFmtId="6" fontId="1" fillId="0" borderId="24" xfId="0" applyNumberFormat="1" applyFont="1" applyBorder="1" applyAlignment="1">
      <alignment vertical="center"/>
    </xf>
    <xf numFmtId="6" fontId="1" fillId="0" borderId="24" xfId="0" applyNumberFormat="1" applyFont="1" applyFill="1" applyBorder="1" applyAlignment="1">
      <alignment vertical="center"/>
    </xf>
    <xf numFmtId="6" fontId="1" fillId="0" borderId="31" xfId="0" applyNumberFormat="1" applyFont="1" applyBorder="1" applyAlignment="1">
      <alignment vertical="center"/>
    </xf>
    <xf numFmtId="6" fontId="1" fillId="0" borderId="36" xfId="0" applyNumberFormat="1" applyFont="1" applyBorder="1" applyAlignment="1">
      <alignment vertical="center"/>
    </xf>
    <xf numFmtId="6" fontId="1" fillId="0" borderId="37" xfId="0" applyNumberFormat="1" applyFont="1" applyBorder="1" applyAlignment="1">
      <alignment vertical="center"/>
    </xf>
    <xf numFmtId="6" fontId="1" fillId="0" borderId="35" xfId="0" applyNumberFormat="1" applyFont="1" applyBorder="1" applyAlignment="1">
      <alignment vertical="center"/>
    </xf>
    <xf numFmtId="6" fontId="8" fillId="0" borderId="29" xfId="0" applyNumberFormat="1" applyFont="1" applyFill="1" applyBorder="1" applyAlignment="1">
      <alignment vertical="center"/>
    </xf>
    <xf numFmtId="6" fontId="8" fillId="0" borderId="30" xfId="0" applyNumberFormat="1" applyFont="1" applyFill="1" applyBorder="1" applyAlignment="1">
      <alignment vertical="center"/>
    </xf>
    <xf numFmtId="6" fontId="1" fillId="0" borderId="38" xfId="0" applyNumberFormat="1" applyFont="1" applyFill="1" applyBorder="1" applyAlignment="1">
      <alignment vertical="center"/>
    </xf>
    <xf numFmtId="6" fontId="1" fillId="0" borderId="39" xfId="0" applyNumberFormat="1" applyFont="1" applyFill="1" applyBorder="1" applyAlignment="1">
      <alignment vertical="center"/>
    </xf>
    <xf numFmtId="6" fontId="5" fillId="0" borderId="6" xfId="0" applyNumberFormat="1" applyFont="1" applyBorder="1" applyAlignment="1">
      <alignment vertical="center"/>
    </xf>
    <xf numFmtId="6" fontId="5" fillId="0" borderId="8" xfId="0" applyNumberFormat="1" applyFont="1" applyBorder="1" applyAlignment="1">
      <alignment vertical="center"/>
    </xf>
    <xf numFmtId="6" fontId="1" fillId="6" borderId="21" xfId="0" applyNumberFormat="1" applyFont="1" applyFill="1" applyBorder="1" applyAlignment="1">
      <alignment vertical="center"/>
    </xf>
    <xf numFmtId="6" fontId="1" fillId="6" borderId="16" xfId="0" applyNumberFormat="1" applyFont="1" applyFill="1" applyBorder="1" applyAlignment="1">
      <alignment vertical="center"/>
    </xf>
    <xf numFmtId="6" fontId="13" fillId="6" borderId="33" xfId="0" applyNumberFormat="1" applyFont="1" applyFill="1" applyBorder="1" applyAlignment="1">
      <alignment vertical="center"/>
    </xf>
    <xf numFmtId="6" fontId="13" fillId="6" borderId="34" xfId="0" applyNumberFormat="1" applyFont="1" applyFill="1" applyBorder="1" applyAlignment="1">
      <alignment vertical="center"/>
    </xf>
    <xf numFmtId="6" fontId="14" fillId="6" borderId="34" xfId="0" applyNumberFormat="1" applyFont="1" applyFill="1" applyBorder="1" applyAlignment="1">
      <alignment vertical="center"/>
    </xf>
    <xf numFmtId="6" fontId="13" fillId="6" borderId="17" xfId="0" applyNumberFormat="1" applyFont="1" applyFill="1" applyBorder="1" applyAlignment="1">
      <alignment vertical="center"/>
    </xf>
    <xf numFmtId="6" fontId="13" fillId="6" borderId="18" xfId="0" applyNumberFormat="1" applyFont="1" applyFill="1" applyBorder="1" applyAlignment="1">
      <alignment vertical="center"/>
    </xf>
    <xf numFmtId="6" fontId="1" fillId="6" borderId="24" xfId="0" applyNumberFormat="1" applyFont="1" applyFill="1" applyBorder="1" applyAlignment="1">
      <alignment vertical="center"/>
    </xf>
    <xf numFmtId="6" fontId="1" fillId="6" borderId="30" xfId="0" applyNumberFormat="1" applyFont="1" applyFill="1" applyBorder="1" applyAlignment="1">
      <alignment vertical="center"/>
    </xf>
    <xf numFmtId="6" fontId="13" fillId="6" borderId="27" xfId="0" applyNumberFormat="1" applyFont="1" applyFill="1" applyBorder="1" applyAlignment="1">
      <alignment vertical="center"/>
    </xf>
    <xf numFmtId="6" fontId="13" fillId="6" borderId="28" xfId="0" applyNumberFormat="1" applyFont="1" applyFill="1" applyBorder="1" applyAlignment="1">
      <alignment vertical="center"/>
    </xf>
    <xf numFmtId="6" fontId="13" fillId="6" borderId="29" xfId="0" applyNumberFormat="1" applyFont="1" applyFill="1" applyBorder="1" applyAlignment="1">
      <alignment vertical="center"/>
    </xf>
    <xf numFmtId="6" fontId="13" fillId="6" borderId="30" xfId="0" applyNumberFormat="1" applyFont="1" applyFill="1" applyBorder="1" applyAlignment="1">
      <alignment vertical="center"/>
    </xf>
    <xf numFmtId="6" fontId="13" fillId="6" borderId="31" xfId="0" applyNumberFormat="1" applyFont="1" applyFill="1" applyBorder="1" applyAlignment="1">
      <alignment vertical="center"/>
    </xf>
    <xf numFmtId="6" fontId="13" fillId="6" borderId="32" xfId="0" applyNumberFormat="1" applyFont="1" applyFill="1" applyBorder="1" applyAlignment="1">
      <alignment vertical="center"/>
    </xf>
    <xf numFmtId="6" fontId="15" fillId="6" borderId="0" xfId="0" applyNumberFormat="1" applyFont="1" applyFill="1" applyAlignment="1">
      <alignment vertical="center"/>
    </xf>
    <xf numFmtId="49" fontId="4" fillId="0" borderId="13" xfId="0" applyNumberFormat="1" applyFont="1" applyFill="1" applyBorder="1" applyAlignment="1">
      <alignment vertical="center"/>
    </xf>
    <xf numFmtId="6" fontId="1" fillId="0" borderId="14" xfId="0" applyNumberFormat="1" applyFont="1" applyBorder="1" applyAlignment="1">
      <alignment horizontal="center" wrapText="1"/>
    </xf>
    <xf numFmtId="49" fontId="1" fillId="0" borderId="1" xfId="0" applyNumberFormat="1" applyFont="1" applyFill="1" applyBorder="1" applyAlignment="1">
      <alignment vertical="center"/>
    </xf>
    <xf numFmtId="6" fontId="1" fillId="0" borderId="2" xfId="0" applyNumberFormat="1" applyFont="1" applyBorder="1" applyAlignment="1">
      <alignment vertical="center"/>
    </xf>
    <xf numFmtId="164" fontId="1" fillId="0" borderId="2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6" fontId="1" fillId="0" borderId="3" xfId="0" applyNumberFormat="1" applyFont="1" applyBorder="1" applyAlignment="1">
      <alignment vertical="center"/>
    </xf>
    <xf numFmtId="164" fontId="9" fillId="0" borderId="4" xfId="0" applyNumberFormat="1" applyFont="1" applyBorder="1" applyAlignment="1">
      <alignment vertical="center"/>
    </xf>
    <xf numFmtId="6" fontId="15" fillId="6" borderId="6" xfId="0" applyNumberFormat="1" applyFont="1" applyFill="1" applyBorder="1" applyAlignment="1">
      <alignment vertical="center"/>
    </xf>
    <xf numFmtId="6" fontId="15" fillId="6" borderId="8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6" fontId="2" fillId="0" borderId="22" xfId="0" applyNumberFormat="1" applyFont="1" applyBorder="1" applyAlignment="1">
      <alignment horizontal="center" vertical="center" wrapText="1"/>
    </xf>
    <xf numFmtId="6" fontId="8" fillId="0" borderId="25" xfId="0" applyNumberFormat="1" applyFont="1" applyFill="1" applyBorder="1" applyAlignment="1">
      <alignment vertical="center"/>
    </xf>
    <xf numFmtId="6" fontId="1" fillId="0" borderId="12" xfId="0" applyNumberFormat="1" applyFont="1" applyFill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6" fontId="7" fillId="0" borderId="12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6" fontId="2" fillId="0" borderId="21" xfId="0" applyNumberFormat="1" applyFont="1" applyBorder="1" applyAlignment="1">
      <alignment horizontal="center" vertical="center"/>
    </xf>
    <xf numFmtId="6" fontId="2" fillId="0" borderId="22" xfId="0" applyNumberFormat="1" applyFont="1" applyBorder="1" applyAlignment="1">
      <alignment horizontal="center" vertical="center"/>
    </xf>
    <xf numFmtId="6" fontId="2" fillId="0" borderId="23" xfId="0" applyNumberFormat="1" applyFont="1" applyBorder="1" applyAlignment="1">
      <alignment horizontal="center" vertical="center"/>
    </xf>
    <xf numFmtId="6" fontId="2" fillId="0" borderId="6" xfId="0" applyNumberFormat="1" applyFont="1" applyBorder="1" applyAlignment="1">
      <alignment horizontal="center" vertical="center"/>
    </xf>
    <xf numFmtId="6" fontId="2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6" fontId="2" fillId="6" borderId="21" xfId="0" applyNumberFormat="1" applyFont="1" applyFill="1" applyBorder="1" applyAlignment="1">
      <alignment horizontal="center" vertical="center"/>
    </xf>
    <xf numFmtId="6" fontId="2" fillId="6" borderId="16" xfId="0" applyNumberFormat="1" applyFont="1" applyFill="1" applyBorder="1" applyAlignment="1">
      <alignment horizontal="center" vertical="center"/>
    </xf>
    <xf numFmtId="6" fontId="2" fillId="0" borderId="27" xfId="0" applyNumberFormat="1" applyFont="1" applyBorder="1" applyAlignment="1">
      <alignment horizontal="center" vertical="center" wrapText="1"/>
    </xf>
    <xf numFmtId="6" fontId="2" fillId="0" borderId="28" xfId="0" applyNumberFormat="1" applyFont="1" applyBorder="1" applyAlignment="1">
      <alignment horizontal="center" vertical="center" wrapText="1"/>
    </xf>
    <xf numFmtId="6" fontId="2" fillId="6" borderId="27" xfId="0" applyNumberFormat="1" applyFont="1" applyFill="1" applyBorder="1" applyAlignment="1">
      <alignment horizontal="center" vertical="center" wrapText="1"/>
    </xf>
    <xf numFmtId="6" fontId="2" fillId="6" borderId="28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31"/>
  <sheetViews>
    <sheetView tabSelected="1" topLeftCell="K18" zoomScale="80" zoomScaleNormal="80" workbookViewId="0">
      <selection activeCell="V60" sqref="V60"/>
    </sheetView>
  </sheetViews>
  <sheetFormatPr defaultColWidth="9.140625" defaultRowHeight="11.25" x14ac:dyDescent="0.25"/>
  <cols>
    <col min="1" max="2" width="9.140625" style="2"/>
    <col min="3" max="3" width="52" style="2" customWidth="1"/>
    <col min="4" max="4" width="13.85546875" style="3" customWidth="1"/>
    <col min="5" max="5" width="14.140625" style="3" customWidth="1"/>
    <col min="6" max="6" width="16" style="3" customWidth="1"/>
    <col min="7" max="7" width="15.85546875" style="3" customWidth="1"/>
    <col min="8" max="8" width="16.42578125" style="3" customWidth="1"/>
    <col min="9" max="11" width="16.28515625" style="3" customWidth="1"/>
    <col min="12" max="12" width="13.7109375" style="4" customWidth="1"/>
    <col min="13" max="14" width="16.42578125" style="4" customWidth="1"/>
    <col min="15" max="15" width="14.42578125" style="4" customWidth="1"/>
    <col min="16" max="16" width="34.42578125" style="4" customWidth="1"/>
    <col min="17" max="17" width="16.42578125" style="4" customWidth="1"/>
    <col min="18" max="18" width="13.7109375" style="4" customWidth="1"/>
    <col min="19" max="19" width="15" style="4" customWidth="1"/>
    <col min="20" max="20" width="14.85546875" style="4" customWidth="1"/>
    <col min="21" max="21" width="15.28515625" style="4" customWidth="1"/>
    <col min="22" max="22" width="15.140625" style="4" customWidth="1"/>
    <col min="23" max="26" width="13.7109375" style="5" customWidth="1"/>
    <col min="27" max="28" width="11.42578125" style="5" customWidth="1"/>
    <col min="29" max="29" width="12.7109375" style="5" customWidth="1"/>
    <col min="30" max="30" width="9.140625" style="2" customWidth="1"/>
    <col min="31" max="31" width="13" style="2" customWidth="1"/>
    <col min="32" max="34" width="9.140625" style="2"/>
    <col min="35" max="35" width="16.28515625" style="2" bestFit="1" customWidth="1"/>
    <col min="36" max="37" width="15.28515625" style="2" bestFit="1" customWidth="1"/>
    <col min="38" max="38" width="13.85546875" style="2" bestFit="1" customWidth="1"/>
    <col min="39" max="39" width="16.28515625" style="2" bestFit="1" customWidth="1"/>
    <col min="40" max="40" width="15.28515625" style="2" bestFit="1" customWidth="1"/>
    <col min="41" max="16384" width="9.140625" style="2"/>
  </cols>
  <sheetData>
    <row r="1" spans="1:42" ht="12" thickBot="1" x14ac:dyDescent="0.3">
      <c r="AC1" s="6" t="s">
        <v>125</v>
      </c>
    </row>
    <row r="2" spans="1:42" ht="16.5" thickBot="1" x14ac:dyDescent="0.3">
      <c r="A2" s="144" t="s">
        <v>137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6"/>
    </row>
    <row r="3" spans="1:42" ht="16.5" thickBot="1" x14ac:dyDescent="0.3">
      <c r="A3" s="144" t="s">
        <v>136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6"/>
      <c r="W3" s="149" t="s">
        <v>96</v>
      </c>
      <c r="X3" s="149"/>
      <c r="Y3" s="149"/>
      <c r="Z3" s="150"/>
      <c r="AA3" s="151" t="s">
        <v>97</v>
      </c>
      <c r="AB3" s="152"/>
      <c r="AC3" s="153"/>
    </row>
    <row r="4" spans="1:42" ht="29.25" customHeight="1" thickBot="1" x14ac:dyDescent="0.3">
      <c r="A4" s="7"/>
      <c r="B4" s="8"/>
      <c r="C4" s="9"/>
      <c r="D4" s="10" t="s">
        <v>91</v>
      </c>
      <c r="E4" s="11"/>
      <c r="F4" s="11"/>
      <c r="G4" s="11"/>
      <c r="H4" s="11"/>
      <c r="I4" s="11"/>
      <c r="J4" s="164" t="s">
        <v>178</v>
      </c>
      <c r="K4" s="165"/>
      <c r="L4" s="162" t="s">
        <v>179</v>
      </c>
      <c r="M4" s="163"/>
      <c r="N4" s="141" t="s">
        <v>184</v>
      </c>
      <c r="O4" s="154" t="s">
        <v>95</v>
      </c>
      <c r="P4" s="155"/>
      <c r="Q4" s="156" t="s">
        <v>93</v>
      </c>
      <c r="R4" s="155"/>
      <c r="S4" s="160" t="s">
        <v>177</v>
      </c>
      <c r="T4" s="161"/>
      <c r="U4" s="157" t="s">
        <v>92</v>
      </c>
      <c r="V4" s="158"/>
      <c r="W4" s="12"/>
      <c r="X4" s="13"/>
      <c r="Y4" s="14"/>
      <c r="Z4" s="15"/>
      <c r="AA4" s="16"/>
      <c r="AB4" s="13"/>
      <c r="AC4" s="17"/>
    </row>
    <row r="5" spans="1:42" ht="12" thickBot="1" x14ac:dyDescent="0.3">
      <c r="A5" s="18" t="s">
        <v>0</v>
      </c>
      <c r="B5" s="19" t="s">
        <v>1</v>
      </c>
      <c r="C5" s="20" t="s">
        <v>2</v>
      </c>
      <c r="D5" s="21" t="s">
        <v>3</v>
      </c>
      <c r="E5" s="22" t="s">
        <v>126</v>
      </c>
      <c r="F5" s="22" t="s">
        <v>4</v>
      </c>
      <c r="G5" s="22" t="s">
        <v>5</v>
      </c>
      <c r="H5" s="22" t="s">
        <v>6</v>
      </c>
      <c r="I5" s="22" t="s">
        <v>7</v>
      </c>
      <c r="J5" s="113" t="s">
        <v>6</v>
      </c>
      <c r="K5" s="114" t="s">
        <v>7</v>
      </c>
      <c r="L5" s="24" t="s">
        <v>6</v>
      </c>
      <c r="M5" s="25" t="s">
        <v>7</v>
      </c>
      <c r="N5" s="26"/>
      <c r="O5" s="24" t="s">
        <v>6</v>
      </c>
      <c r="P5" s="27" t="s">
        <v>7</v>
      </c>
      <c r="Q5" s="101" t="s">
        <v>6</v>
      </c>
      <c r="R5" s="26" t="s">
        <v>7</v>
      </c>
      <c r="S5" s="120" t="s">
        <v>6</v>
      </c>
      <c r="T5" s="121" t="s">
        <v>7</v>
      </c>
      <c r="U5" s="28" t="s">
        <v>6</v>
      </c>
      <c r="V5" s="29" t="s">
        <v>7</v>
      </c>
      <c r="W5" s="30" t="s">
        <v>98</v>
      </c>
      <c r="X5" s="31" t="s">
        <v>99</v>
      </c>
      <c r="Y5" s="32" t="s">
        <v>100</v>
      </c>
      <c r="Z5" s="33" t="s">
        <v>101</v>
      </c>
      <c r="AA5" s="34" t="s">
        <v>98</v>
      </c>
      <c r="AB5" s="31" t="s">
        <v>99</v>
      </c>
      <c r="AC5" s="35" t="s">
        <v>100</v>
      </c>
    </row>
    <row r="6" spans="1:42" x14ac:dyDescent="0.25">
      <c r="A6" s="18" t="s">
        <v>8</v>
      </c>
      <c r="B6" s="19" t="s">
        <v>9</v>
      </c>
      <c r="C6" s="36" t="s">
        <v>10</v>
      </c>
      <c r="D6" s="1">
        <v>27000000</v>
      </c>
      <c r="E6" s="1">
        <v>0</v>
      </c>
      <c r="F6" s="1">
        <v>16654425</v>
      </c>
      <c r="G6" s="1">
        <v>0</v>
      </c>
      <c r="H6" s="1">
        <v>43654425</v>
      </c>
      <c r="I6" s="1">
        <v>0</v>
      </c>
      <c r="J6" s="115">
        <v>43654425</v>
      </c>
      <c r="K6" s="116"/>
      <c r="L6" s="24">
        <v>43654425</v>
      </c>
      <c r="M6" s="37"/>
      <c r="N6" s="50">
        <f>+L6-J6</f>
        <v>0</v>
      </c>
      <c r="O6" s="24"/>
      <c r="P6" s="27"/>
      <c r="Q6" s="101">
        <f t="shared" ref="Q6:R11" si="0">+L6+O6</f>
        <v>43654425</v>
      </c>
      <c r="R6" s="26">
        <f t="shared" si="0"/>
        <v>0</v>
      </c>
      <c r="S6" s="122">
        <f t="shared" ref="S6:S52" si="1">+J6+O6</f>
        <v>43654425</v>
      </c>
      <c r="T6" s="123">
        <f t="shared" ref="T6:T52" si="2">+K6+P6</f>
        <v>0</v>
      </c>
      <c r="U6" s="38">
        <f>+Q6-H6</f>
        <v>0</v>
      </c>
      <c r="V6" s="37">
        <f t="shared" ref="V6:V52" si="3">+R6-I6</f>
        <v>0</v>
      </c>
      <c r="W6" s="39">
        <f>+Q6</f>
        <v>43654425</v>
      </c>
      <c r="X6" s="40"/>
      <c r="Y6" s="41"/>
      <c r="Z6" s="42"/>
      <c r="AA6" s="43"/>
      <c r="AB6" s="40"/>
      <c r="AC6" s="44"/>
      <c r="AG6" s="45" t="s">
        <v>9</v>
      </c>
      <c r="AH6" s="45" t="s">
        <v>10</v>
      </c>
      <c r="AI6" s="45">
        <v>27000000</v>
      </c>
      <c r="AJ6" s="45">
        <v>0</v>
      </c>
      <c r="AK6" s="45">
        <v>16654425</v>
      </c>
      <c r="AL6" s="45">
        <v>0</v>
      </c>
      <c r="AM6" s="45">
        <v>43654425</v>
      </c>
      <c r="AN6" s="45">
        <v>0</v>
      </c>
      <c r="AP6" s="46">
        <f>IF(AG6=B6,0,1)</f>
        <v>0</v>
      </c>
    </row>
    <row r="7" spans="1:42" x14ac:dyDescent="0.25">
      <c r="A7" s="18" t="s">
        <v>8</v>
      </c>
      <c r="B7" s="19" t="s">
        <v>11</v>
      </c>
      <c r="C7" s="47" t="s">
        <v>12</v>
      </c>
      <c r="D7" s="1">
        <v>3939000</v>
      </c>
      <c r="E7" s="1">
        <v>0</v>
      </c>
      <c r="F7" s="1">
        <v>0</v>
      </c>
      <c r="G7" s="1">
        <v>0</v>
      </c>
      <c r="H7" s="1">
        <v>3939000</v>
      </c>
      <c r="I7" s="1">
        <v>0</v>
      </c>
      <c r="J7" s="115">
        <v>3939000</v>
      </c>
      <c r="K7" s="116"/>
      <c r="L7" s="24">
        <v>3939000</v>
      </c>
      <c r="M7" s="37"/>
      <c r="N7" s="50">
        <f t="shared" ref="N7:N35" si="4">+L7-J7</f>
        <v>0</v>
      </c>
      <c r="O7" s="24"/>
      <c r="P7" s="27"/>
      <c r="Q7" s="101">
        <f t="shared" si="0"/>
        <v>3939000</v>
      </c>
      <c r="R7" s="26">
        <f t="shared" si="0"/>
        <v>0</v>
      </c>
      <c r="S7" s="124">
        <f t="shared" si="1"/>
        <v>3939000</v>
      </c>
      <c r="T7" s="125">
        <f t="shared" si="2"/>
        <v>0</v>
      </c>
      <c r="U7" s="48">
        <f>+Q7-H7</f>
        <v>0</v>
      </c>
      <c r="V7" s="37">
        <f t="shared" si="3"/>
        <v>0</v>
      </c>
      <c r="W7" s="39"/>
      <c r="X7" s="40"/>
      <c r="Y7" s="41">
        <f>+Q7</f>
        <v>3939000</v>
      </c>
      <c r="Z7" s="42"/>
      <c r="AA7" s="43"/>
      <c r="AB7" s="40"/>
      <c r="AC7" s="44"/>
      <c r="AG7" s="45" t="s">
        <v>11</v>
      </c>
      <c r="AH7" s="45" t="s">
        <v>12</v>
      </c>
      <c r="AI7" s="45">
        <v>3939000</v>
      </c>
      <c r="AJ7" s="45">
        <v>0</v>
      </c>
      <c r="AK7" s="45">
        <v>0</v>
      </c>
      <c r="AL7" s="45">
        <v>0</v>
      </c>
      <c r="AM7" s="45">
        <v>3939000</v>
      </c>
      <c r="AN7" s="45">
        <v>0</v>
      </c>
      <c r="AP7" s="46">
        <f>IF(AG7=B7,0,1)</f>
        <v>0</v>
      </c>
    </row>
    <row r="8" spans="1:42" x14ac:dyDescent="0.25">
      <c r="A8" s="18" t="s">
        <v>8</v>
      </c>
      <c r="B8" s="19" t="s">
        <v>13</v>
      </c>
      <c r="C8" s="47" t="s">
        <v>14</v>
      </c>
      <c r="D8" s="1">
        <v>1749348364</v>
      </c>
      <c r="E8" s="1">
        <v>0</v>
      </c>
      <c r="F8" s="1">
        <v>6679811</v>
      </c>
      <c r="G8" s="1">
        <v>0</v>
      </c>
      <c r="H8" s="1">
        <v>1756028175</v>
      </c>
      <c r="I8" s="1">
        <v>0</v>
      </c>
      <c r="J8" s="115">
        <v>1756028175</v>
      </c>
      <c r="K8" s="116"/>
      <c r="L8" s="24">
        <v>1756028175</v>
      </c>
      <c r="M8" s="37"/>
      <c r="N8" s="50">
        <f t="shared" si="4"/>
        <v>0</v>
      </c>
      <c r="O8" s="24"/>
      <c r="P8" s="27"/>
      <c r="Q8" s="101">
        <f t="shared" si="0"/>
        <v>1756028175</v>
      </c>
      <c r="R8" s="26">
        <f t="shared" si="0"/>
        <v>0</v>
      </c>
      <c r="S8" s="124">
        <f t="shared" si="1"/>
        <v>1756028175</v>
      </c>
      <c r="T8" s="125">
        <f t="shared" si="2"/>
        <v>0</v>
      </c>
      <c r="U8" s="48">
        <f>+Q8-H8</f>
        <v>0</v>
      </c>
      <c r="V8" s="37">
        <f t="shared" si="3"/>
        <v>0</v>
      </c>
      <c r="W8" s="39"/>
      <c r="X8" s="40"/>
      <c r="Y8" s="41">
        <f>+Q8</f>
        <v>1756028175</v>
      </c>
      <c r="Z8" s="42"/>
      <c r="AA8" s="43"/>
      <c r="AB8" s="40"/>
      <c r="AC8" s="44"/>
      <c r="AG8" s="45" t="s">
        <v>13</v>
      </c>
      <c r="AH8" s="45" t="s">
        <v>14</v>
      </c>
      <c r="AI8" s="45">
        <v>1749348364</v>
      </c>
      <c r="AJ8" s="45">
        <v>0</v>
      </c>
      <c r="AK8" s="45">
        <v>6679811</v>
      </c>
      <c r="AL8" s="45">
        <v>0</v>
      </c>
      <c r="AM8" s="45">
        <v>1756028175</v>
      </c>
      <c r="AN8" s="45">
        <v>0</v>
      </c>
      <c r="AP8" s="46">
        <f>IF(AG8=B8,0,1)</f>
        <v>0</v>
      </c>
    </row>
    <row r="9" spans="1:42" x14ac:dyDescent="0.25">
      <c r="A9" s="18" t="s">
        <v>8</v>
      </c>
      <c r="B9" s="19" t="s">
        <v>15</v>
      </c>
      <c r="C9" s="47" t="s">
        <v>16</v>
      </c>
      <c r="D9" s="1">
        <v>398349000</v>
      </c>
      <c r="E9" s="1">
        <v>0</v>
      </c>
      <c r="F9" s="1">
        <v>28708188</v>
      </c>
      <c r="G9" s="1">
        <v>41086188</v>
      </c>
      <c r="H9" s="1">
        <v>385971000</v>
      </c>
      <c r="I9" s="1">
        <v>0</v>
      </c>
      <c r="J9" s="115">
        <f>385971000-23589000</f>
        <v>362382000</v>
      </c>
      <c r="K9" s="116"/>
      <c r="L9" s="24">
        <v>385971000</v>
      </c>
      <c r="M9" s="37"/>
      <c r="N9" s="50">
        <f t="shared" si="4"/>
        <v>23589000</v>
      </c>
      <c r="O9" s="24"/>
      <c r="P9" s="27"/>
      <c r="Q9" s="101">
        <f t="shared" si="0"/>
        <v>385971000</v>
      </c>
      <c r="R9" s="26">
        <f t="shared" si="0"/>
        <v>0</v>
      </c>
      <c r="S9" s="124">
        <f t="shared" si="1"/>
        <v>362382000</v>
      </c>
      <c r="T9" s="125">
        <f t="shared" si="2"/>
        <v>0</v>
      </c>
      <c r="U9" s="48">
        <f>+Q9-H9</f>
        <v>0</v>
      </c>
      <c r="V9" s="37">
        <f t="shared" si="3"/>
        <v>0</v>
      </c>
      <c r="W9" s="39"/>
      <c r="X9" s="40"/>
      <c r="Y9" s="41">
        <f>+Q9</f>
        <v>385971000</v>
      </c>
      <c r="Z9" s="42"/>
      <c r="AA9" s="43"/>
      <c r="AB9" s="40"/>
      <c r="AC9" s="44"/>
      <c r="AG9" s="45" t="s">
        <v>15</v>
      </c>
      <c r="AH9" s="45" t="s">
        <v>16</v>
      </c>
      <c r="AI9" s="45">
        <v>398349000</v>
      </c>
      <c r="AJ9" s="45">
        <v>0</v>
      </c>
      <c r="AK9" s="45">
        <v>28708188</v>
      </c>
      <c r="AL9" s="45">
        <v>41086188</v>
      </c>
      <c r="AM9" s="45">
        <v>385971000</v>
      </c>
      <c r="AN9" s="45">
        <v>0</v>
      </c>
      <c r="AP9" s="46">
        <f>IF(AG9=B9,0,1)</f>
        <v>0</v>
      </c>
    </row>
    <row r="10" spans="1:42" x14ac:dyDescent="0.25">
      <c r="A10" s="18" t="s">
        <v>8</v>
      </c>
      <c r="B10" s="19" t="s">
        <v>17</v>
      </c>
      <c r="C10" s="49" t="s">
        <v>18</v>
      </c>
      <c r="D10" s="1">
        <v>472741000</v>
      </c>
      <c r="E10" s="1">
        <v>0</v>
      </c>
      <c r="F10" s="1">
        <v>0</v>
      </c>
      <c r="G10" s="1">
        <v>0</v>
      </c>
      <c r="H10" s="1">
        <v>472741000</v>
      </c>
      <c r="I10" s="1">
        <v>0</v>
      </c>
      <c r="J10" s="115">
        <v>20309600</v>
      </c>
      <c r="K10" s="116"/>
      <c r="L10" s="24">
        <v>20309600</v>
      </c>
      <c r="M10" s="37"/>
      <c r="N10" s="50">
        <f t="shared" si="4"/>
        <v>0</v>
      </c>
      <c r="O10" s="38">
        <v>452431400</v>
      </c>
      <c r="P10" s="51"/>
      <c r="Q10" s="101">
        <f t="shared" si="0"/>
        <v>472741000</v>
      </c>
      <c r="R10" s="26">
        <f t="shared" si="0"/>
        <v>0</v>
      </c>
      <c r="S10" s="124">
        <f t="shared" si="1"/>
        <v>472741000</v>
      </c>
      <c r="T10" s="125">
        <f t="shared" si="2"/>
        <v>0</v>
      </c>
      <c r="U10" s="48">
        <f>+Q10-H10</f>
        <v>0</v>
      </c>
      <c r="V10" s="37">
        <f t="shared" si="3"/>
        <v>0</v>
      </c>
      <c r="W10" s="39"/>
      <c r="X10" s="40">
        <f>+Q10</f>
        <v>472741000</v>
      </c>
      <c r="Y10" s="41"/>
      <c r="Z10" s="42"/>
      <c r="AA10" s="43"/>
      <c r="AB10" s="40"/>
      <c r="AC10" s="44"/>
      <c r="AG10" s="45" t="s">
        <v>17</v>
      </c>
      <c r="AH10" s="45" t="s">
        <v>18</v>
      </c>
      <c r="AI10" s="45">
        <v>472741000</v>
      </c>
      <c r="AJ10" s="45">
        <v>0</v>
      </c>
      <c r="AK10" s="45">
        <v>0</v>
      </c>
      <c r="AL10" s="45">
        <v>0</v>
      </c>
      <c r="AM10" s="45">
        <v>472741000</v>
      </c>
      <c r="AN10" s="45">
        <v>0</v>
      </c>
      <c r="AP10" s="46">
        <f>IF(AG10=B10,0,1)</f>
        <v>0</v>
      </c>
    </row>
    <row r="11" spans="1:42" x14ac:dyDescent="0.25">
      <c r="A11" s="18" t="s">
        <v>8</v>
      </c>
      <c r="B11" s="19" t="s">
        <v>19</v>
      </c>
      <c r="C11" s="36" t="s">
        <v>20</v>
      </c>
      <c r="D11" s="1">
        <v>9504000</v>
      </c>
      <c r="E11" s="1">
        <v>0</v>
      </c>
      <c r="F11" s="1">
        <v>330000</v>
      </c>
      <c r="G11" s="1">
        <v>330000</v>
      </c>
      <c r="H11" s="1">
        <v>9504000</v>
      </c>
      <c r="I11" s="1">
        <v>0</v>
      </c>
      <c r="J11" s="115">
        <v>9504000</v>
      </c>
      <c r="K11" s="116"/>
      <c r="L11" s="24">
        <v>9504000</v>
      </c>
      <c r="M11" s="37"/>
      <c r="N11" s="50">
        <f t="shared" si="4"/>
        <v>0</v>
      </c>
      <c r="O11" s="38"/>
      <c r="P11" s="51"/>
      <c r="Q11" s="101">
        <f t="shared" si="0"/>
        <v>9504000</v>
      </c>
      <c r="R11" s="26">
        <f t="shared" si="0"/>
        <v>0</v>
      </c>
      <c r="S11" s="124">
        <f t="shared" si="1"/>
        <v>9504000</v>
      </c>
      <c r="T11" s="125">
        <f t="shared" si="2"/>
        <v>0</v>
      </c>
      <c r="U11" s="48">
        <f>+Q11-H11</f>
        <v>0</v>
      </c>
      <c r="V11" s="37">
        <f t="shared" si="3"/>
        <v>0</v>
      </c>
      <c r="W11" s="39">
        <f>+Q11</f>
        <v>9504000</v>
      </c>
      <c r="X11" s="40"/>
      <c r="Y11" s="41"/>
      <c r="Z11" s="42"/>
      <c r="AA11" s="43"/>
      <c r="AB11" s="40"/>
      <c r="AC11" s="44"/>
      <c r="AG11" s="45" t="s">
        <v>19</v>
      </c>
      <c r="AH11" s="45" t="s">
        <v>20</v>
      </c>
      <c r="AI11" s="45">
        <v>9504000</v>
      </c>
      <c r="AJ11" s="45">
        <v>0</v>
      </c>
      <c r="AK11" s="45">
        <v>330000</v>
      </c>
      <c r="AL11" s="45">
        <v>330000</v>
      </c>
      <c r="AM11" s="45">
        <v>9504000</v>
      </c>
      <c r="AN11" s="45">
        <v>0</v>
      </c>
      <c r="AP11" s="46">
        <f>IF(AG11=B11,0,1)</f>
        <v>0</v>
      </c>
    </row>
    <row r="12" spans="1:42" x14ac:dyDescent="0.25">
      <c r="A12" s="18" t="s">
        <v>8</v>
      </c>
      <c r="B12" s="52" t="s">
        <v>127</v>
      </c>
      <c r="C12" s="53" t="s">
        <v>128</v>
      </c>
      <c r="D12" s="1">
        <v>0</v>
      </c>
      <c r="E12" s="1">
        <v>0</v>
      </c>
      <c r="F12" s="1">
        <v>8250000</v>
      </c>
      <c r="G12" s="1">
        <v>0</v>
      </c>
      <c r="H12" s="1">
        <v>8250000</v>
      </c>
      <c r="I12" s="1">
        <v>0</v>
      </c>
      <c r="J12" s="115">
        <f>8250000-8000000-250000</f>
        <v>0</v>
      </c>
      <c r="K12" s="116"/>
      <c r="L12" s="24">
        <v>8250000</v>
      </c>
      <c r="M12" s="25"/>
      <c r="N12" s="50">
        <f t="shared" si="4"/>
        <v>8250000</v>
      </c>
      <c r="O12" s="24"/>
      <c r="P12" s="27"/>
      <c r="Q12" s="101">
        <f t="shared" ref="Q12:Q46" si="5">+L12+O12</f>
        <v>8250000</v>
      </c>
      <c r="R12" s="26"/>
      <c r="S12" s="124">
        <f t="shared" si="1"/>
        <v>0</v>
      </c>
      <c r="T12" s="125">
        <f t="shared" si="2"/>
        <v>0</v>
      </c>
      <c r="U12" s="48">
        <f>+Q12-H12</f>
        <v>0</v>
      </c>
      <c r="V12" s="37">
        <f t="shared" si="3"/>
        <v>0</v>
      </c>
      <c r="W12" s="54"/>
      <c r="X12" s="55"/>
      <c r="Y12" s="56">
        <f>+Q12</f>
        <v>8250000</v>
      </c>
      <c r="Z12" s="57"/>
      <c r="AA12" s="43"/>
      <c r="AB12" s="40"/>
      <c r="AC12" s="44"/>
      <c r="AG12" s="45" t="s">
        <v>127</v>
      </c>
      <c r="AH12" s="45" t="s">
        <v>128</v>
      </c>
      <c r="AI12" s="45">
        <v>0</v>
      </c>
      <c r="AJ12" s="45">
        <v>0</v>
      </c>
      <c r="AK12" s="45">
        <v>8250000</v>
      </c>
      <c r="AL12" s="45">
        <v>0</v>
      </c>
      <c r="AM12" s="45">
        <v>8250000</v>
      </c>
      <c r="AN12" s="45">
        <v>0</v>
      </c>
      <c r="AP12" s="46">
        <f>IF(AG12=B12,0,1)</f>
        <v>0</v>
      </c>
    </row>
    <row r="13" spans="1:42" x14ac:dyDescent="0.25">
      <c r="A13" s="18" t="s">
        <v>8</v>
      </c>
      <c r="B13" s="19" t="s">
        <v>21</v>
      </c>
      <c r="C13" s="36" t="s">
        <v>22</v>
      </c>
      <c r="D13" s="1">
        <v>2963933042</v>
      </c>
      <c r="E13" s="1">
        <v>0</v>
      </c>
      <c r="F13" s="1">
        <v>415230574</v>
      </c>
      <c r="G13" s="1">
        <v>553206358</v>
      </c>
      <c r="H13" s="1">
        <v>2825957258</v>
      </c>
      <c r="I13" s="1">
        <v>0</v>
      </c>
      <c r="J13" s="115">
        <v>2825957258</v>
      </c>
      <c r="K13" s="116"/>
      <c r="L13" s="24">
        <f>2825957258</f>
        <v>2825957258</v>
      </c>
      <c r="M13" s="37"/>
      <c r="N13" s="50">
        <f t="shared" si="4"/>
        <v>0</v>
      </c>
      <c r="O13" s="38"/>
      <c r="P13" s="51"/>
      <c r="Q13" s="101">
        <f t="shared" si="5"/>
        <v>2825957258</v>
      </c>
      <c r="R13" s="26">
        <f t="shared" ref="R13:R23" si="6">+M13+P13</f>
        <v>0</v>
      </c>
      <c r="S13" s="124">
        <f t="shared" si="1"/>
        <v>2825957258</v>
      </c>
      <c r="T13" s="125">
        <f t="shared" si="2"/>
        <v>0</v>
      </c>
      <c r="U13" s="48">
        <f>+Q13-H13</f>
        <v>0</v>
      </c>
      <c r="V13" s="37">
        <f t="shared" si="3"/>
        <v>0</v>
      </c>
      <c r="W13" s="39">
        <f>+Q13</f>
        <v>2825957258</v>
      </c>
      <c r="X13" s="40"/>
      <c r="Y13" s="41"/>
      <c r="Z13" s="42"/>
      <c r="AA13" s="43"/>
      <c r="AB13" s="40"/>
      <c r="AC13" s="44"/>
      <c r="AG13" s="45" t="s">
        <v>21</v>
      </c>
      <c r="AH13" s="45" t="s">
        <v>22</v>
      </c>
      <c r="AI13" s="45">
        <v>2963933042</v>
      </c>
      <c r="AJ13" s="45">
        <v>0</v>
      </c>
      <c r="AK13" s="45">
        <v>415230574</v>
      </c>
      <c r="AL13" s="45">
        <v>553206358</v>
      </c>
      <c r="AM13" s="45">
        <v>2825957258</v>
      </c>
      <c r="AN13" s="45">
        <v>0</v>
      </c>
      <c r="AP13" s="46">
        <f>IF(AG13=B13,0,1)</f>
        <v>0</v>
      </c>
    </row>
    <row r="14" spans="1:42" x14ac:dyDescent="0.25">
      <c r="A14" s="18" t="s">
        <v>8</v>
      </c>
      <c r="B14" s="19" t="s">
        <v>23</v>
      </c>
      <c r="C14" s="49" t="s">
        <v>24</v>
      </c>
      <c r="D14" s="1">
        <v>7393966262</v>
      </c>
      <c r="E14" s="1">
        <v>0</v>
      </c>
      <c r="F14" s="1">
        <v>568819222</v>
      </c>
      <c r="G14" s="1">
        <v>544509267</v>
      </c>
      <c r="H14" s="1">
        <v>7418276217</v>
      </c>
      <c r="I14" s="1">
        <v>0</v>
      </c>
      <c r="J14" s="115">
        <v>7418276217</v>
      </c>
      <c r="K14" s="116"/>
      <c r="L14" s="24">
        <v>7418276217</v>
      </c>
      <c r="M14" s="37"/>
      <c r="N14" s="50">
        <f t="shared" si="4"/>
        <v>0</v>
      </c>
      <c r="O14" s="38"/>
      <c r="P14" s="51"/>
      <c r="Q14" s="101">
        <f t="shared" si="5"/>
        <v>7418276217</v>
      </c>
      <c r="R14" s="26">
        <f t="shared" si="6"/>
        <v>0</v>
      </c>
      <c r="S14" s="124">
        <f t="shared" si="1"/>
        <v>7418276217</v>
      </c>
      <c r="T14" s="125">
        <f t="shared" si="2"/>
        <v>0</v>
      </c>
      <c r="U14" s="48">
        <f>+Q14-H14</f>
        <v>0</v>
      </c>
      <c r="V14" s="37">
        <f t="shared" si="3"/>
        <v>0</v>
      </c>
      <c r="W14" s="39"/>
      <c r="X14" s="40">
        <f>+Q14</f>
        <v>7418276217</v>
      </c>
      <c r="Y14" s="41"/>
      <c r="Z14" s="42"/>
      <c r="AA14" s="43"/>
      <c r="AB14" s="40"/>
      <c r="AC14" s="44"/>
      <c r="AG14" s="45" t="s">
        <v>23</v>
      </c>
      <c r="AH14" s="45" t="s">
        <v>24</v>
      </c>
      <c r="AI14" s="45">
        <v>7393966262</v>
      </c>
      <c r="AJ14" s="45">
        <v>0</v>
      </c>
      <c r="AK14" s="45">
        <v>568819222</v>
      </c>
      <c r="AL14" s="45">
        <v>544509267</v>
      </c>
      <c r="AM14" s="45">
        <v>7418276217</v>
      </c>
      <c r="AN14" s="45">
        <v>0</v>
      </c>
      <c r="AP14" s="46">
        <f>IF(AG14=B14,0,1)</f>
        <v>0</v>
      </c>
    </row>
    <row r="15" spans="1:42" x14ac:dyDescent="0.25">
      <c r="A15" s="18" t="s">
        <v>8</v>
      </c>
      <c r="B15" s="19" t="s">
        <v>25</v>
      </c>
      <c r="C15" s="49" t="s">
        <v>26</v>
      </c>
      <c r="D15" s="1">
        <v>6075164381</v>
      </c>
      <c r="E15" s="1">
        <v>0</v>
      </c>
      <c r="F15" s="1">
        <v>6146127</v>
      </c>
      <c r="G15" s="1">
        <v>33773803</v>
      </c>
      <c r="H15" s="1">
        <v>6047536705</v>
      </c>
      <c r="I15" s="1">
        <v>0</v>
      </c>
      <c r="J15" s="115">
        <f>4367182133-75404786-39287570</f>
        <v>4252489777</v>
      </c>
      <c r="K15" s="116"/>
      <c r="L15" s="24">
        <v>4367182133</v>
      </c>
      <c r="M15" s="37"/>
      <c r="N15" s="50">
        <f t="shared" si="4"/>
        <v>114692356</v>
      </c>
      <c r="O15" s="38">
        <v>1680354572</v>
      </c>
      <c r="P15" s="51"/>
      <c r="Q15" s="101">
        <f t="shared" si="5"/>
        <v>6047536705</v>
      </c>
      <c r="R15" s="26">
        <f t="shared" si="6"/>
        <v>0</v>
      </c>
      <c r="S15" s="124">
        <f t="shared" si="1"/>
        <v>5932844349</v>
      </c>
      <c r="T15" s="125">
        <f t="shared" si="2"/>
        <v>0</v>
      </c>
      <c r="U15" s="48">
        <f>+Q15-H15</f>
        <v>0</v>
      </c>
      <c r="V15" s="37">
        <f t="shared" si="3"/>
        <v>0</v>
      </c>
      <c r="W15" s="39"/>
      <c r="X15" s="40">
        <f>+Q15</f>
        <v>6047536705</v>
      </c>
      <c r="Y15" s="41"/>
      <c r="Z15" s="42"/>
      <c r="AA15" s="43"/>
      <c r="AB15" s="40"/>
      <c r="AC15" s="44"/>
      <c r="AG15" s="45" t="s">
        <v>25</v>
      </c>
      <c r="AH15" s="45" t="s">
        <v>26</v>
      </c>
      <c r="AI15" s="45">
        <v>6075164381</v>
      </c>
      <c r="AJ15" s="45">
        <v>0</v>
      </c>
      <c r="AK15" s="45">
        <v>6146127</v>
      </c>
      <c r="AL15" s="45">
        <v>33773803</v>
      </c>
      <c r="AM15" s="45">
        <v>6047536705</v>
      </c>
      <c r="AN15" s="45">
        <v>0</v>
      </c>
      <c r="AP15" s="46">
        <f>IF(AG15=B15,0,1)</f>
        <v>0</v>
      </c>
    </row>
    <row r="16" spans="1:42" x14ac:dyDescent="0.25">
      <c r="A16" s="18" t="s">
        <v>8</v>
      </c>
      <c r="B16" s="19" t="s">
        <v>27</v>
      </c>
      <c r="C16" s="36" t="s">
        <v>28</v>
      </c>
      <c r="D16" s="1">
        <v>15063718562</v>
      </c>
      <c r="E16" s="1">
        <v>0</v>
      </c>
      <c r="F16" s="1">
        <v>1385328866</v>
      </c>
      <c r="G16" s="1">
        <v>695976970</v>
      </c>
      <c r="H16" s="1">
        <v>15753070458</v>
      </c>
      <c r="I16" s="1">
        <v>0</v>
      </c>
      <c r="J16" s="115">
        <f>15697284137-6603330-8386853-35949498</f>
        <v>15646344456</v>
      </c>
      <c r="K16" s="116"/>
      <c r="L16" s="24">
        <f>15697284137</f>
        <v>15697284137</v>
      </c>
      <c r="M16" s="37"/>
      <c r="N16" s="50">
        <f t="shared" si="4"/>
        <v>50939681</v>
      </c>
      <c r="O16" s="38">
        <v>55786321</v>
      </c>
      <c r="P16" s="51"/>
      <c r="Q16" s="101">
        <f t="shared" si="5"/>
        <v>15753070458</v>
      </c>
      <c r="R16" s="26">
        <f t="shared" si="6"/>
        <v>0</v>
      </c>
      <c r="S16" s="124">
        <f t="shared" si="1"/>
        <v>15702130777</v>
      </c>
      <c r="T16" s="125">
        <f t="shared" si="2"/>
        <v>0</v>
      </c>
      <c r="U16" s="48">
        <f>+Q16-H16</f>
        <v>0</v>
      </c>
      <c r="V16" s="37">
        <f t="shared" si="3"/>
        <v>0</v>
      </c>
      <c r="W16" s="39">
        <f>+Q16</f>
        <v>15753070458</v>
      </c>
      <c r="X16" s="40"/>
      <c r="Y16" s="41"/>
      <c r="Z16" s="42"/>
      <c r="AA16" s="43"/>
      <c r="AB16" s="40"/>
      <c r="AC16" s="44"/>
      <c r="AG16" s="45" t="s">
        <v>27</v>
      </c>
      <c r="AH16" s="45" t="s">
        <v>28</v>
      </c>
      <c r="AI16" s="45">
        <v>15063718562</v>
      </c>
      <c r="AJ16" s="45">
        <v>0</v>
      </c>
      <c r="AK16" s="45">
        <v>1385328866</v>
      </c>
      <c r="AL16" s="45">
        <v>695976970</v>
      </c>
      <c r="AM16" s="45">
        <v>15753070458</v>
      </c>
      <c r="AN16" s="45">
        <v>0</v>
      </c>
      <c r="AP16" s="46">
        <f>IF(AG16=B16,0,1)</f>
        <v>0</v>
      </c>
    </row>
    <row r="17" spans="1:42" x14ac:dyDescent="0.25">
      <c r="A17" s="18" t="s">
        <v>8</v>
      </c>
      <c r="B17" s="19" t="s">
        <v>29</v>
      </c>
      <c r="C17" s="49" t="s">
        <v>30</v>
      </c>
      <c r="D17" s="1">
        <v>1483169742</v>
      </c>
      <c r="E17" s="1">
        <v>0</v>
      </c>
      <c r="F17" s="1">
        <v>61326366</v>
      </c>
      <c r="G17" s="1">
        <v>0</v>
      </c>
      <c r="H17" s="1">
        <v>1544496108</v>
      </c>
      <c r="I17" s="1">
        <v>0</v>
      </c>
      <c r="J17" s="115">
        <v>1544496108</v>
      </c>
      <c r="K17" s="116"/>
      <c r="L17" s="24">
        <v>1544496108</v>
      </c>
      <c r="M17" s="37"/>
      <c r="N17" s="50">
        <f t="shared" si="4"/>
        <v>0</v>
      </c>
      <c r="O17" s="38"/>
      <c r="P17" s="51"/>
      <c r="Q17" s="101">
        <f t="shared" si="5"/>
        <v>1544496108</v>
      </c>
      <c r="R17" s="26">
        <f t="shared" si="6"/>
        <v>0</v>
      </c>
      <c r="S17" s="124">
        <f t="shared" si="1"/>
        <v>1544496108</v>
      </c>
      <c r="T17" s="125">
        <f t="shared" si="2"/>
        <v>0</v>
      </c>
      <c r="U17" s="48">
        <f>+Q17-H17</f>
        <v>0</v>
      </c>
      <c r="V17" s="37">
        <f t="shared" si="3"/>
        <v>0</v>
      </c>
      <c r="W17" s="39"/>
      <c r="X17" s="40">
        <f>+Q17</f>
        <v>1544496108</v>
      </c>
      <c r="Y17" s="41"/>
      <c r="Z17" s="42"/>
      <c r="AA17" s="43"/>
      <c r="AB17" s="40"/>
      <c r="AC17" s="44"/>
      <c r="AG17" s="45" t="s">
        <v>29</v>
      </c>
      <c r="AH17" s="45" t="s">
        <v>30</v>
      </c>
      <c r="AI17" s="45">
        <v>1483169742</v>
      </c>
      <c r="AJ17" s="45">
        <v>0</v>
      </c>
      <c r="AK17" s="45">
        <v>61326366</v>
      </c>
      <c r="AL17" s="45">
        <v>0</v>
      </c>
      <c r="AM17" s="45">
        <v>1544496108</v>
      </c>
      <c r="AN17" s="45">
        <v>0</v>
      </c>
      <c r="AP17" s="46">
        <f>IF(AG17=B17,0,1)</f>
        <v>0</v>
      </c>
    </row>
    <row r="18" spans="1:42" x14ac:dyDescent="0.25">
      <c r="A18" s="18" t="s">
        <v>8</v>
      </c>
      <c r="B18" s="19" t="s">
        <v>31</v>
      </c>
      <c r="C18" s="47" t="s">
        <v>32</v>
      </c>
      <c r="D18" s="1">
        <v>10469529180</v>
      </c>
      <c r="E18" s="1">
        <v>0</v>
      </c>
      <c r="F18" s="1">
        <v>2030763100</v>
      </c>
      <c r="G18" s="1">
        <v>0</v>
      </c>
      <c r="H18" s="1">
        <v>12500292280</v>
      </c>
      <c r="I18" s="1">
        <v>0</v>
      </c>
      <c r="J18" s="115">
        <f>12500292280-489676767-149295590-384801215-353435065-206378493</f>
        <v>10916705150</v>
      </c>
      <c r="K18" s="116"/>
      <c r="L18" s="24">
        <v>12500292280</v>
      </c>
      <c r="M18" s="37"/>
      <c r="N18" s="50">
        <f t="shared" si="4"/>
        <v>1583587130</v>
      </c>
      <c r="O18" s="38"/>
      <c r="P18" s="51"/>
      <c r="Q18" s="101">
        <f t="shared" si="5"/>
        <v>12500292280</v>
      </c>
      <c r="R18" s="26">
        <f t="shared" si="6"/>
        <v>0</v>
      </c>
      <c r="S18" s="124">
        <f t="shared" si="1"/>
        <v>10916705150</v>
      </c>
      <c r="T18" s="125">
        <f t="shared" si="2"/>
        <v>0</v>
      </c>
      <c r="U18" s="48">
        <f>+Q18-H18</f>
        <v>0</v>
      </c>
      <c r="V18" s="37">
        <f t="shared" si="3"/>
        <v>0</v>
      </c>
      <c r="W18" s="39"/>
      <c r="X18" s="40"/>
      <c r="Y18" s="41">
        <f>+Q18</f>
        <v>12500292280</v>
      </c>
      <c r="Z18" s="42"/>
      <c r="AA18" s="43"/>
      <c r="AB18" s="40"/>
      <c r="AC18" s="44"/>
      <c r="AG18" s="45" t="s">
        <v>31</v>
      </c>
      <c r="AH18" s="45" t="s">
        <v>32</v>
      </c>
      <c r="AI18" s="45">
        <v>10469529180</v>
      </c>
      <c r="AJ18" s="45">
        <v>0</v>
      </c>
      <c r="AK18" s="45">
        <v>2030763100</v>
      </c>
      <c r="AL18" s="45">
        <v>0</v>
      </c>
      <c r="AM18" s="45">
        <v>12500292280</v>
      </c>
      <c r="AN18" s="45">
        <v>0</v>
      </c>
      <c r="AP18" s="46">
        <f>IF(AG18=B18,0,1)</f>
        <v>0</v>
      </c>
    </row>
    <row r="19" spans="1:42" x14ac:dyDescent="0.25">
      <c r="A19" s="18" t="s">
        <v>8</v>
      </c>
      <c r="B19" s="19" t="s">
        <v>33</v>
      </c>
      <c r="C19" s="47" t="s">
        <v>34</v>
      </c>
      <c r="D19" s="1">
        <v>7351272148</v>
      </c>
      <c r="E19" s="1">
        <v>0</v>
      </c>
      <c r="F19" s="1">
        <v>6440903263</v>
      </c>
      <c r="G19" s="1">
        <v>851842118</v>
      </c>
      <c r="H19" s="1">
        <v>12940333293</v>
      </c>
      <c r="I19" s="1">
        <v>0</v>
      </c>
      <c r="J19" s="115">
        <f>13769916884-829583591-11210000-112766224-44405970-1696520650-703791488-840342096-237963861-2660184539-821169163</f>
        <v>5811979302</v>
      </c>
      <c r="K19" s="116"/>
      <c r="L19" s="24">
        <f>13769916884-829583591</f>
        <v>12940333293</v>
      </c>
      <c r="M19" s="37"/>
      <c r="N19" s="50">
        <f t="shared" si="4"/>
        <v>7128353991</v>
      </c>
      <c r="O19" s="38"/>
      <c r="P19" s="51"/>
      <c r="Q19" s="101">
        <f t="shared" si="5"/>
        <v>12940333293</v>
      </c>
      <c r="R19" s="26">
        <f t="shared" si="6"/>
        <v>0</v>
      </c>
      <c r="S19" s="124">
        <f t="shared" si="1"/>
        <v>5811979302</v>
      </c>
      <c r="T19" s="125">
        <f t="shared" si="2"/>
        <v>0</v>
      </c>
      <c r="U19" s="48">
        <f>+Q19-H19</f>
        <v>0</v>
      </c>
      <c r="V19" s="37">
        <f t="shared" si="3"/>
        <v>0</v>
      </c>
      <c r="W19" s="39"/>
      <c r="X19" s="40"/>
      <c r="Y19" s="41">
        <f>+Q19</f>
        <v>12940333293</v>
      </c>
      <c r="Z19" s="42"/>
      <c r="AA19" s="43"/>
      <c r="AB19" s="40"/>
      <c r="AC19" s="44"/>
      <c r="AG19" s="45" t="s">
        <v>33</v>
      </c>
      <c r="AH19" s="45" t="s">
        <v>175</v>
      </c>
      <c r="AI19" s="45">
        <v>7351272148</v>
      </c>
      <c r="AJ19" s="45">
        <v>0</v>
      </c>
      <c r="AK19" s="45">
        <v>6440903263</v>
      </c>
      <c r="AL19" s="45">
        <v>851842118</v>
      </c>
      <c r="AM19" s="45">
        <v>12940333293</v>
      </c>
      <c r="AN19" s="45">
        <v>0</v>
      </c>
      <c r="AP19" s="46">
        <f>IF(AG19=B19,0,1)</f>
        <v>0</v>
      </c>
    </row>
    <row r="20" spans="1:42" x14ac:dyDescent="0.25">
      <c r="A20" s="18" t="s">
        <v>8</v>
      </c>
      <c r="B20" s="19" t="s">
        <v>35</v>
      </c>
      <c r="C20" s="47" t="s">
        <v>36</v>
      </c>
      <c r="D20" s="1">
        <v>26141527</v>
      </c>
      <c r="E20" s="1">
        <v>0</v>
      </c>
      <c r="F20" s="1">
        <v>7371936</v>
      </c>
      <c r="G20" s="1">
        <v>0</v>
      </c>
      <c r="H20" s="1">
        <v>33513463</v>
      </c>
      <c r="I20" s="1">
        <v>0</v>
      </c>
      <c r="J20" s="115">
        <v>33513463</v>
      </c>
      <c r="K20" s="116"/>
      <c r="L20" s="24">
        <v>33513463</v>
      </c>
      <c r="M20" s="37"/>
      <c r="N20" s="50">
        <f t="shared" si="4"/>
        <v>0</v>
      </c>
      <c r="O20" s="38"/>
      <c r="P20" s="51"/>
      <c r="Q20" s="101">
        <f t="shared" si="5"/>
        <v>33513463</v>
      </c>
      <c r="R20" s="26">
        <f t="shared" si="6"/>
        <v>0</v>
      </c>
      <c r="S20" s="124">
        <f t="shared" si="1"/>
        <v>33513463</v>
      </c>
      <c r="T20" s="125">
        <f t="shared" si="2"/>
        <v>0</v>
      </c>
      <c r="U20" s="48">
        <f>+Q20-H20</f>
        <v>0</v>
      </c>
      <c r="V20" s="37">
        <f t="shared" si="3"/>
        <v>0</v>
      </c>
      <c r="W20" s="39"/>
      <c r="X20" s="40"/>
      <c r="Y20" s="41">
        <f>+Q20</f>
        <v>33513463</v>
      </c>
      <c r="Z20" s="42"/>
      <c r="AA20" s="43"/>
      <c r="AB20" s="40"/>
      <c r="AC20" s="44"/>
      <c r="AG20" s="45" t="s">
        <v>35</v>
      </c>
      <c r="AH20" s="45" t="s">
        <v>36</v>
      </c>
      <c r="AI20" s="45">
        <v>26141527</v>
      </c>
      <c r="AJ20" s="45">
        <v>0</v>
      </c>
      <c r="AK20" s="45">
        <v>7371936</v>
      </c>
      <c r="AL20" s="45">
        <v>0</v>
      </c>
      <c r="AM20" s="45">
        <v>33513463</v>
      </c>
      <c r="AN20" s="45">
        <v>0</v>
      </c>
      <c r="AP20" s="46">
        <f>IF(AG20=B20,0,1)</f>
        <v>0</v>
      </c>
    </row>
    <row r="21" spans="1:42" x14ac:dyDescent="0.25">
      <c r="A21" s="18" t="s">
        <v>8</v>
      </c>
      <c r="B21" s="19" t="s">
        <v>37</v>
      </c>
      <c r="C21" s="47" t="s">
        <v>38</v>
      </c>
      <c r="D21" s="1">
        <v>40955091</v>
      </c>
      <c r="E21" s="1">
        <v>0</v>
      </c>
      <c r="F21" s="1">
        <v>0</v>
      </c>
      <c r="G21" s="1">
        <v>0</v>
      </c>
      <c r="H21" s="1">
        <v>40955091</v>
      </c>
      <c r="I21" s="1">
        <v>0</v>
      </c>
      <c r="J21" s="115">
        <v>40955091</v>
      </c>
      <c r="K21" s="116"/>
      <c r="L21" s="24">
        <v>40955091</v>
      </c>
      <c r="M21" s="37"/>
      <c r="N21" s="50">
        <f t="shared" si="4"/>
        <v>0</v>
      </c>
      <c r="O21" s="38"/>
      <c r="P21" s="51"/>
      <c r="Q21" s="101">
        <f t="shared" si="5"/>
        <v>40955091</v>
      </c>
      <c r="R21" s="26">
        <f t="shared" si="6"/>
        <v>0</v>
      </c>
      <c r="S21" s="124">
        <f t="shared" si="1"/>
        <v>40955091</v>
      </c>
      <c r="T21" s="125">
        <f t="shared" si="2"/>
        <v>0</v>
      </c>
      <c r="U21" s="48">
        <f>+Q21-H21</f>
        <v>0</v>
      </c>
      <c r="V21" s="37">
        <f t="shared" si="3"/>
        <v>0</v>
      </c>
      <c r="W21" s="39"/>
      <c r="X21" s="40"/>
      <c r="Y21" s="41">
        <f>+Q21</f>
        <v>40955091</v>
      </c>
      <c r="Z21" s="42"/>
      <c r="AA21" s="43"/>
      <c r="AB21" s="40"/>
      <c r="AC21" s="44"/>
      <c r="AG21" s="45" t="s">
        <v>37</v>
      </c>
      <c r="AH21" s="45" t="s">
        <v>38</v>
      </c>
      <c r="AI21" s="45">
        <v>40955091</v>
      </c>
      <c r="AJ21" s="45">
        <v>0</v>
      </c>
      <c r="AK21" s="45">
        <v>0</v>
      </c>
      <c r="AL21" s="45">
        <v>0</v>
      </c>
      <c r="AM21" s="45">
        <v>40955091</v>
      </c>
      <c r="AN21" s="45">
        <v>0</v>
      </c>
      <c r="AP21" s="46">
        <f>IF(AG21=B21,0,1)</f>
        <v>0</v>
      </c>
    </row>
    <row r="22" spans="1:42" x14ac:dyDescent="0.25">
      <c r="A22" s="18" t="s">
        <v>8</v>
      </c>
      <c r="B22" s="19" t="s">
        <v>39</v>
      </c>
      <c r="C22" s="49" t="s">
        <v>40</v>
      </c>
      <c r="D22" s="1">
        <v>1603582646</v>
      </c>
      <c r="E22" s="1">
        <v>0</v>
      </c>
      <c r="F22" s="1">
        <v>0</v>
      </c>
      <c r="G22" s="1">
        <v>0</v>
      </c>
      <c r="H22" s="1">
        <v>1603582646</v>
      </c>
      <c r="I22" s="1">
        <v>0</v>
      </c>
      <c r="J22" s="115">
        <v>1603582646</v>
      </c>
      <c r="K22" s="116"/>
      <c r="L22" s="24">
        <v>1603582646</v>
      </c>
      <c r="M22" s="37"/>
      <c r="N22" s="50">
        <f t="shared" si="4"/>
        <v>0</v>
      </c>
      <c r="O22" s="38"/>
      <c r="P22" s="51"/>
      <c r="Q22" s="102">
        <f t="shared" si="5"/>
        <v>1603582646</v>
      </c>
      <c r="R22" s="50">
        <f t="shared" si="6"/>
        <v>0</v>
      </c>
      <c r="S22" s="124">
        <f t="shared" si="1"/>
        <v>1603582646</v>
      </c>
      <c r="T22" s="125">
        <f t="shared" si="2"/>
        <v>0</v>
      </c>
      <c r="U22" s="48">
        <f>+Q22-H22</f>
        <v>0</v>
      </c>
      <c r="V22" s="37">
        <f t="shared" si="3"/>
        <v>0</v>
      </c>
      <c r="W22" s="39"/>
      <c r="X22" s="40">
        <f>+Q22</f>
        <v>1603582646</v>
      </c>
      <c r="Y22" s="41"/>
      <c r="Z22" s="42"/>
      <c r="AA22" s="43"/>
      <c r="AB22" s="40"/>
      <c r="AC22" s="44"/>
      <c r="AG22" s="45" t="s">
        <v>39</v>
      </c>
      <c r="AH22" s="45" t="s">
        <v>40</v>
      </c>
      <c r="AI22" s="45">
        <v>1603582646</v>
      </c>
      <c r="AJ22" s="45">
        <v>0</v>
      </c>
      <c r="AK22" s="45">
        <v>0</v>
      </c>
      <c r="AL22" s="45">
        <v>0</v>
      </c>
      <c r="AM22" s="45">
        <v>1603582646</v>
      </c>
      <c r="AN22" s="45">
        <v>0</v>
      </c>
      <c r="AP22" s="46">
        <f>IF(AG22=B22,0,1)</f>
        <v>0</v>
      </c>
    </row>
    <row r="23" spans="1:42" x14ac:dyDescent="0.25">
      <c r="A23" s="18" t="s">
        <v>8</v>
      </c>
      <c r="B23" s="19" t="s">
        <v>41</v>
      </c>
      <c r="C23" s="49" t="s">
        <v>42</v>
      </c>
      <c r="D23" s="1">
        <v>22804302</v>
      </c>
      <c r="E23" s="1">
        <v>0</v>
      </c>
      <c r="F23" s="1">
        <v>2220000</v>
      </c>
      <c r="G23" s="1">
        <v>0</v>
      </c>
      <c r="H23" s="1">
        <v>25024302</v>
      </c>
      <c r="I23" s="1">
        <v>0</v>
      </c>
      <c r="J23" s="115">
        <v>2220000</v>
      </c>
      <c r="K23" s="116"/>
      <c r="L23" s="24">
        <v>2220000</v>
      </c>
      <c r="M23" s="37"/>
      <c r="N23" s="50">
        <f t="shared" si="4"/>
        <v>0</v>
      </c>
      <c r="O23" s="38">
        <v>22804302</v>
      </c>
      <c r="P23" s="51"/>
      <c r="Q23" s="102">
        <f t="shared" si="5"/>
        <v>25024302</v>
      </c>
      <c r="R23" s="50">
        <f t="shared" si="6"/>
        <v>0</v>
      </c>
      <c r="S23" s="124">
        <f t="shared" si="1"/>
        <v>25024302</v>
      </c>
      <c r="T23" s="125">
        <f t="shared" si="2"/>
        <v>0</v>
      </c>
      <c r="U23" s="48">
        <f>+Q23-H23</f>
        <v>0</v>
      </c>
      <c r="V23" s="37">
        <f t="shared" si="3"/>
        <v>0</v>
      </c>
      <c r="W23" s="39"/>
      <c r="X23" s="40">
        <f>+Q23</f>
        <v>25024302</v>
      </c>
      <c r="Y23" s="41"/>
      <c r="Z23" s="42"/>
      <c r="AA23" s="43"/>
      <c r="AB23" s="40"/>
      <c r="AC23" s="44"/>
      <c r="AG23" s="45" t="s">
        <v>41</v>
      </c>
      <c r="AH23" s="45" t="s">
        <v>42</v>
      </c>
      <c r="AI23" s="45">
        <v>22804302</v>
      </c>
      <c r="AJ23" s="45">
        <v>0</v>
      </c>
      <c r="AK23" s="45">
        <v>2220000</v>
      </c>
      <c r="AL23" s="45">
        <v>0</v>
      </c>
      <c r="AM23" s="45">
        <v>25024302</v>
      </c>
      <c r="AN23" s="45">
        <v>0</v>
      </c>
      <c r="AP23" s="46">
        <f>IF(AG23=B23,0,1)</f>
        <v>0</v>
      </c>
    </row>
    <row r="24" spans="1:42" x14ac:dyDescent="0.25">
      <c r="A24" s="18" t="s">
        <v>8</v>
      </c>
      <c r="B24" s="52" t="s">
        <v>129</v>
      </c>
      <c r="C24" s="58" t="s">
        <v>130</v>
      </c>
      <c r="D24" s="1">
        <v>0</v>
      </c>
      <c r="E24" s="1">
        <v>0</v>
      </c>
      <c r="F24" s="1">
        <v>250000</v>
      </c>
      <c r="G24" s="1">
        <v>250000</v>
      </c>
      <c r="H24" s="1">
        <v>0</v>
      </c>
      <c r="I24" s="1">
        <v>0</v>
      </c>
      <c r="J24" s="115"/>
      <c r="K24" s="116"/>
      <c r="L24" s="38"/>
      <c r="M24" s="25"/>
      <c r="N24" s="50">
        <f t="shared" si="4"/>
        <v>0</v>
      </c>
      <c r="O24" s="24"/>
      <c r="P24" s="27"/>
      <c r="Q24" s="102">
        <f t="shared" si="5"/>
        <v>0</v>
      </c>
      <c r="R24" s="50"/>
      <c r="S24" s="124">
        <f t="shared" si="1"/>
        <v>0</v>
      </c>
      <c r="T24" s="125">
        <f t="shared" si="2"/>
        <v>0</v>
      </c>
      <c r="U24" s="48">
        <f>+Q24-H24</f>
        <v>0</v>
      </c>
      <c r="V24" s="37">
        <f t="shared" si="3"/>
        <v>0</v>
      </c>
      <c r="W24" s="54">
        <f>+Q24</f>
        <v>0</v>
      </c>
      <c r="X24" s="55"/>
      <c r="Y24" s="56"/>
      <c r="Z24" s="57"/>
      <c r="AA24" s="43"/>
      <c r="AB24" s="40"/>
      <c r="AC24" s="44"/>
      <c r="AG24" s="45" t="s">
        <v>129</v>
      </c>
      <c r="AH24" s="45" t="s">
        <v>130</v>
      </c>
      <c r="AI24" s="45">
        <v>0</v>
      </c>
      <c r="AJ24" s="45">
        <v>0</v>
      </c>
      <c r="AK24" s="45">
        <v>250000</v>
      </c>
      <c r="AL24" s="45">
        <v>250000</v>
      </c>
      <c r="AM24" s="45">
        <v>0</v>
      </c>
      <c r="AN24" s="45">
        <v>0</v>
      </c>
      <c r="AP24" s="46">
        <f>IF(AG24=B24,0,1)</f>
        <v>0</v>
      </c>
    </row>
    <row r="25" spans="1:42" x14ac:dyDescent="0.25">
      <c r="A25" s="18" t="s">
        <v>8</v>
      </c>
      <c r="B25" s="19" t="s">
        <v>43</v>
      </c>
      <c r="C25" s="47" t="s">
        <v>44</v>
      </c>
      <c r="D25" s="1">
        <v>7471175304</v>
      </c>
      <c r="E25" s="1">
        <v>0</v>
      </c>
      <c r="F25" s="1">
        <v>693914040</v>
      </c>
      <c r="G25" s="1">
        <v>0</v>
      </c>
      <c r="H25" s="1">
        <v>8165089344</v>
      </c>
      <c r="I25" s="1">
        <v>0</v>
      </c>
      <c r="J25" s="115">
        <f>8165089344-18562283-547146233</f>
        <v>7599380828</v>
      </c>
      <c r="K25" s="116"/>
      <c r="L25" s="38">
        <v>8165089344</v>
      </c>
      <c r="M25" s="37"/>
      <c r="N25" s="50">
        <f t="shared" si="4"/>
        <v>565708516</v>
      </c>
      <c r="O25" s="38"/>
      <c r="P25" s="51"/>
      <c r="Q25" s="102">
        <f t="shared" si="5"/>
        <v>8165089344</v>
      </c>
      <c r="R25" s="50">
        <f>+M25+P25</f>
        <v>0</v>
      </c>
      <c r="S25" s="124">
        <f t="shared" si="1"/>
        <v>7599380828</v>
      </c>
      <c r="T25" s="125">
        <f t="shared" si="2"/>
        <v>0</v>
      </c>
      <c r="U25" s="48">
        <f>+Q25-H25</f>
        <v>0</v>
      </c>
      <c r="V25" s="37">
        <f t="shared" si="3"/>
        <v>0</v>
      </c>
      <c r="W25" s="39"/>
      <c r="X25" s="40"/>
      <c r="Y25" s="41">
        <f>+Q25</f>
        <v>8165089344</v>
      </c>
      <c r="Z25" s="42"/>
      <c r="AA25" s="43"/>
      <c r="AB25" s="40"/>
      <c r="AC25" s="44"/>
      <c r="AG25" s="45" t="s">
        <v>43</v>
      </c>
      <c r="AH25" s="45" t="s">
        <v>44</v>
      </c>
      <c r="AI25" s="45">
        <v>7471175304</v>
      </c>
      <c r="AJ25" s="45">
        <v>0</v>
      </c>
      <c r="AK25" s="45">
        <v>693914040</v>
      </c>
      <c r="AL25" s="45">
        <v>0</v>
      </c>
      <c r="AM25" s="45">
        <v>8165089344</v>
      </c>
      <c r="AN25" s="45">
        <v>0</v>
      </c>
      <c r="AP25" s="46">
        <f>IF(AG25=B25,0,1)</f>
        <v>0</v>
      </c>
    </row>
    <row r="26" spans="1:42" x14ac:dyDescent="0.25">
      <c r="A26" s="18" t="s">
        <v>8</v>
      </c>
      <c r="B26" s="19" t="s">
        <v>45</v>
      </c>
      <c r="C26" s="49" t="s">
        <v>46</v>
      </c>
      <c r="D26" s="1">
        <v>157946400</v>
      </c>
      <c r="E26" s="1">
        <v>0</v>
      </c>
      <c r="F26" s="1">
        <v>0</v>
      </c>
      <c r="G26" s="1">
        <v>0</v>
      </c>
      <c r="H26" s="1">
        <v>157946400</v>
      </c>
      <c r="I26" s="1">
        <v>0</v>
      </c>
      <c r="J26" s="115">
        <v>157946400</v>
      </c>
      <c r="K26" s="116"/>
      <c r="L26" s="38">
        <v>157946400</v>
      </c>
      <c r="M26" s="37"/>
      <c r="N26" s="50">
        <f t="shared" si="4"/>
        <v>0</v>
      </c>
      <c r="O26" s="38"/>
      <c r="P26" s="51"/>
      <c r="Q26" s="102">
        <f t="shared" si="5"/>
        <v>157946400</v>
      </c>
      <c r="R26" s="50">
        <f>+M26+P26</f>
        <v>0</v>
      </c>
      <c r="S26" s="124">
        <f t="shared" si="1"/>
        <v>157946400</v>
      </c>
      <c r="T26" s="125">
        <f t="shared" si="2"/>
        <v>0</v>
      </c>
      <c r="U26" s="48">
        <f>+Q26-H26</f>
        <v>0</v>
      </c>
      <c r="V26" s="37">
        <f t="shared" si="3"/>
        <v>0</v>
      </c>
      <c r="W26" s="39"/>
      <c r="X26" s="40"/>
      <c r="Y26" s="41"/>
      <c r="Z26" s="42">
        <f>+Q26</f>
        <v>157946400</v>
      </c>
      <c r="AA26" s="43"/>
      <c r="AB26" s="40">
        <f>+Z26</f>
        <v>157946400</v>
      </c>
      <c r="AC26" s="44"/>
      <c r="AG26" s="45" t="s">
        <v>45</v>
      </c>
      <c r="AH26" s="45" t="s">
        <v>46</v>
      </c>
      <c r="AI26" s="45">
        <v>157946400</v>
      </c>
      <c r="AJ26" s="45">
        <v>0</v>
      </c>
      <c r="AK26" s="45">
        <v>0</v>
      </c>
      <c r="AL26" s="45">
        <v>0</v>
      </c>
      <c r="AM26" s="45">
        <v>157946400</v>
      </c>
      <c r="AN26" s="45">
        <v>0</v>
      </c>
      <c r="AP26" s="46">
        <f>IF(AG26=B26,0,1)</f>
        <v>0</v>
      </c>
    </row>
    <row r="27" spans="1:42" x14ac:dyDescent="0.25">
      <c r="A27" s="18" t="s">
        <v>8</v>
      </c>
      <c r="B27" s="52" t="s">
        <v>131</v>
      </c>
      <c r="C27" s="53" t="s">
        <v>132</v>
      </c>
      <c r="D27" s="1">
        <v>0</v>
      </c>
      <c r="E27" s="1">
        <v>0</v>
      </c>
      <c r="F27" s="1">
        <v>5540153</v>
      </c>
      <c r="G27" s="1">
        <v>5540153</v>
      </c>
      <c r="H27" s="1">
        <v>0</v>
      </c>
      <c r="I27" s="1">
        <v>0</v>
      </c>
      <c r="J27" s="115"/>
      <c r="K27" s="116"/>
      <c r="L27" s="38"/>
      <c r="M27" s="25"/>
      <c r="N27" s="50">
        <f t="shared" si="4"/>
        <v>0</v>
      </c>
      <c r="O27" s="24"/>
      <c r="P27" s="27"/>
      <c r="Q27" s="102">
        <f t="shared" si="5"/>
        <v>0</v>
      </c>
      <c r="R27" s="50"/>
      <c r="S27" s="124">
        <f t="shared" si="1"/>
        <v>0</v>
      </c>
      <c r="T27" s="125">
        <f t="shared" si="2"/>
        <v>0</v>
      </c>
      <c r="U27" s="48">
        <f>+Q27-H27</f>
        <v>0</v>
      </c>
      <c r="V27" s="37">
        <f t="shared" si="3"/>
        <v>0</v>
      </c>
      <c r="W27" s="54"/>
      <c r="X27" s="55"/>
      <c r="Y27" s="56">
        <f>+Q27</f>
        <v>0</v>
      </c>
      <c r="Z27" s="57"/>
      <c r="AA27" s="43"/>
      <c r="AB27" s="40"/>
      <c r="AC27" s="44"/>
      <c r="AG27" s="45" t="s">
        <v>131</v>
      </c>
      <c r="AH27" s="45" t="s">
        <v>132</v>
      </c>
      <c r="AI27" s="45">
        <v>0</v>
      </c>
      <c r="AJ27" s="45">
        <v>0</v>
      </c>
      <c r="AK27" s="45">
        <v>5540153</v>
      </c>
      <c r="AL27" s="45">
        <v>5540153</v>
      </c>
      <c r="AM27" s="45">
        <v>0</v>
      </c>
      <c r="AN27" s="45">
        <v>0</v>
      </c>
      <c r="AP27" s="46">
        <f>IF(AG27=B27,0,1)</f>
        <v>0</v>
      </c>
    </row>
    <row r="28" spans="1:42" x14ac:dyDescent="0.25">
      <c r="A28" s="18" t="s">
        <v>8</v>
      </c>
      <c r="B28" s="19" t="s">
        <v>47</v>
      </c>
      <c r="C28" s="49" t="s">
        <v>48</v>
      </c>
      <c r="D28" s="1">
        <v>375053150</v>
      </c>
      <c r="E28" s="1">
        <v>0</v>
      </c>
      <c r="F28" s="1">
        <v>119770999</v>
      </c>
      <c r="G28" s="1">
        <v>0</v>
      </c>
      <c r="H28" s="1">
        <v>494824149</v>
      </c>
      <c r="I28" s="1">
        <v>0</v>
      </c>
      <c r="J28" s="115">
        <v>494824149</v>
      </c>
      <c r="K28" s="116"/>
      <c r="L28" s="38">
        <v>494824149</v>
      </c>
      <c r="M28" s="37"/>
      <c r="N28" s="50">
        <f t="shared" si="4"/>
        <v>0</v>
      </c>
      <c r="O28" s="38"/>
      <c r="P28" s="51"/>
      <c r="Q28" s="102">
        <f t="shared" si="5"/>
        <v>494824149</v>
      </c>
      <c r="R28" s="50">
        <f>+M28+P28</f>
        <v>0</v>
      </c>
      <c r="S28" s="124">
        <f t="shared" si="1"/>
        <v>494824149</v>
      </c>
      <c r="T28" s="125">
        <f t="shared" si="2"/>
        <v>0</v>
      </c>
      <c r="U28" s="48">
        <f>+Q28-H28</f>
        <v>0</v>
      </c>
      <c r="V28" s="37">
        <f t="shared" si="3"/>
        <v>0</v>
      </c>
      <c r="W28" s="39"/>
      <c r="X28" s="40"/>
      <c r="Y28" s="41"/>
      <c r="Z28" s="42">
        <f>+Q28</f>
        <v>494824149</v>
      </c>
      <c r="AA28" s="43"/>
      <c r="AB28" s="40">
        <f>+Z28</f>
        <v>494824149</v>
      </c>
      <c r="AC28" s="44"/>
      <c r="AG28" s="45" t="s">
        <v>47</v>
      </c>
      <c r="AH28" s="45" t="s">
        <v>48</v>
      </c>
      <c r="AI28" s="45">
        <v>375053150</v>
      </c>
      <c r="AJ28" s="45">
        <v>0</v>
      </c>
      <c r="AK28" s="45">
        <v>119770999</v>
      </c>
      <c r="AL28" s="45">
        <v>0</v>
      </c>
      <c r="AM28" s="45">
        <v>494824149</v>
      </c>
      <c r="AN28" s="45">
        <v>0</v>
      </c>
      <c r="AP28" s="46">
        <f>IF(AG28=B28,0,1)</f>
        <v>0</v>
      </c>
    </row>
    <row r="29" spans="1:42" x14ac:dyDescent="0.25">
      <c r="A29" s="18" t="s">
        <v>8</v>
      </c>
      <c r="B29" s="19" t="s">
        <v>49</v>
      </c>
      <c r="C29" s="36" t="s">
        <v>50</v>
      </c>
      <c r="D29" s="1">
        <v>713219776</v>
      </c>
      <c r="E29" s="1">
        <v>0</v>
      </c>
      <c r="F29" s="1">
        <v>94976752</v>
      </c>
      <c r="G29" s="1">
        <v>0</v>
      </c>
      <c r="H29" s="1">
        <v>808196528</v>
      </c>
      <c r="I29" s="1">
        <v>0</v>
      </c>
      <c r="J29" s="115">
        <v>808196528</v>
      </c>
      <c r="K29" s="116"/>
      <c r="L29" s="38">
        <v>808196528</v>
      </c>
      <c r="M29" s="37"/>
      <c r="N29" s="50">
        <f t="shared" si="4"/>
        <v>0</v>
      </c>
      <c r="O29" s="38"/>
      <c r="P29" s="51"/>
      <c r="Q29" s="102">
        <f t="shared" si="5"/>
        <v>808196528</v>
      </c>
      <c r="R29" s="50">
        <f>+M29+P29</f>
        <v>0</v>
      </c>
      <c r="S29" s="124">
        <f t="shared" si="1"/>
        <v>808196528</v>
      </c>
      <c r="T29" s="125">
        <f t="shared" si="2"/>
        <v>0</v>
      </c>
      <c r="U29" s="48">
        <f>+Q29-H29</f>
        <v>0</v>
      </c>
      <c r="V29" s="37">
        <f t="shared" si="3"/>
        <v>0</v>
      </c>
      <c r="W29" s="39"/>
      <c r="X29" s="40"/>
      <c r="Y29" s="41"/>
      <c r="Z29" s="42">
        <f>+Q29</f>
        <v>808196528</v>
      </c>
      <c r="AA29" s="43">
        <f>+Z29</f>
        <v>808196528</v>
      </c>
      <c r="AB29" s="40"/>
      <c r="AC29" s="44"/>
      <c r="AG29" s="45" t="s">
        <v>49</v>
      </c>
      <c r="AH29" s="45" t="s">
        <v>50</v>
      </c>
      <c r="AI29" s="45">
        <v>713219776</v>
      </c>
      <c r="AJ29" s="45">
        <v>0</v>
      </c>
      <c r="AK29" s="45">
        <v>94976752</v>
      </c>
      <c r="AL29" s="45">
        <v>0</v>
      </c>
      <c r="AM29" s="45">
        <v>808196528</v>
      </c>
      <c r="AN29" s="45">
        <v>0</v>
      </c>
      <c r="AP29" s="46">
        <f>IF(AG29=B29,0,1)</f>
        <v>0</v>
      </c>
    </row>
    <row r="30" spans="1:42" x14ac:dyDescent="0.25">
      <c r="A30" s="18" t="s">
        <v>8</v>
      </c>
      <c r="B30" s="19" t="s">
        <v>51</v>
      </c>
      <c r="C30" s="47" t="s">
        <v>52</v>
      </c>
      <c r="D30" s="1">
        <v>11640000</v>
      </c>
      <c r="E30" s="1">
        <v>0</v>
      </c>
      <c r="F30" s="1">
        <v>0</v>
      </c>
      <c r="G30" s="1">
        <v>0</v>
      </c>
      <c r="H30" s="1">
        <v>11640000</v>
      </c>
      <c r="I30" s="1">
        <v>0</v>
      </c>
      <c r="J30" s="115">
        <v>11640000</v>
      </c>
      <c r="K30" s="116"/>
      <c r="L30" s="38">
        <v>11640000</v>
      </c>
      <c r="M30" s="37"/>
      <c r="N30" s="50">
        <f t="shared" si="4"/>
        <v>0</v>
      </c>
      <c r="O30" s="38"/>
      <c r="P30" s="51"/>
      <c r="Q30" s="102">
        <f t="shared" si="5"/>
        <v>11640000</v>
      </c>
      <c r="R30" s="50">
        <f>+M30+P30</f>
        <v>0</v>
      </c>
      <c r="S30" s="124">
        <f t="shared" si="1"/>
        <v>11640000</v>
      </c>
      <c r="T30" s="125">
        <f t="shared" si="2"/>
        <v>0</v>
      </c>
      <c r="U30" s="48">
        <f>+Q30-H30</f>
        <v>0</v>
      </c>
      <c r="V30" s="37">
        <f t="shared" si="3"/>
        <v>0</v>
      </c>
      <c r="W30" s="39"/>
      <c r="X30" s="40"/>
      <c r="Y30" s="41"/>
      <c r="Z30" s="42">
        <f>+Q30</f>
        <v>11640000</v>
      </c>
      <c r="AA30" s="43"/>
      <c r="AB30" s="40"/>
      <c r="AC30" s="44">
        <f>+Z30</f>
        <v>11640000</v>
      </c>
      <c r="AG30" s="45" t="s">
        <v>51</v>
      </c>
      <c r="AH30" s="45" t="s">
        <v>52</v>
      </c>
      <c r="AI30" s="45">
        <v>11640000</v>
      </c>
      <c r="AJ30" s="45">
        <v>0</v>
      </c>
      <c r="AK30" s="45">
        <v>0</v>
      </c>
      <c r="AL30" s="45">
        <v>0</v>
      </c>
      <c r="AM30" s="45">
        <v>11640000</v>
      </c>
      <c r="AN30" s="45">
        <v>0</v>
      </c>
      <c r="AP30" s="46">
        <f>IF(AG30=B30,0,1)</f>
        <v>0</v>
      </c>
    </row>
    <row r="31" spans="1:42" x14ac:dyDescent="0.25">
      <c r="A31" s="18" t="s">
        <v>8</v>
      </c>
      <c r="B31" s="19" t="s">
        <v>53</v>
      </c>
      <c r="C31" s="36" t="s">
        <v>54</v>
      </c>
      <c r="D31" s="1">
        <v>42189169</v>
      </c>
      <c r="E31" s="1">
        <v>0</v>
      </c>
      <c r="F31" s="1">
        <v>4215504</v>
      </c>
      <c r="G31" s="1">
        <v>27817727</v>
      </c>
      <c r="H31" s="1">
        <v>18586946</v>
      </c>
      <c r="I31" s="1">
        <v>0</v>
      </c>
      <c r="J31" s="115">
        <v>18586946</v>
      </c>
      <c r="K31" s="116"/>
      <c r="L31" s="38">
        <v>18586946</v>
      </c>
      <c r="M31" s="37"/>
      <c r="N31" s="50">
        <f t="shared" si="4"/>
        <v>0</v>
      </c>
      <c r="O31" s="38"/>
      <c r="P31" s="51"/>
      <c r="Q31" s="102">
        <f t="shared" si="5"/>
        <v>18586946</v>
      </c>
      <c r="R31" s="50">
        <f>+M31+P31</f>
        <v>0</v>
      </c>
      <c r="S31" s="124">
        <f t="shared" si="1"/>
        <v>18586946</v>
      </c>
      <c r="T31" s="125">
        <f t="shared" si="2"/>
        <v>0</v>
      </c>
      <c r="U31" s="48">
        <f>+Q31-H31</f>
        <v>0</v>
      </c>
      <c r="V31" s="37">
        <f t="shared" si="3"/>
        <v>0</v>
      </c>
      <c r="W31" s="39">
        <f>+Q31</f>
        <v>18586946</v>
      </c>
      <c r="X31" s="40"/>
      <c r="Y31" s="41"/>
      <c r="Z31" s="42"/>
      <c r="AA31" s="43"/>
      <c r="AB31" s="40"/>
      <c r="AC31" s="44"/>
      <c r="AG31" s="45" t="s">
        <v>53</v>
      </c>
      <c r="AH31" s="45" t="s">
        <v>54</v>
      </c>
      <c r="AI31" s="45">
        <v>42189169</v>
      </c>
      <c r="AJ31" s="45">
        <v>0</v>
      </c>
      <c r="AK31" s="45">
        <v>4215504</v>
      </c>
      <c r="AL31" s="45">
        <v>27817727</v>
      </c>
      <c r="AM31" s="45">
        <v>18586946</v>
      </c>
      <c r="AN31" s="45">
        <v>0</v>
      </c>
      <c r="AP31" s="46">
        <f>IF(AG31=B31,0,1)</f>
        <v>0</v>
      </c>
    </row>
    <row r="32" spans="1:42" x14ac:dyDescent="0.25">
      <c r="A32" s="18" t="s">
        <v>8</v>
      </c>
      <c r="B32" s="52" t="s">
        <v>133</v>
      </c>
      <c r="C32" s="59" t="s">
        <v>134</v>
      </c>
      <c r="D32" s="1">
        <v>0</v>
      </c>
      <c r="E32" s="1">
        <v>0</v>
      </c>
      <c r="F32" s="1">
        <v>2750000</v>
      </c>
      <c r="G32" s="1">
        <v>2750000</v>
      </c>
      <c r="H32" s="1">
        <v>0</v>
      </c>
      <c r="I32" s="1">
        <v>0</v>
      </c>
      <c r="J32" s="115"/>
      <c r="K32" s="116"/>
      <c r="L32" s="38"/>
      <c r="M32" s="25"/>
      <c r="N32" s="50">
        <f t="shared" si="4"/>
        <v>0</v>
      </c>
      <c r="O32" s="24"/>
      <c r="P32" s="27"/>
      <c r="Q32" s="102">
        <f t="shared" si="5"/>
        <v>0</v>
      </c>
      <c r="R32" s="50"/>
      <c r="S32" s="124">
        <f t="shared" si="1"/>
        <v>0</v>
      </c>
      <c r="T32" s="125">
        <f t="shared" si="2"/>
        <v>0</v>
      </c>
      <c r="U32" s="48">
        <f>+Q32-H32</f>
        <v>0</v>
      </c>
      <c r="V32" s="37">
        <f t="shared" si="3"/>
        <v>0</v>
      </c>
      <c r="W32" s="54"/>
      <c r="X32" s="55">
        <f>+Q32</f>
        <v>0</v>
      </c>
      <c r="Y32" s="56"/>
      <c r="Z32" s="57"/>
      <c r="AA32" s="43"/>
      <c r="AB32" s="40"/>
      <c r="AC32" s="44"/>
      <c r="AG32" s="45" t="s">
        <v>133</v>
      </c>
      <c r="AH32" s="45" t="s">
        <v>134</v>
      </c>
      <c r="AI32" s="45">
        <v>0</v>
      </c>
      <c r="AJ32" s="45">
        <v>0</v>
      </c>
      <c r="AK32" s="45">
        <v>2750000</v>
      </c>
      <c r="AL32" s="45">
        <v>2750000</v>
      </c>
      <c r="AM32" s="45">
        <v>0</v>
      </c>
      <c r="AN32" s="45">
        <v>0</v>
      </c>
      <c r="AP32" s="46">
        <f>IF(AG32=B32,0,1)</f>
        <v>0</v>
      </c>
    </row>
    <row r="33" spans="1:42" x14ac:dyDescent="0.25">
      <c r="A33" s="18" t="s">
        <v>8</v>
      </c>
      <c r="B33" s="19" t="s">
        <v>55</v>
      </c>
      <c r="C33" s="36" t="s">
        <v>56</v>
      </c>
      <c r="D33" s="1">
        <v>12897</v>
      </c>
      <c r="E33" s="1">
        <v>0</v>
      </c>
      <c r="F33" s="1">
        <v>0</v>
      </c>
      <c r="G33" s="1">
        <v>0</v>
      </c>
      <c r="H33" s="1">
        <v>12897</v>
      </c>
      <c r="I33" s="1">
        <v>0</v>
      </c>
      <c r="J33" s="115">
        <v>12897</v>
      </c>
      <c r="K33" s="116"/>
      <c r="L33" s="38">
        <v>12897</v>
      </c>
      <c r="M33" s="37"/>
      <c r="N33" s="50">
        <f t="shared" si="4"/>
        <v>0</v>
      </c>
      <c r="O33" s="38"/>
      <c r="P33" s="51"/>
      <c r="Q33" s="102">
        <f t="shared" si="5"/>
        <v>12897</v>
      </c>
      <c r="R33" s="50">
        <f t="shared" ref="R33:R52" si="7">+M33+P33</f>
        <v>0</v>
      </c>
      <c r="S33" s="124">
        <f t="shared" si="1"/>
        <v>12897</v>
      </c>
      <c r="T33" s="125">
        <f t="shared" si="2"/>
        <v>0</v>
      </c>
      <c r="U33" s="48">
        <f>+Q33-H33</f>
        <v>0</v>
      </c>
      <c r="V33" s="37">
        <f t="shared" si="3"/>
        <v>0</v>
      </c>
      <c r="W33" s="39">
        <f>+Q33</f>
        <v>12897</v>
      </c>
      <c r="X33" s="40"/>
      <c r="Y33" s="41"/>
      <c r="Z33" s="42"/>
      <c r="AA33" s="43"/>
      <c r="AB33" s="40"/>
      <c r="AC33" s="44"/>
      <c r="AG33" s="45" t="s">
        <v>55</v>
      </c>
      <c r="AH33" s="45" t="s">
        <v>56</v>
      </c>
      <c r="AI33" s="45">
        <v>12897</v>
      </c>
      <c r="AJ33" s="45">
        <v>0</v>
      </c>
      <c r="AK33" s="45">
        <v>0</v>
      </c>
      <c r="AL33" s="45">
        <v>0</v>
      </c>
      <c r="AM33" s="45">
        <v>12897</v>
      </c>
      <c r="AN33" s="45">
        <v>0</v>
      </c>
      <c r="AP33" s="46">
        <f>IF(AG33=B33,0,1)</f>
        <v>0</v>
      </c>
    </row>
    <row r="34" spans="1:42" x14ac:dyDescent="0.25">
      <c r="A34" s="18" t="s">
        <v>8</v>
      </c>
      <c r="B34" s="19" t="s">
        <v>57</v>
      </c>
      <c r="C34" s="36" t="s">
        <v>58</v>
      </c>
      <c r="D34" s="1">
        <v>96016062</v>
      </c>
      <c r="E34" s="1">
        <v>0</v>
      </c>
      <c r="F34" s="1">
        <v>67965193</v>
      </c>
      <c r="G34" s="1">
        <v>73328859</v>
      </c>
      <c r="H34" s="1">
        <v>90652396</v>
      </c>
      <c r="I34" s="1">
        <v>0</v>
      </c>
      <c r="J34" s="115">
        <v>90652396</v>
      </c>
      <c r="K34" s="116"/>
      <c r="L34" s="38">
        <v>90652396</v>
      </c>
      <c r="M34" s="37"/>
      <c r="N34" s="50">
        <f t="shared" si="4"/>
        <v>0</v>
      </c>
      <c r="O34" s="38"/>
      <c r="P34" s="51"/>
      <c r="Q34" s="102">
        <f t="shared" si="5"/>
        <v>90652396</v>
      </c>
      <c r="R34" s="50">
        <f t="shared" si="7"/>
        <v>0</v>
      </c>
      <c r="S34" s="124">
        <f t="shared" si="1"/>
        <v>90652396</v>
      </c>
      <c r="T34" s="125">
        <f t="shared" si="2"/>
        <v>0</v>
      </c>
      <c r="U34" s="48">
        <f>+Q34-H34</f>
        <v>0</v>
      </c>
      <c r="V34" s="37">
        <f t="shared" si="3"/>
        <v>0</v>
      </c>
      <c r="W34" s="39">
        <f>+Q34</f>
        <v>90652396</v>
      </c>
      <c r="X34" s="40"/>
      <c r="Y34" s="41"/>
      <c r="Z34" s="42"/>
      <c r="AA34" s="43"/>
      <c r="AB34" s="40"/>
      <c r="AC34" s="44"/>
      <c r="AE34" s="3"/>
      <c r="AG34" s="45" t="s">
        <v>57</v>
      </c>
      <c r="AH34" s="45" t="s">
        <v>58</v>
      </c>
      <c r="AI34" s="45">
        <v>96016062</v>
      </c>
      <c r="AJ34" s="45">
        <v>0</v>
      </c>
      <c r="AK34" s="45">
        <v>67965193</v>
      </c>
      <c r="AL34" s="45">
        <v>73328859</v>
      </c>
      <c r="AM34" s="45">
        <v>90652396</v>
      </c>
      <c r="AN34" s="45">
        <v>0</v>
      </c>
      <c r="AP34" s="46">
        <f>IF(AG34=B34,0,1)</f>
        <v>0</v>
      </c>
    </row>
    <row r="35" spans="1:42" x14ac:dyDescent="0.25">
      <c r="A35" s="18" t="s">
        <v>8</v>
      </c>
      <c r="B35" s="19" t="s">
        <v>59</v>
      </c>
      <c r="C35" s="47" t="s">
        <v>60</v>
      </c>
      <c r="D35" s="1">
        <v>1000847872</v>
      </c>
      <c r="E35" s="1">
        <v>0</v>
      </c>
      <c r="F35" s="1">
        <v>56839332</v>
      </c>
      <c r="G35" s="1">
        <v>146042600</v>
      </c>
      <c r="H35" s="1">
        <v>911644604</v>
      </c>
      <c r="I35" s="1">
        <v>0</v>
      </c>
      <c r="J35" s="115">
        <f>911644604-131425500</f>
        <v>780219104</v>
      </c>
      <c r="K35" s="116"/>
      <c r="L35" s="24">
        <f>911644604</f>
        <v>911644604</v>
      </c>
      <c r="M35" s="37"/>
      <c r="N35" s="50">
        <f t="shared" si="4"/>
        <v>131425500</v>
      </c>
      <c r="O35" s="38"/>
      <c r="P35" s="51"/>
      <c r="Q35" s="101">
        <f t="shared" si="5"/>
        <v>911644604</v>
      </c>
      <c r="R35" s="26">
        <f t="shared" si="7"/>
        <v>0</v>
      </c>
      <c r="S35" s="124">
        <f t="shared" si="1"/>
        <v>780219104</v>
      </c>
      <c r="T35" s="125">
        <f t="shared" si="2"/>
        <v>0</v>
      </c>
      <c r="U35" s="48">
        <f>+Q35-H35</f>
        <v>0</v>
      </c>
      <c r="V35" s="37">
        <f t="shared" si="3"/>
        <v>0</v>
      </c>
      <c r="W35" s="60"/>
      <c r="X35" s="61"/>
      <c r="Y35" s="62">
        <f>+Q35</f>
        <v>911644604</v>
      </c>
      <c r="Z35" s="63"/>
      <c r="AA35" s="64"/>
      <c r="AB35" s="61"/>
      <c r="AC35" s="65"/>
      <c r="AE35" s="3"/>
      <c r="AG35" s="45" t="s">
        <v>59</v>
      </c>
      <c r="AH35" s="45" t="s">
        <v>60</v>
      </c>
      <c r="AI35" s="45">
        <v>1000847872</v>
      </c>
      <c r="AJ35" s="45">
        <v>0</v>
      </c>
      <c r="AK35" s="45">
        <v>56839332</v>
      </c>
      <c r="AL35" s="45">
        <v>146042600</v>
      </c>
      <c r="AM35" s="45">
        <v>911644604</v>
      </c>
      <c r="AN35" s="45">
        <v>0</v>
      </c>
      <c r="AP35" s="46">
        <f>IF(AG35=B35,0,1)</f>
        <v>0</v>
      </c>
    </row>
    <row r="36" spans="1:42" x14ac:dyDescent="0.25">
      <c r="A36" s="18" t="s">
        <v>8</v>
      </c>
      <c r="B36" s="19" t="s">
        <v>61</v>
      </c>
      <c r="C36" s="66" t="s">
        <v>62</v>
      </c>
      <c r="D36" s="1">
        <v>0</v>
      </c>
      <c r="E36" s="1">
        <v>521781911</v>
      </c>
      <c r="F36" s="1">
        <v>94185756</v>
      </c>
      <c r="G36" s="1">
        <v>56897741</v>
      </c>
      <c r="H36" s="1">
        <v>0</v>
      </c>
      <c r="I36" s="1">
        <v>484493896</v>
      </c>
      <c r="J36" s="115"/>
      <c r="K36" s="116">
        <f>465906950+18586946</f>
        <v>484493896</v>
      </c>
      <c r="L36" s="38"/>
      <c r="M36" s="37">
        <f>465906950+18586946</f>
        <v>484493896</v>
      </c>
      <c r="N36" s="50"/>
      <c r="O36" s="38"/>
      <c r="P36" s="51"/>
      <c r="Q36" s="101">
        <f t="shared" si="5"/>
        <v>0</v>
      </c>
      <c r="R36" s="26">
        <f t="shared" si="7"/>
        <v>484493896</v>
      </c>
      <c r="S36" s="124">
        <f t="shared" si="1"/>
        <v>0</v>
      </c>
      <c r="T36" s="125">
        <f t="shared" si="2"/>
        <v>484493896</v>
      </c>
      <c r="U36" s="48">
        <f>+Q36-H36</f>
        <v>0</v>
      </c>
      <c r="V36" s="37">
        <f t="shared" si="3"/>
        <v>0</v>
      </c>
      <c r="W36" s="39"/>
      <c r="X36" s="40"/>
      <c r="Y36" s="41"/>
      <c r="Z36" s="42"/>
      <c r="AA36" s="43"/>
      <c r="AB36" s="40"/>
      <c r="AC36" s="44"/>
      <c r="AE36" s="3"/>
      <c r="AG36" s="45" t="s">
        <v>61</v>
      </c>
      <c r="AH36" s="45" t="s">
        <v>62</v>
      </c>
      <c r="AI36" s="45">
        <v>0</v>
      </c>
      <c r="AJ36" s="45">
        <v>521781911</v>
      </c>
      <c r="AK36" s="45">
        <v>94185756</v>
      </c>
      <c r="AL36" s="45">
        <v>56897741</v>
      </c>
      <c r="AM36" s="45">
        <v>0</v>
      </c>
      <c r="AN36" s="45">
        <v>484493896</v>
      </c>
      <c r="AP36" s="46">
        <f>IF(AG36=B36,0,1)</f>
        <v>0</v>
      </c>
    </row>
    <row r="37" spans="1:42" x14ac:dyDescent="0.25">
      <c r="A37" s="18" t="s">
        <v>8</v>
      </c>
      <c r="B37" s="19" t="s">
        <v>63</v>
      </c>
      <c r="C37" s="20" t="s">
        <v>64</v>
      </c>
      <c r="D37" s="1">
        <v>0</v>
      </c>
      <c r="E37" s="1">
        <v>1345884453</v>
      </c>
      <c r="F37" s="1">
        <v>38916149</v>
      </c>
      <c r="G37" s="1">
        <v>147502252</v>
      </c>
      <c r="H37" s="1">
        <v>0</v>
      </c>
      <c r="I37" s="1">
        <v>1454470556</v>
      </c>
      <c r="J37" s="115"/>
      <c r="K37" s="116">
        <v>1454470556</v>
      </c>
      <c r="L37" s="38"/>
      <c r="M37" s="37">
        <v>1454470556</v>
      </c>
      <c r="N37" s="50"/>
      <c r="O37" s="38"/>
      <c r="P37" s="51"/>
      <c r="Q37" s="101">
        <f t="shared" si="5"/>
        <v>0</v>
      </c>
      <c r="R37" s="26">
        <f t="shared" si="7"/>
        <v>1454470556</v>
      </c>
      <c r="S37" s="124">
        <f t="shared" si="1"/>
        <v>0</v>
      </c>
      <c r="T37" s="125">
        <f t="shared" si="2"/>
        <v>1454470556</v>
      </c>
      <c r="U37" s="48">
        <f>+Q37-H37</f>
        <v>0</v>
      </c>
      <c r="V37" s="37">
        <f t="shared" si="3"/>
        <v>0</v>
      </c>
      <c r="W37" s="39"/>
      <c r="X37" s="40"/>
      <c r="Y37" s="41"/>
      <c r="Z37" s="42"/>
      <c r="AA37" s="43"/>
      <c r="AB37" s="40"/>
      <c r="AC37" s="44"/>
      <c r="AE37" s="3"/>
      <c r="AG37" s="45" t="s">
        <v>63</v>
      </c>
      <c r="AH37" s="45" t="s">
        <v>64</v>
      </c>
      <c r="AI37" s="45">
        <v>0</v>
      </c>
      <c r="AJ37" s="45">
        <v>1345884453</v>
      </c>
      <c r="AK37" s="45">
        <v>38916149</v>
      </c>
      <c r="AL37" s="45">
        <v>147502252</v>
      </c>
      <c r="AM37" s="45">
        <v>0</v>
      </c>
      <c r="AN37" s="45">
        <v>1454470556</v>
      </c>
      <c r="AP37" s="46">
        <f>IF(AG37=B37,0,1)</f>
        <v>0</v>
      </c>
    </row>
    <row r="38" spans="1:42" x14ac:dyDescent="0.25">
      <c r="A38" s="18" t="s">
        <v>8</v>
      </c>
      <c r="B38" s="19" t="s">
        <v>65</v>
      </c>
      <c r="C38" s="20" t="s">
        <v>66</v>
      </c>
      <c r="D38" s="1">
        <v>0</v>
      </c>
      <c r="E38" s="1">
        <v>12897</v>
      </c>
      <c r="F38" s="1">
        <v>80386</v>
      </c>
      <c r="G38" s="1">
        <v>67489</v>
      </c>
      <c r="H38" s="1">
        <v>0</v>
      </c>
      <c r="I38" s="1">
        <v>0</v>
      </c>
      <c r="J38" s="115"/>
      <c r="K38" s="116"/>
      <c r="L38" s="38"/>
      <c r="M38" s="37"/>
      <c r="N38" s="50"/>
      <c r="O38" s="38"/>
      <c r="P38" s="51"/>
      <c r="Q38" s="101">
        <f t="shared" si="5"/>
        <v>0</v>
      </c>
      <c r="R38" s="26">
        <f t="shared" si="7"/>
        <v>0</v>
      </c>
      <c r="S38" s="124">
        <f t="shared" si="1"/>
        <v>0</v>
      </c>
      <c r="T38" s="125">
        <f t="shared" si="2"/>
        <v>0</v>
      </c>
      <c r="U38" s="48">
        <f>+Q38-H38</f>
        <v>0</v>
      </c>
      <c r="V38" s="37">
        <f t="shared" si="3"/>
        <v>0</v>
      </c>
      <c r="W38" s="39"/>
      <c r="X38" s="40"/>
      <c r="Y38" s="41"/>
      <c r="Z38" s="42"/>
      <c r="AA38" s="43"/>
      <c r="AB38" s="40"/>
      <c r="AC38" s="44"/>
      <c r="AE38" s="3"/>
      <c r="AG38" s="45" t="s">
        <v>65</v>
      </c>
      <c r="AH38" s="45" t="s">
        <v>66</v>
      </c>
      <c r="AI38" s="45">
        <v>0</v>
      </c>
      <c r="AJ38" s="45">
        <v>12897</v>
      </c>
      <c r="AK38" s="45">
        <v>80386</v>
      </c>
      <c r="AL38" s="45">
        <v>67489</v>
      </c>
      <c r="AM38" s="45">
        <v>0</v>
      </c>
      <c r="AN38" s="45">
        <v>0</v>
      </c>
      <c r="AP38" s="46">
        <f>IF(AG38=B38,0,1)</f>
        <v>0</v>
      </c>
    </row>
    <row r="39" spans="1:42" x14ac:dyDescent="0.25">
      <c r="A39" s="18" t="s">
        <v>8</v>
      </c>
      <c r="B39" s="19" t="s">
        <v>67</v>
      </c>
      <c r="C39" s="20" t="s">
        <v>68</v>
      </c>
      <c r="D39" s="1">
        <v>0</v>
      </c>
      <c r="E39" s="1">
        <v>1740484076</v>
      </c>
      <c r="F39" s="1">
        <v>35232804</v>
      </c>
      <c r="G39" s="1">
        <f>121120623+33602876</f>
        <v>154723499</v>
      </c>
      <c r="H39" s="1">
        <v>0</v>
      </c>
      <c r="I39" s="166">
        <v>1859974771</v>
      </c>
      <c r="J39" s="115"/>
      <c r="K39" s="116">
        <v>1308547608</v>
      </c>
      <c r="L39" s="38"/>
      <c r="M39" s="37">
        <v>1308547608</v>
      </c>
      <c r="N39" s="50"/>
      <c r="O39" s="38"/>
      <c r="P39" s="51">
        <f>517824287+33602876</f>
        <v>551427163</v>
      </c>
      <c r="Q39" s="101">
        <f t="shared" si="5"/>
        <v>0</v>
      </c>
      <c r="R39" s="26">
        <f t="shared" si="7"/>
        <v>1859974771</v>
      </c>
      <c r="S39" s="124">
        <f t="shared" si="1"/>
        <v>0</v>
      </c>
      <c r="T39" s="125">
        <f t="shared" si="2"/>
        <v>1859974771</v>
      </c>
      <c r="U39" s="38">
        <f>+Q39-H39</f>
        <v>0</v>
      </c>
      <c r="V39" s="37">
        <f t="shared" si="3"/>
        <v>0</v>
      </c>
      <c r="W39" s="39"/>
      <c r="X39" s="40"/>
      <c r="Y39" s="41"/>
      <c r="Z39" s="42"/>
      <c r="AA39" s="43"/>
      <c r="AB39" s="40"/>
      <c r="AC39" s="44"/>
      <c r="AD39" s="3"/>
      <c r="AE39" s="3"/>
      <c r="AG39" s="45" t="s">
        <v>67</v>
      </c>
      <c r="AH39" s="45" t="s">
        <v>68</v>
      </c>
      <c r="AI39" s="45">
        <v>0</v>
      </c>
      <c r="AJ39" s="45">
        <v>1740484076</v>
      </c>
      <c r="AK39" s="45">
        <v>35232804</v>
      </c>
      <c r="AL39" s="45">
        <v>121120623</v>
      </c>
      <c r="AM39" s="45">
        <v>0</v>
      </c>
      <c r="AN39" s="45">
        <v>1826371895</v>
      </c>
      <c r="AP39" s="46">
        <f>IF(AG39=B39,0,1)</f>
        <v>0</v>
      </c>
    </row>
    <row r="40" spans="1:42" x14ac:dyDescent="0.25">
      <c r="A40" s="18" t="s">
        <v>8</v>
      </c>
      <c r="B40" s="19" t="s">
        <v>69</v>
      </c>
      <c r="C40" s="20" t="s">
        <v>70</v>
      </c>
      <c r="D40" s="1">
        <v>0</v>
      </c>
      <c r="E40" s="1">
        <v>4984598399</v>
      </c>
      <c r="F40" s="1">
        <v>115005304</v>
      </c>
      <c r="G40" s="1">
        <v>298591837</v>
      </c>
      <c r="H40" s="1">
        <v>0</v>
      </c>
      <c r="I40" s="1">
        <v>5168184932</v>
      </c>
      <c r="J40" s="115"/>
      <c r="K40" s="116">
        <f>5075325626+12897+90611909</f>
        <v>5165950432</v>
      </c>
      <c r="L40" s="38"/>
      <c r="M40" s="37">
        <f>5075325626+12897+90611909</f>
        <v>5165950432</v>
      </c>
      <c r="N40" s="50"/>
      <c r="O40" s="38"/>
      <c r="P40" s="67">
        <v>2234500</v>
      </c>
      <c r="Q40" s="101">
        <f t="shared" si="5"/>
        <v>0</v>
      </c>
      <c r="R40" s="26">
        <f t="shared" si="7"/>
        <v>5168184932</v>
      </c>
      <c r="S40" s="124">
        <f t="shared" si="1"/>
        <v>0</v>
      </c>
      <c r="T40" s="125">
        <f t="shared" si="2"/>
        <v>5168184932</v>
      </c>
      <c r="U40" s="38">
        <f>+Q40-H40</f>
        <v>0</v>
      </c>
      <c r="V40" s="37">
        <f t="shared" si="3"/>
        <v>0</v>
      </c>
      <c r="W40" s="39"/>
      <c r="X40" s="40"/>
      <c r="Y40" s="41"/>
      <c r="Z40" s="42"/>
      <c r="AA40" s="43"/>
      <c r="AB40" s="40"/>
      <c r="AC40" s="44"/>
      <c r="AE40" s="3"/>
      <c r="AG40" s="45" t="s">
        <v>69</v>
      </c>
      <c r="AH40" s="45" t="s">
        <v>70</v>
      </c>
      <c r="AI40" s="45">
        <v>0</v>
      </c>
      <c r="AJ40" s="45">
        <v>4984598399</v>
      </c>
      <c r="AK40" s="45">
        <v>115005304</v>
      </c>
      <c r="AL40" s="45">
        <v>298591837</v>
      </c>
      <c r="AM40" s="45">
        <v>0</v>
      </c>
      <c r="AN40" s="45">
        <v>5168184932</v>
      </c>
      <c r="AP40" s="46">
        <f>IF(AG40=B40,0,1)</f>
        <v>0</v>
      </c>
    </row>
    <row r="41" spans="1:42" x14ac:dyDescent="0.25">
      <c r="A41" s="18" t="s">
        <v>8</v>
      </c>
      <c r="B41" s="19" t="s">
        <v>71</v>
      </c>
      <c r="C41" s="20" t="s">
        <v>72</v>
      </c>
      <c r="D41" s="1">
        <v>0</v>
      </c>
      <c r="E41" s="1">
        <v>353687395</v>
      </c>
      <c r="F41" s="1">
        <v>0</v>
      </c>
      <c r="G41" s="1">
        <v>19829776</v>
      </c>
      <c r="H41" s="1">
        <v>0</v>
      </c>
      <c r="I41" s="1">
        <v>373517171</v>
      </c>
      <c r="J41" s="115"/>
      <c r="K41" s="116">
        <v>373517171</v>
      </c>
      <c r="L41" s="38"/>
      <c r="M41" s="37">
        <v>373517171</v>
      </c>
      <c r="N41" s="50"/>
      <c r="O41" s="38"/>
      <c r="P41" s="51"/>
      <c r="Q41" s="101">
        <f t="shared" si="5"/>
        <v>0</v>
      </c>
      <c r="R41" s="26">
        <f t="shared" si="7"/>
        <v>373517171</v>
      </c>
      <c r="S41" s="124">
        <f t="shared" si="1"/>
        <v>0</v>
      </c>
      <c r="T41" s="125">
        <f t="shared" si="2"/>
        <v>373517171</v>
      </c>
      <c r="U41" s="38">
        <f>+Q41-H41</f>
        <v>0</v>
      </c>
      <c r="V41" s="37">
        <f t="shared" si="3"/>
        <v>0</v>
      </c>
      <c r="W41" s="39"/>
      <c r="X41" s="40"/>
      <c r="Y41" s="41"/>
      <c r="Z41" s="42"/>
      <c r="AA41" s="43"/>
      <c r="AB41" s="40"/>
      <c r="AC41" s="44"/>
      <c r="AD41" s="3"/>
      <c r="AE41" s="3"/>
      <c r="AG41" s="45" t="s">
        <v>71</v>
      </c>
      <c r="AH41" s="45" t="s">
        <v>72</v>
      </c>
      <c r="AI41" s="45">
        <v>0</v>
      </c>
      <c r="AJ41" s="45">
        <v>353687395</v>
      </c>
      <c r="AK41" s="45">
        <v>0</v>
      </c>
      <c r="AL41" s="45">
        <v>19829776</v>
      </c>
      <c r="AM41" s="45">
        <v>0</v>
      </c>
      <c r="AN41" s="45">
        <v>373517171</v>
      </c>
      <c r="AP41" s="46">
        <f>IF(AG41=B41,0,1)</f>
        <v>0</v>
      </c>
    </row>
    <row r="42" spans="1:42" x14ac:dyDescent="0.25">
      <c r="A42" s="18" t="s">
        <v>8</v>
      </c>
      <c r="B42" s="19" t="s">
        <v>73</v>
      </c>
      <c r="C42" s="20" t="s">
        <v>74</v>
      </c>
      <c r="D42" s="1">
        <v>0</v>
      </c>
      <c r="E42" s="1">
        <v>2762326569</v>
      </c>
      <c r="F42" s="1">
        <v>0</v>
      </c>
      <c r="G42" s="1">
        <v>317595060</v>
      </c>
      <c r="H42" s="1">
        <v>0</v>
      </c>
      <c r="I42" s="1">
        <v>3079921629</v>
      </c>
      <c r="J42" s="115"/>
      <c r="K42" s="116">
        <v>3079921629</v>
      </c>
      <c r="L42" s="38"/>
      <c r="M42" s="37">
        <v>3079921629</v>
      </c>
      <c r="N42" s="50"/>
      <c r="O42" s="38"/>
      <c r="P42" s="51"/>
      <c r="Q42" s="101">
        <f t="shared" si="5"/>
        <v>0</v>
      </c>
      <c r="R42" s="26">
        <f t="shared" si="7"/>
        <v>3079921629</v>
      </c>
      <c r="S42" s="124">
        <f t="shared" si="1"/>
        <v>0</v>
      </c>
      <c r="T42" s="125">
        <f t="shared" si="2"/>
        <v>3079921629</v>
      </c>
      <c r="U42" s="38">
        <f>+Q42-H42</f>
        <v>0</v>
      </c>
      <c r="V42" s="37">
        <f t="shared" si="3"/>
        <v>0</v>
      </c>
      <c r="W42" s="39"/>
      <c r="X42" s="40"/>
      <c r="Y42" s="41"/>
      <c r="Z42" s="42"/>
      <c r="AA42" s="43"/>
      <c r="AB42" s="40"/>
      <c r="AC42" s="44"/>
      <c r="AD42" s="3"/>
      <c r="AE42" s="3"/>
      <c r="AG42" s="45" t="s">
        <v>73</v>
      </c>
      <c r="AH42" s="45" t="s">
        <v>74</v>
      </c>
      <c r="AI42" s="45">
        <v>0</v>
      </c>
      <c r="AJ42" s="45">
        <v>2762326569</v>
      </c>
      <c r="AK42" s="45">
        <v>0</v>
      </c>
      <c r="AL42" s="45">
        <v>317595060</v>
      </c>
      <c r="AM42" s="45">
        <v>0</v>
      </c>
      <c r="AN42" s="45">
        <v>3079921629</v>
      </c>
      <c r="AP42" s="46">
        <f>IF(AG42=B42,0,1)</f>
        <v>0</v>
      </c>
    </row>
    <row r="43" spans="1:42" x14ac:dyDescent="0.25">
      <c r="A43" s="18" t="s">
        <v>8</v>
      </c>
      <c r="B43" s="19" t="s">
        <v>75</v>
      </c>
      <c r="C43" s="20" t="s">
        <v>76</v>
      </c>
      <c r="D43" s="1">
        <v>0</v>
      </c>
      <c r="E43" s="1">
        <v>1604196663</v>
      </c>
      <c r="F43" s="1">
        <v>20813416</v>
      </c>
      <c r="G43" s="1">
        <v>234743889</v>
      </c>
      <c r="H43" s="1">
        <v>0</v>
      </c>
      <c r="I43" s="1">
        <v>1818127136</v>
      </c>
      <c r="J43" s="115"/>
      <c r="K43" s="116">
        <f>1822911444-4784308</f>
        <v>1818127136</v>
      </c>
      <c r="L43" s="38"/>
      <c r="M43" s="37">
        <f>1822911444-4784308</f>
        <v>1818127136</v>
      </c>
      <c r="N43" s="50"/>
      <c r="O43" s="38"/>
      <c r="P43" s="51"/>
      <c r="Q43" s="101">
        <f t="shared" si="5"/>
        <v>0</v>
      </c>
      <c r="R43" s="26">
        <f t="shared" si="7"/>
        <v>1818127136</v>
      </c>
      <c r="S43" s="124">
        <f t="shared" si="1"/>
        <v>0</v>
      </c>
      <c r="T43" s="125">
        <f t="shared" si="2"/>
        <v>1818127136</v>
      </c>
      <c r="U43" s="38">
        <f>+Q43-H43</f>
        <v>0</v>
      </c>
      <c r="V43" s="37">
        <f t="shared" si="3"/>
        <v>0</v>
      </c>
      <c r="W43" s="39"/>
      <c r="X43" s="40"/>
      <c r="Y43" s="41"/>
      <c r="Z43" s="42"/>
      <c r="AA43" s="43"/>
      <c r="AB43" s="40"/>
      <c r="AC43" s="44"/>
      <c r="AD43" s="3"/>
      <c r="AE43" s="3"/>
      <c r="AG43" s="45" t="s">
        <v>75</v>
      </c>
      <c r="AH43" s="45" t="s">
        <v>76</v>
      </c>
      <c r="AI43" s="45">
        <v>0</v>
      </c>
      <c r="AJ43" s="45">
        <v>1604196663</v>
      </c>
      <c r="AK43" s="45">
        <v>20813416</v>
      </c>
      <c r="AL43" s="45">
        <v>234743889</v>
      </c>
      <c r="AM43" s="45">
        <v>0</v>
      </c>
      <c r="AN43" s="45">
        <v>1818127136</v>
      </c>
      <c r="AP43" s="46">
        <f>IF(AG43=B43,0,1)</f>
        <v>0</v>
      </c>
    </row>
    <row r="44" spans="1:42" x14ac:dyDescent="0.25">
      <c r="A44" s="18" t="s">
        <v>8</v>
      </c>
      <c r="B44" s="19" t="s">
        <v>77</v>
      </c>
      <c r="C44" s="20" t="s">
        <v>78</v>
      </c>
      <c r="D44" s="1">
        <v>0</v>
      </c>
      <c r="E44" s="1">
        <v>1025078801</v>
      </c>
      <c r="F44" s="1">
        <v>146042600</v>
      </c>
      <c r="G44" s="1">
        <v>64756876</v>
      </c>
      <c r="H44" s="1">
        <v>0</v>
      </c>
      <c r="I44" s="1">
        <v>943793077</v>
      </c>
      <c r="J44" s="115"/>
      <c r="K44" s="116">
        <f>32148473+911644604</f>
        <v>943793077</v>
      </c>
      <c r="L44" s="38"/>
      <c r="M44" s="37">
        <f>32148473+911644604</f>
        <v>943793077</v>
      </c>
      <c r="N44" s="50"/>
      <c r="O44" s="38"/>
      <c r="P44" s="51"/>
      <c r="Q44" s="101">
        <f t="shared" si="5"/>
        <v>0</v>
      </c>
      <c r="R44" s="26">
        <f t="shared" si="7"/>
        <v>943793077</v>
      </c>
      <c r="S44" s="124">
        <f t="shared" si="1"/>
        <v>0</v>
      </c>
      <c r="T44" s="125">
        <f t="shared" si="2"/>
        <v>943793077</v>
      </c>
      <c r="U44" s="38">
        <f>+Q44-H44</f>
        <v>0</v>
      </c>
      <c r="V44" s="37">
        <f t="shared" si="3"/>
        <v>0</v>
      </c>
      <c r="W44" s="39"/>
      <c r="X44" s="40"/>
      <c r="Y44" s="41"/>
      <c r="Z44" s="42"/>
      <c r="AA44" s="43"/>
      <c r="AB44" s="40"/>
      <c r="AC44" s="44"/>
      <c r="AD44" s="3"/>
      <c r="AE44" s="3"/>
      <c r="AG44" s="45" t="s">
        <v>77</v>
      </c>
      <c r="AH44" s="45" t="s">
        <v>78</v>
      </c>
      <c r="AI44" s="45">
        <v>0</v>
      </c>
      <c r="AJ44" s="45">
        <v>1025078801</v>
      </c>
      <c r="AK44" s="45">
        <v>146042600</v>
      </c>
      <c r="AL44" s="45">
        <v>64756876</v>
      </c>
      <c r="AM44" s="45">
        <v>0</v>
      </c>
      <c r="AN44" s="45">
        <v>943793077</v>
      </c>
      <c r="AP44" s="46">
        <f>IF(AG44=B44,0,1)</f>
        <v>0</v>
      </c>
    </row>
    <row r="45" spans="1:42" x14ac:dyDescent="0.25">
      <c r="A45" s="18" t="s">
        <v>8</v>
      </c>
      <c r="B45" s="19" t="s">
        <v>79</v>
      </c>
      <c r="C45" s="20" t="s">
        <v>80</v>
      </c>
      <c r="D45" s="1">
        <v>0</v>
      </c>
      <c r="E45" s="1">
        <v>21148800</v>
      </c>
      <c r="F45" s="1">
        <v>0</v>
      </c>
      <c r="G45" s="1">
        <v>1228656</v>
      </c>
      <c r="H45" s="1">
        <v>0</v>
      </c>
      <c r="I45" s="1">
        <v>22377456</v>
      </c>
      <c r="J45" s="115"/>
      <c r="K45" s="116">
        <v>22377456</v>
      </c>
      <c r="L45" s="38"/>
      <c r="M45" s="37">
        <v>22377456</v>
      </c>
      <c r="N45" s="50"/>
      <c r="O45" s="38"/>
      <c r="P45" s="27"/>
      <c r="Q45" s="101">
        <f t="shared" si="5"/>
        <v>0</v>
      </c>
      <c r="R45" s="26">
        <f t="shared" si="7"/>
        <v>22377456</v>
      </c>
      <c r="S45" s="124">
        <f t="shared" si="1"/>
        <v>0</v>
      </c>
      <c r="T45" s="125">
        <f t="shared" si="2"/>
        <v>22377456</v>
      </c>
      <c r="U45" s="38">
        <f>+Q45-H45</f>
        <v>0</v>
      </c>
      <c r="V45" s="37">
        <f t="shared" si="3"/>
        <v>0</v>
      </c>
      <c r="W45" s="39"/>
      <c r="X45" s="40"/>
      <c r="Y45" s="41"/>
      <c r="Z45" s="42"/>
      <c r="AA45" s="43"/>
      <c r="AB45" s="40"/>
      <c r="AC45" s="44"/>
      <c r="AE45" s="3"/>
      <c r="AG45" s="45" t="s">
        <v>79</v>
      </c>
      <c r="AH45" s="45" t="s">
        <v>80</v>
      </c>
      <c r="AI45" s="45">
        <v>0</v>
      </c>
      <c r="AJ45" s="45">
        <v>21148800</v>
      </c>
      <c r="AK45" s="45">
        <v>0</v>
      </c>
      <c r="AL45" s="45">
        <v>1228656</v>
      </c>
      <c r="AM45" s="45">
        <v>0</v>
      </c>
      <c r="AN45" s="45">
        <v>22377456</v>
      </c>
      <c r="AP45" s="46">
        <f>IF(AG45=B45,0,1)</f>
        <v>0</v>
      </c>
    </row>
    <row r="46" spans="1:42" x14ac:dyDescent="0.25">
      <c r="A46" s="18" t="s">
        <v>8</v>
      </c>
      <c r="B46" s="19" t="s">
        <v>81</v>
      </c>
      <c r="C46" s="20" t="s">
        <v>82</v>
      </c>
      <c r="D46" s="1">
        <v>0</v>
      </c>
      <c r="E46" s="1">
        <v>597913576</v>
      </c>
      <c r="F46" s="1">
        <v>0</v>
      </c>
      <c r="G46" s="1">
        <v>32071653</v>
      </c>
      <c r="H46" s="1">
        <v>0</v>
      </c>
      <c r="I46" s="1">
        <v>629985229</v>
      </c>
      <c r="J46" s="115"/>
      <c r="K46" s="116">
        <v>629985229</v>
      </c>
      <c r="L46" s="38"/>
      <c r="M46" s="37">
        <v>629985229</v>
      </c>
      <c r="N46" s="50"/>
      <c r="O46" s="24"/>
      <c r="P46" s="27"/>
      <c r="Q46" s="101">
        <f t="shared" si="5"/>
        <v>0</v>
      </c>
      <c r="R46" s="26">
        <f t="shared" si="7"/>
        <v>629985229</v>
      </c>
      <c r="S46" s="124">
        <f t="shared" si="1"/>
        <v>0</v>
      </c>
      <c r="T46" s="125">
        <f t="shared" si="2"/>
        <v>629985229</v>
      </c>
      <c r="U46" s="38">
        <f>+Q46-H46</f>
        <v>0</v>
      </c>
      <c r="V46" s="37">
        <f t="shared" si="3"/>
        <v>0</v>
      </c>
      <c r="W46" s="39"/>
      <c r="X46" s="40"/>
      <c r="Y46" s="41"/>
      <c r="Z46" s="42"/>
      <c r="AA46" s="43"/>
      <c r="AB46" s="40"/>
      <c r="AC46" s="44"/>
      <c r="AE46" s="3"/>
      <c r="AG46" s="45" t="s">
        <v>81</v>
      </c>
      <c r="AH46" s="45" t="s">
        <v>82</v>
      </c>
      <c r="AI46" s="45">
        <v>0</v>
      </c>
      <c r="AJ46" s="45">
        <v>597913576</v>
      </c>
      <c r="AK46" s="45">
        <v>0</v>
      </c>
      <c r="AL46" s="45">
        <v>32071653</v>
      </c>
      <c r="AM46" s="45">
        <v>0</v>
      </c>
      <c r="AN46" s="45">
        <v>629985229</v>
      </c>
      <c r="AP46" s="46">
        <f>IF(AG46=B46,0,1)</f>
        <v>0</v>
      </c>
    </row>
    <row r="47" spans="1:42" x14ac:dyDescent="0.25">
      <c r="A47" s="18" t="s">
        <v>8</v>
      </c>
      <c r="B47" s="19" t="s">
        <v>94</v>
      </c>
      <c r="C47" s="20" t="s">
        <v>119</v>
      </c>
      <c r="D47" s="1">
        <v>0</v>
      </c>
      <c r="E47" s="1">
        <v>1855638522</v>
      </c>
      <c r="F47" s="1">
        <v>0</v>
      </c>
      <c r="G47" s="1">
        <v>213412116</v>
      </c>
      <c r="H47" s="1">
        <v>0</v>
      </c>
      <c r="I47" s="1">
        <v>2069050638</v>
      </c>
      <c r="J47" s="115"/>
      <c r="K47" s="117">
        <v>2069050638</v>
      </c>
      <c r="L47" s="107"/>
      <c r="M47" s="108">
        <v>2069050638</v>
      </c>
      <c r="N47" s="142"/>
      <c r="O47" s="24"/>
      <c r="P47" s="27"/>
      <c r="Q47" s="101">
        <v>0</v>
      </c>
      <c r="R47" s="26">
        <f t="shared" si="7"/>
        <v>2069050638</v>
      </c>
      <c r="S47" s="124">
        <f t="shared" si="1"/>
        <v>0</v>
      </c>
      <c r="T47" s="125">
        <f t="shared" si="2"/>
        <v>2069050638</v>
      </c>
      <c r="U47" s="38">
        <f>+Q47-H47</f>
        <v>0</v>
      </c>
      <c r="V47" s="37">
        <f t="shared" si="3"/>
        <v>0</v>
      </c>
      <c r="W47" s="39"/>
      <c r="X47" s="40"/>
      <c r="Y47" s="41"/>
      <c r="Z47" s="42"/>
      <c r="AA47" s="43"/>
      <c r="AB47" s="40"/>
      <c r="AC47" s="44"/>
      <c r="AG47" s="45" t="s">
        <v>94</v>
      </c>
      <c r="AH47" s="45" t="s">
        <v>119</v>
      </c>
      <c r="AI47" s="45">
        <v>0</v>
      </c>
      <c r="AJ47" s="45">
        <v>1855638522</v>
      </c>
      <c r="AK47" s="45">
        <v>0</v>
      </c>
      <c r="AL47" s="45">
        <v>213412116</v>
      </c>
      <c r="AM47" s="45">
        <v>0</v>
      </c>
      <c r="AN47" s="45">
        <v>2069050638</v>
      </c>
      <c r="AP47" s="46">
        <f>IF(AG47=B47,0,1)</f>
        <v>0</v>
      </c>
    </row>
    <row r="48" spans="1:42" x14ac:dyDescent="0.25">
      <c r="A48" s="18" t="s">
        <v>8</v>
      </c>
      <c r="B48" s="19" t="s">
        <v>83</v>
      </c>
      <c r="C48" s="20" t="s">
        <v>84</v>
      </c>
      <c r="D48" s="1">
        <v>0</v>
      </c>
      <c r="E48" s="1">
        <v>12854527</v>
      </c>
      <c r="F48" s="1">
        <v>456087</v>
      </c>
      <c r="G48" s="1">
        <f>467278+456087</f>
        <v>923365</v>
      </c>
      <c r="H48" s="1">
        <v>0</v>
      </c>
      <c r="I48" s="166">
        <v>13321805</v>
      </c>
      <c r="J48" s="115"/>
      <c r="K48" s="116">
        <v>11191</v>
      </c>
      <c r="L48" s="38"/>
      <c r="M48" s="37">
        <v>11191</v>
      </c>
      <c r="N48" s="50"/>
      <c r="O48" s="24"/>
      <c r="P48" s="27">
        <f>12854527+456087</f>
        <v>13310614</v>
      </c>
      <c r="Q48" s="101">
        <f>+L48+O48</f>
        <v>0</v>
      </c>
      <c r="R48" s="26">
        <f t="shared" si="7"/>
        <v>13321805</v>
      </c>
      <c r="S48" s="124">
        <f t="shared" si="1"/>
        <v>0</v>
      </c>
      <c r="T48" s="125">
        <f t="shared" si="2"/>
        <v>13321805</v>
      </c>
      <c r="U48" s="38">
        <f>+Q48-H48</f>
        <v>0</v>
      </c>
      <c r="V48" s="37">
        <f t="shared" si="3"/>
        <v>0</v>
      </c>
      <c r="W48" s="39"/>
      <c r="X48" s="40"/>
      <c r="Y48" s="41"/>
      <c r="Z48" s="42"/>
      <c r="AA48" s="43"/>
      <c r="AB48" s="40"/>
      <c r="AC48" s="44"/>
      <c r="AG48" s="45" t="s">
        <v>83</v>
      </c>
      <c r="AH48" s="45" t="s">
        <v>84</v>
      </c>
      <c r="AI48" s="45">
        <v>0</v>
      </c>
      <c r="AJ48" s="45">
        <v>12854527</v>
      </c>
      <c r="AK48" s="45">
        <v>456087</v>
      </c>
      <c r="AL48" s="45">
        <v>467278</v>
      </c>
      <c r="AM48" s="45">
        <v>0</v>
      </c>
      <c r="AN48" s="45">
        <v>12865718</v>
      </c>
      <c r="AP48" s="46">
        <f>IF(AG48=B48,0,1)</f>
        <v>0</v>
      </c>
    </row>
    <row r="49" spans="1:42" x14ac:dyDescent="0.25">
      <c r="A49" s="18" t="s">
        <v>8</v>
      </c>
      <c r="B49" s="52" t="s">
        <v>135</v>
      </c>
      <c r="C49" s="68" t="s">
        <v>70</v>
      </c>
      <c r="D49" s="1">
        <v>0</v>
      </c>
      <c r="E49" s="1">
        <v>0</v>
      </c>
      <c r="F49" s="1">
        <v>644</v>
      </c>
      <c r="G49" s="1">
        <v>644</v>
      </c>
      <c r="H49" s="1">
        <v>0</v>
      </c>
      <c r="I49" s="1">
        <v>0</v>
      </c>
      <c r="J49" s="115"/>
      <c r="K49" s="116"/>
      <c r="L49" s="24"/>
      <c r="M49" s="25"/>
      <c r="N49" s="26"/>
      <c r="O49" s="24"/>
      <c r="P49" s="27"/>
      <c r="Q49" s="101"/>
      <c r="R49" s="26">
        <f t="shared" si="7"/>
        <v>0</v>
      </c>
      <c r="S49" s="124">
        <f t="shared" si="1"/>
        <v>0</v>
      </c>
      <c r="T49" s="125">
        <f t="shared" si="2"/>
        <v>0</v>
      </c>
      <c r="U49" s="38">
        <f>+Q49-H49</f>
        <v>0</v>
      </c>
      <c r="V49" s="37">
        <f t="shared" si="3"/>
        <v>0</v>
      </c>
      <c r="W49" s="39"/>
      <c r="X49" s="55"/>
      <c r="Y49" s="56"/>
      <c r="Z49" s="57"/>
      <c r="AA49" s="43"/>
      <c r="AB49" s="40"/>
      <c r="AC49" s="44"/>
      <c r="AG49" s="45" t="s">
        <v>135</v>
      </c>
      <c r="AH49" s="45" t="s">
        <v>70</v>
      </c>
      <c r="AI49" s="45">
        <v>0</v>
      </c>
      <c r="AJ49" s="45">
        <v>0</v>
      </c>
      <c r="AK49" s="45">
        <v>644</v>
      </c>
      <c r="AL49" s="45">
        <v>644</v>
      </c>
      <c r="AM49" s="45">
        <v>0</v>
      </c>
      <c r="AN49" s="45">
        <v>0</v>
      </c>
      <c r="AP49" s="46">
        <f>IF(AG49=B49,0,1)</f>
        <v>0</v>
      </c>
    </row>
    <row r="50" spans="1:42" x14ac:dyDescent="0.25">
      <c r="A50" s="18" t="s">
        <v>8</v>
      </c>
      <c r="B50" s="19" t="s">
        <v>85</v>
      </c>
      <c r="C50" s="20" t="s">
        <v>86</v>
      </c>
      <c r="D50" s="1">
        <v>0</v>
      </c>
      <c r="E50" s="1">
        <v>155348956</v>
      </c>
      <c r="F50" s="1">
        <v>0</v>
      </c>
      <c r="G50" s="1">
        <v>7725950</v>
      </c>
      <c r="H50" s="1">
        <v>0</v>
      </c>
      <c r="I50" s="1">
        <v>163074906</v>
      </c>
      <c r="J50" s="115"/>
      <c r="K50" s="116">
        <v>163074906</v>
      </c>
      <c r="L50" s="38"/>
      <c r="M50" s="37">
        <v>163074906</v>
      </c>
      <c r="N50" s="50"/>
      <c r="O50" s="24"/>
      <c r="P50" s="27"/>
      <c r="Q50" s="101">
        <f>+L50+O50</f>
        <v>0</v>
      </c>
      <c r="R50" s="26">
        <f t="shared" si="7"/>
        <v>163074906</v>
      </c>
      <c r="S50" s="124">
        <f t="shared" si="1"/>
        <v>0</v>
      </c>
      <c r="T50" s="125">
        <f t="shared" si="2"/>
        <v>163074906</v>
      </c>
      <c r="U50" s="38">
        <f>+Q50-H50</f>
        <v>0</v>
      </c>
      <c r="V50" s="37">
        <f t="shared" si="3"/>
        <v>0</v>
      </c>
      <c r="W50" s="39"/>
      <c r="X50" s="40"/>
      <c r="Y50" s="41"/>
      <c r="Z50" s="42"/>
      <c r="AA50" s="43"/>
      <c r="AB50" s="40"/>
      <c r="AC50" s="44"/>
      <c r="AG50" s="45" t="s">
        <v>85</v>
      </c>
      <c r="AH50" s="45" t="s">
        <v>86</v>
      </c>
      <c r="AI50" s="45">
        <v>0</v>
      </c>
      <c r="AJ50" s="45">
        <v>155348956</v>
      </c>
      <c r="AK50" s="45">
        <v>0</v>
      </c>
      <c r="AL50" s="45">
        <v>7725950</v>
      </c>
      <c r="AM50" s="45">
        <v>0</v>
      </c>
      <c r="AN50" s="45">
        <v>163074906</v>
      </c>
      <c r="AP50" s="46">
        <f>IF(AG50=B50,0,1)</f>
        <v>0</v>
      </c>
    </row>
    <row r="51" spans="1:42" x14ac:dyDescent="0.25">
      <c r="A51" s="18" t="s">
        <v>8</v>
      </c>
      <c r="B51" s="19" t="s">
        <v>87</v>
      </c>
      <c r="C51" s="20" t="s">
        <v>88</v>
      </c>
      <c r="D51" s="1">
        <v>0</v>
      </c>
      <c r="E51" s="1">
        <v>239716591</v>
      </c>
      <c r="F51" s="1">
        <v>0</v>
      </c>
      <c r="G51" s="1">
        <v>14743183</v>
      </c>
      <c r="H51" s="1">
        <v>0</v>
      </c>
      <c r="I51" s="1">
        <v>254459774</v>
      </c>
      <c r="J51" s="115"/>
      <c r="K51" s="116">
        <v>254459774</v>
      </c>
      <c r="L51" s="38"/>
      <c r="M51" s="37">
        <v>254459774</v>
      </c>
      <c r="N51" s="50"/>
      <c r="O51" s="24"/>
      <c r="P51" s="27"/>
      <c r="Q51" s="101">
        <f>+L51+O51</f>
        <v>0</v>
      </c>
      <c r="R51" s="26">
        <f t="shared" si="7"/>
        <v>254459774</v>
      </c>
      <c r="S51" s="124">
        <f t="shared" si="1"/>
        <v>0</v>
      </c>
      <c r="T51" s="125">
        <f t="shared" si="2"/>
        <v>254459774</v>
      </c>
      <c r="U51" s="38">
        <f>+Q51-H51</f>
        <v>0</v>
      </c>
      <c r="V51" s="37">
        <f t="shared" si="3"/>
        <v>0</v>
      </c>
      <c r="W51" s="39"/>
      <c r="X51" s="40"/>
      <c r="Y51" s="41"/>
      <c r="Z51" s="42"/>
      <c r="AA51" s="43"/>
      <c r="AB51" s="40"/>
      <c r="AC51" s="44"/>
      <c r="AG51" s="45" t="s">
        <v>87</v>
      </c>
      <c r="AH51" s="45" t="s">
        <v>88</v>
      </c>
      <c r="AI51" s="45">
        <v>0</v>
      </c>
      <c r="AJ51" s="45">
        <v>239716591</v>
      </c>
      <c r="AK51" s="45">
        <v>0</v>
      </c>
      <c r="AL51" s="45">
        <v>14743183</v>
      </c>
      <c r="AM51" s="45">
        <v>0</v>
      </c>
      <c r="AN51" s="45">
        <v>254459774</v>
      </c>
      <c r="AP51" s="46">
        <f>IF(AG51=B51,0,1)</f>
        <v>0</v>
      </c>
    </row>
    <row r="52" spans="1:42" ht="12" thickBot="1" x14ac:dyDescent="0.3">
      <c r="A52" s="18" t="s">
        <v>8</v>
      </c>
      <c r="B52" s="19" t="s">
        <v>89</v>
      </c>
      <c r="C52" s="20" t="s">
        <v>90</v>
      </c>
      <c r="D52" s="1">
        <v>0</v>
      </c>
      <c r="E52" s="1">
        <v>3580712</v>
      </c>
      <c r="F52" s="1">
        <v>0</v>
      </c>
      <c r="G52" s="1">
        <v>349199</v>
      </c>
      <c r="H52" s="1">
        <v>0</v>
      </c>
      <c r="I52" s="1">
        <v>3929911</v>
      </c>
      <c r="J52" s="118"/>
      <c r="K52" s="119">
        <v>3929911</v>
      </c>
      <c r="L52" s="109"/>
      <c r="M52" s="110">
        <v>3929911</v>
      </c>
      <c r="N52" s="143"/>
      <c r="O52" s="103"/>
      <c r="P52" s="104"/>
      <c r="Q52" s="105">
        <f>+L52+O52</f>
        <v>0</v>
      </c>
      <c r="R52" s="106">
        <f t="shared" si="7"/>
        <v>3929911</v>
      </c>
      <c r="S52" s="126">
        <f t="shared" si="1"/>
        <v>0</v>
      </c>
      <c r="T52" s="127">
        <f t="shared" si="2"/>
        <v>3929911</v>
      </c>
      <c r="U52" s="69">
        <f>+Q52-H52</f>
        <v>0</v>
      </c>
      <c r="V52" s="70">
        <f t="shared" si="3"/>
        <v>0</v>
      </c>
      <c r="W52" s="60"/>
      <c r="X52" s="61"/>
      <c r="Y52" s="62"/>
      <c r="Z52" s="63"/>
      <c r="AA52" s="64"/>
      <c r="AB52" s="61"/>
      <c r="AC52" s="65"/>
      <c r="AG52" s="45" t="s">
        <v>89</v>
      </c>
      <c r="AH52" s="45" t="s">
        <v>90</v>
      </c>
      <c r="AI52" s="45">
        <v>0</v>
      </c>
      <c r="AJ52" s="45">
        <v>3580712</v>
      </c>
      <c r="AK52" s="45">
        <v>0</v>
      </c>
      <c r="AL52" s="45">
        <v>349199</v>
      </c>
      <c r="AM52" s="45">
        <v>0</v>
      </c>
      <c r="AN52" s="45">
        <v>3929911</v>
      </c>
      <c r="AP52" s="46">
        <f>IF(AG52=B52,0,1)</f>
        <v>0</v>
      </c>
    </row>
    <row r="53" spans="1:42" ht="12" thickBot="1" x14ac:dyDescent="0.3">
      <c r="D53" s="71">
        <f t="shared" ref="D53:AC53" si="8">SUM(D6:D52)</f>
        <v>65023218877</v>
      </c>
      <c r="E53" s="72">
        <f t="shared" si="8"/>
        <v>17224252848</v>
      </c>
      <c r="F53" s="72">
        <f t="shared" si="8"/>
        <v>12475686997</v>
      </c>
      <c r="G53" s="72">
        <f t="shared" si="8"/>
        <v>4541617228</v>
      </c>
      <c r="H53" s="72">
        <f t="shared" si="8"/>
        <v>74071718685</v>
      </c>
      <c r="I53" s="72">
        <f t="shared" si="8"/>
        <v>18338682887</v>
      </c>
      <c r="J53" s="137">
        <f>SUM(J6:J52)</f>
        <v>62253795916</v>
      </c>
      <c r="K53" s="138">
        <f>SUM(K6:K52)</f>
        <v>17771710610</v>
      </c>
      <c r="L53" s="111">
        <f t="shared" si="8"/>
        <v>71860342090</v>
      </c>
      <c r="M53" s="112">
        <f t="shared" si="8"/>
        <v>17771710610</v>
      </c>
      <c r="N53" s="112">
        <f t="shared" si="8"/>
        <v>9606546174</v>
      </c>
      <c r="O53" s="73">
        <f t="shared" si="8"/>
        <v>2211376595</v>
      </c>
      <c r="P53" s="73">
        <f t="shared" si="8"/>
        <v>566972277</v>
      </c>
      <c r="Q53" s="73">
        <f>SUM(Q6:Q52)</f>
        <v>74071718685</v>
      </c>
      <c r="R53" s="73">
        <f t="shared" si="8"/>
        <v>18338682887</v>
      </c>
      <c r="S53" s="128">
        <f t="shared" si="8"/>
        <v>64465172511</v>
      </c>
      <c r="T53" s="128">
        <f t="shared" si="8"/>
        <v>18338682887</v>
      </c>
      <c r="U53" s="73">
        <f t="shared" si="8"/>
        <v>0</v>
      </c>
      <c r="V53" s="73">
        <f t="shared" si="8"/>
        <v>0</v>
      </c>
      <c r="W53" s="74">
        <f t="shared" si="8"/>
        <v>18741438380</v>
      </c>
      <c r="X53" s="74">
        <f t="shared" si="8"/>
        <v>17111656978</v>
      </c>
      <c r="Y53" s="74">
        <f t="shared" si="8"/>
        <v>36746016250</v>
      </c>
      <c r="Z53" s="74">
        <f t="shared" si="8"/>
        <v>1472607077</v>
      </c>
      <c r="AA53" s="74">
        <f t="shared" si="8"/>
        <v>808196528</v>
      </c>
      <c r="AB53" s="74">
        <f t="shared" si="8"/>
        <v>652770549</v>
      </c>
      <c r="AC53" s="74">
        <f t="shared" si="8"/>
        <v>11640000</v>
      </c>
      <c r="AE53" s="5">
        <f>+Z53+X62</f>
        <v>6411901687</v>
      </c>
      <c r="AI53" s="5"/>
      <c r="AJ53" s="5"/>
      <c r="AK53" s="5"/>
      <c r="AL53" s="5"/>
      <c r="AM53" s="5"/>
      <c r="AN53" s="5"/>
    </row>
    <row r="54" spans="1:42" x14ac:dyDescent="0.25">
      <c r="J54" s="159" t="s">
        <v>176</v>
      </c>
      <c r="K54" s="159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4"/>
      <c r="X54" s="74"/>
      <c r="Y54" s="74"/>
      <c r="Z54" s="74"/>
      <c r="AA54" s="74"/>
      <c r="AB54" s="74"/>
      <c r="AC54" s="74"/>
      <c r="AE54" s="5"/>
    </row>
    <row r="55" spans="1:42" x14ac:dyDescent="0.25">
      <c r="L55" s="73">
        <v>71860342090</v>
      </c>
      <c r="M55" s="73">
        <v>17771710610</v>
      </c>
      <c r="N55" s="73"/>
      <c r="O55" s="73">
        <v>2211376595</v>
      </c>
      <c r="P55" s="73"/>
      <c r="Q55" s="73"/>
      <c r="R55" s="73"/>
      <c r="S55" s="73"/>
      <c r="T55" s="73"/>
      <c r="U55" s="73">
        <f>+U53-V53</f>
        <v>0</v>
      </c>
      <c r="V55" s="73"/>
      <c r="W55" s="74"/>
      <c r="X55" s="74"/>
      <c r="Y55" s="74"/>
      <c r="Z55" s="74"/>
      <c r="AA55" s="74"/>
      <c r="AB55" s="74"/>
      <c r="AC55" s="74"/>
      <c r="AE55" s="5"/>
    </row>
    <row r="56" spans="1:42" ht="12" thickBot="1" x14ac:dyDescent="0.3">
      <c r="G56" s="3" t="s">
        <v>108</v>
      </c>
      <c r="H56" s="75">
        <f>+H53-I53</f>
        <v>55733035798</v>
      </c>
      <c r="L56" s="4">
        <f>+L55-L53</f>
        <v>0</v>
      </c>
      <c r="M56" s="4">
        <f>+M55-M53</f>
        <v>0</v>
      </c>
      <c r="O56" s="76">
        <f>+O55-O53</f>
        <v>0</v>
      </c>
      <c r="P56" s="77"/>
      <c r="W56" s="4"/>
      <c r="X56" s="4"/>
      <c r="Y56" s="78" t="s">
        <v>106</v>
      </c>
      <c r="Z56" s="4">
        <f>+W53+X53+Y53+Z53</f>
        <v>74071718685</v>
      </c>
      <c r="AA56" s="4"/>
      <c r="AB56" s="78" t="s">
        <v>107</v>
      </c>
      <c r="AC56" s="4">
        <f>+AA53+AB53+AC53</f>
        <v>1472607077</v>
      </c>
    </row>
    <row r="57" spans="1:42" ht="12" thickBot="1" x14ac:dyDescent="0.3">
      <c r="I57" s="2"/>
      <c r="J57" s="139" t="s">
        <v>183</v>
      </c>
      <c r="K57" s="140">
        <f>+L53-J53</f>
        <v>9606546174</v>
      </c>
      <c r="Q57" s="4" t="s">
        <v>108</v>
      </c>
      <c r="R57" s="79">
        <f>+Q53-R53</f>
        <v>55733035798</v>
      </c>
      <c r="S57" s="79"/>
      <c r="T57" s="79"/>
      <c r="U57" s="4">
        <f>+R57-H56</f>
        <v>0</v>
      </c>
      <c r="W57" s="4"/>
      <c r="X57" s="4"/>
      <c r="Y57" s="4" t="s">
        <v>105</v>
      </c>
      <c r="Z57" s="4">
        <f>+Z56-Q53</f>
        <v>0</v>
      </c>
      <c r="AA57" s="4"/>
      <c r="AB57" s="4" t="s">
        <v>105</v>
      </c>
      <c r="AC57" s="4">
        <f>+Z53-AC56</f>
        <v>0</v>
      </c>
    </row>
    <row r="58" spans="1:42" x14ac:dyDescent="0.25">
      <c r="R58" s="79"/>
      <c r="S58" s="79"/>
      <c r="T58" s="79"/>
      <c r="W58" s="80" t="s">
        <v>115</v>
      </c>
      <c r="X58" s="80" t="s">
        <v>114</v>
      </c>
      <c r="Y58" s="80" t="s">
        <v>113</v>
      </c>
      <c r="Z58" s="4"/>
      <c r="AA58" s="4"/>
      <c r="AB58" s="4"/>
      <c r="AC58" s="4"/>
    </row>
    <row r="59" spans="1:42" s="81" customFormat="1" x14ac:dyDescent="0.25">
      <c r="C59" s="81" t="s">
        <v>118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3">
        <f>+S6+S11+S13+S16+S24+S31+S33+S34+AA29</f>
        <v>19498695227</v>
      </c>
      <c r="X59" s="83"/>
      <c r="Y59" s="83">
        <f>+W59+X59</f>
        <v>19498695227</v>
      </c>
      <c r="Z59" s="82"/>
      <c r="AA59" s="82"/>
      <c r="AB59" s="82"/>
      <c r="AC59" s="82"/>
    </row>
    <row r="60" spans="1:42" s="84" customFormat="1" x14ac:dyDescent="0.25">
      <c r="C60" s="84" t="s">
        <v>104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6">
        <f>+S7+S8+S9+S12+S18+S19+S20+S21+S25+S27+S35+AC30</f>
        <v>27316742113</v>
      </c>
      <c r="X60" s="86">
        <f>+W65+W67</f>
        <v>90277293</v>
      </c>
      <c r="Y60" s="86">
        <f t="shared" ref="Y60:Y61" si="9">+W60+X60</f>
        <v>27407019406</v>
      </c>
      <c r="Z60" s="85"/>
      <c r="AA60" s="85"/>
      <c r="AB60" s="85"/>
      <c r="AC60" s="85"/>
    </row>
    <row r="61" spans="1:42" s="87" customFormat="1" ht="12" thickBot="1" x14ac:dyDescent="0.3">
      <c r="C61" s="87" t="s">
        <v>103</v>
      </c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9">
        <f>+S10+S14+S15+S17+S22+S23+S32+AB26+AB28</f>
        <v>17649735171</v>
      </c>
      <c r="X61" s="89">
        <f>+W66</f>
        <v>4849017317</v>
      </c>
      <c r="Y61" s="89">
        <f t="shared" si="9"/>
        <v>22498752488</v>
      </c>
      <c r="Z61" s="88"/>
      <c r="AA61" s="88"/>
      <c r="AB61" s="88"/>
      <c r="AC61" s="88"/>
    </row>
    <row r="62" spans="1:42" ht="12" thickBot="1" x14ac:dyDescent="0.3">
      <c r="A62" s="2" t="s">
        <v>124</v>
      </c>
      <c r="V62" s="4" t="s">
        <v>109</v>
      </c>
      <c r="W62" s="90">
        <f>SUM(W59:W61)</f>
        <v>64465172511</v>
      </c>
      <c r="X62" s="90">
        <f>SUM(X59:X61)</f>
        <v>4939294610</v>
      </c>
      <c r="Y62" s="90">
        <f>SUM(Y59:Y61)</f>
        <v>69404467121</v>
      </c>
      <c r="Z62" s="23"/>
      <c r="AA62" s="4"/>
      <c r="AB62" s="4"/>
      <c r="AC62" s="4"/>
    </row>
    <row r="63" spans="1:42" ht="12" thickBot="1" x14ac:dyDescent="0.3">
      <c r="W63" s="4"/>
      <c r="X63" s="4"/>
      <c r="Y63" s="91"/>
      <c r="Z63" s="92" t="s">
        <v>116</v>
      </c>
      <c r="AA63" s="4"/>
      <c r="AB63" s="4"/>
      <c r="AC63" s="4"/>
    </row>
    <row r="64" spans="1:42" ht="15" customHeight="1" x14ac:dyDescent="0.25">
      <c r="R64" s="93"/>
      <c r="S64" s="93"/>
      <c r="T64" s="93"/>
      <c r="U64" s="93"/>
      <c r="V64" s="4" t="s">
        <v>110</v>
      </c>
      <c r="X64" s="4"/>
      <c r="Y64" s="4"/>
      <c r="Z64" s="4"/>
      <c r="AA64" s="4"/>
      <c r="AB64" s="4"/>
      <c r="AC64" s="4"/>
    </row>
    <row r="65" spans="8:29" x14ac:dyDescent="0.25">
      <c r="L65" s="2"/>
      <c r="V65" s="4" t="s">
        <v>111</v>
      </c>
      <c r="W65" s="56">
        <v>30070625</v>
      </c>
      <c r="X65" s="4" t="s">
        <v>121</v>
      </c>
      <c r="AB65" s="4"/>
      <c r="AC65" s="4"/>
    </row>
    <row r="66" spans="8:29" x14ac:dyDescent="0.25">
      <c r="R66" s="1"/>
      <c r="S66" s="1"/>
      <c r="T66" s="1"/>
      <c r="V66" s="4" t="s">
        <v>112</v>
      </c>
      <c r="W66" s="55">
        <v>4849017317</v>
      </c>
      <c r="X66" s="4" t="s">
        <v>122</v>
      </c>
      <c r="AB66" s="4"/>
      <c r="AC66" s="4"/>
    </row>
    <row r="67" spans="8:29" x14ac:dyDescent="0.25">
      <c r="V67" s="4" t="s">
        <v>120</v>
      </c>
      <c r="W67" s="56">
        <f>12378000+29704668+18124000</f>
        <v>60206668</v>
      </c>
      <c r="X67" s="4" t="s">
        <v>123</v>
      </c>
      <c r="AB67" s="4"/>
      <c r="AC67" s="4"/>
    </row>
    <row r="68" spans="8:29" x14ac:dyDescent="0.25">
      <c r="W68" s="5">
        <f>SUM(W65:W67)</f>
        <v>4939294610</v>
      </c>
      <c r="X68" s="4"/>
      <c r="AB68" s="4"/>
      <c r="AC68" s="4"/>
    </row>
    <row r="69" spans="8:29" x14ac:dyDescent="0.25">
      <c r="X69" s="4"/>
      <c r="AB69" s="4"/>
      <c r="AC69" s="4"/>
    </row>
    <row r="70" spans="8:29" x14ac:dyDescent="0.25">
      <c r="X70" s="4"/>
      <c r="AB70" s="4"/>
      <c r="AC70" s="4"/>
    </row>
    <row r="71" spans="8:29" ht="15" customHeight="1" x14ac:dyDescent="0.25">
      <c r="I71" s="147" t="s">
        <v>117</v>
      </c>
      <c r="J71" s="147"/>
      <c r="K71" s="147"/>
      <c r="L71" s="147"/>
      <c r="O71" s="148" t="s">
        <v>102</v>
      </c>
      <c r="P71" s="148"/>
    </row>
    <row r="72" spans="8:29" x14ac:dyDescent="0.25">
      <c r="Y72" s="4">
        <f>1621917+6249730</f>
        <v>7871647</v>
      </c>
      <c r="Z72" s="94">
        <v>1211221</v>
      </c>
      <c r="AA72" s="4" t="s">
        <v>138</v>
      </c>
    </row>
    <row r="73" spans="8:29" x14ac:dyDescent="0.25">
      <c r="Y73" s="4">
        <f>4573999+17624979</f>
        <v>22198978</v>
      </c>
      <c r="Z73" s="94">
        <v>1211491</v>
      </c>
      <c r="AA73" s="4" t="s">
        <v>172</v>
      </c>
    </row>
    <row r="74" spans="8:29" ht="33.75" x14ac:dyDescent="0.2">
      <c r="P74" s="129" t="s">
        <v>145</v>
      </c>
      <c r="Q74" s="130" t="s">
        <v>180</v>
      </c>
      <c r="Y74" s="95">
        <f>SUM(Y72:Y73)</f>
        <v>30070625</v>
      </c>
      <c r="Z74" s="94"/>
      <c r="AA74" s="4"/>
    </row>
    <row r="75" spans="8:29" x14ac:dyDescent="0.25">
      <c r="P75" s="131"/>
      <c r="Q75" s="132"/>
      <c r="Y75" s="4"/>
      <c r="Z75" s="4"/>
      <c r="AA75" s="4"/>
    </row>
    <row r="76" spans="8:29" x14ac:dyDescent="0.25">
      <c r="H76" s="96"/>
      <c r="I76" s="96"/>
      <c r="J76" s="96"/>
      <c r="K76" s="96"/>
      <c r="L76" s="96"/>
      <c r="M76" s="96"/>
      <c r="N76" s="96"/>
      <c r="O76" s="96"/>
      <c r="P76" s="131" t="s">
        <v>138</v>
      </c>
      <c r="Q76" s="133">
        <f>4000000+32800000</f>
        <v>36800000</v>
      </c>
      <c r="R76" s="4" t="s">
        <v>181</v>
      </c>
      <c r="Y76" s="4"/>
      <c r="Z76" s="4"/>
      <c r="AA76" s="4"/>
    </row>
    <row r="77" spans="8:29" x14ac:dyDescent="0.25">
      <c r="H77" s="96"/>
      <c r="I77" s="96"/>
      <c r="J77" s="96"/>
      <c r="K77" s="96"/>
      <c r="L77" s="96"/>
      <c r="M77" s="96"/>
      <c r="N77" s="96"/>
      <c r="O77" s="96"/>
      <c r="P77" s="131" t="s">
        <v>139</v>
      </c>
      <c r="Q77" s="133">
        <f>+S20+S21+S35+Y79</f>
        <v>872811658</v>
      </c>
      <c r="Y77" s="78">
        <v>12378000</v>
      </c>
      <c r="Z77" s="46">
        <v>12112213</v>
      </c>
      <c r="AA77" s="4" t="s">
        <v>173</v>
      </c>
    </row>
    <row r="78" spans="8:29" x14ac:dyDescent="0.25">
      <c r="H78" s="96"/>
      <c r="I78" s="96"/>
      <c r="J78" s="96"/>
      <c r="K78" s="96"/>
      <c r="L78" s="96"/>
      <c r="M78" s="96"/>
      <c r="N78" s="96"/>
      <c r="O78" s="96"/>
      <c r="P78" s="131" t="s">
        <v>140</v>
      </c>
      <c r="Q78" s="133">
        <f>+S19+S9+Y77+Y78</f>
        <v>6216443970</v>
      </c>
      <c r="Y78" s="5">
        <v>29704668</v>
      </c>
      <c r="Z78" s="46">
        <v>1211402</v>
      </c>
      <c r="AA78" s="5" t="s">
        <v>174</v>
      </c>
    </row>
    <row r="79" spans="8:29" x14ac:dyDescent="0.25">
      <c r="H79" s="96"/>
      <c r="I79" s="96"/>
      <c r="J79" s="96"/>
      <c r="K79" s="96"/>
      <c r="L79" s="96"/>
      <c r="M79" s="96"/>
      <c r="N79" s="96"/>
      <c r="O79" s="96"/>
      <c r="P79" s="131" t="s">
        <v>141</v>
      </c>
      <c r="Q79" s="133">
        <f>+S18+S25+S30+S7+S8</f>
        <v>20287693153</v>
      </c>
      <c r="Y79" s="5">
        <v>18124000</v>
      </c>
      <c r="Z79" s="46">
        <v>12192403</v>
      </c>
      <c r="AA79" s="5" t="s">
        <v>139</v>
      </c>
    </row>
    <row r="80" spans="8:29" x14ac:dyDescent="0.25">
      <c r="H80" s="96"/>
      <c r="I80" s="96"/>
      <c r="J80" s="96"/>
      <c r="K80" s="96"/>
      <c r="L80" s="96"/>
      <c r="M80" s="96"/>
      <c r="N80" s="96"/>
      <c r="O80" s="96"/>
      <c r="P80" s="131" t="s">
        <v>142</v>
      </c>
      <c r="Q80" s="133">
        <f>+S12+S13+S14+S22+S31+S17+S32+S15+S16+S23+S24+S27+S28+S29+S33+S34-Q82-Q83-P110-P111-P112-P113-P114-P115-P116-P120-P121+Y72+Y73-972074213+S6+S11+S26-4000000-P117-P122-P125-32800000</f>
        <v>31681162276</v>
      </c>
      <c r="Y80" s="97">
        <f>SUM(Y77:Y79)</f>
        <v>60206668</v>
      </c>
    </row>
    <row r="81" spans="7:23" x14ac:dyDescent="0.25">
      <c r="H81" s="96"/>
      <c r="I81" s="96"/>
      <c r="J81" s="96"/>
      <c r="K81" s="96"/>
      <c r="L81" s="96"/>
      <c r="M81" s="96"/>
      <c r="N81" s="96"/>
      <c r="O81" s="96"/>
      <c r="P81" s="131" t="s">
        <v>146</v>
      </c>
      <c r="Q81" s="133">
        <f>+W66+972074213+Q10</f>
        <v>6293832530</v>
      </c>
      <c r="R81" s="4" t="s">
        <v>182</v>
      </c>
    </row>
    <row r="82" spans="7:23" x14ac:dyDescent="0.25">
      <c r="H82" s="96"/>
      <c r="I82" s="96"/>
      <c r="J82" s="96"/>
      <c r="K82" s="96"/>
      <c r="L82" s="96"/>
      <c r="M82" s="96"/>
      <c r="N82" s="96"/>
      <c r="O82" s="96"/>
      <c r="P82" s="131" t="s">
        <v>150</v>
      </c>
      <c r="Q82" s="133">
        <f t="shared" ref="Q82" si="10">47347400+1643922416</f>
        <v>1691269816</v>
      </c>
      <c r="R82" s="46" t="s">
        <v>181</v>
      </c>
      <c r="S82" s="46"/>
      <c r="T82" s="46"/>
    </row>
    <row r="83" spans="7:23" x14ac:dyDescent="0.25">
      <c r="H83" s="96"/>
      <c r="I83" s="96"/>
      <c r="J83" s="96"/>
      <c r="K83" s="96"/>
      <c r="L83" s="96"/>
      <c r="M83" s="96"/>
      <c r="N83" s="96"/>
      <c r="O83" s="96"/>
      <c r="P83" s="131" t="s">
        <v>143</v>
      </c>
      <c r="Q83" s="133">
        <v>1603582646</v>
      </c>
      <c r="R83" s="94"/>
      <c r="S83" s="94"/>
      <c r="T83" s="94"/>
    </row>
    <row r="84" spans="7:23" x14ac:dyDescent="0.25">
      <c r="H84" s="96"/>
      <c r="I84" s="96"/>
      <c r="J84" s="96"/>
      <c r="K84" s="96"/>
      <c r="L84" s="96"/>
      <c r="M84" s="96"/>
      <c r="N84" s="96"/>
      <c r="O84" s="96"/>
      <c r="P84" s="131" t="s">
        <v>144</v>
      </c>
      <c r="Q84" s="133">
        <v>720871072</v>
      </c>
    </row>
    <row r="85" spans="7:23" x14ac:dyDescent="0.25">
      <c r="H85" s="96"/>
      <c r="I85" s="96"/>
      <c r="J85" s="96"/>
      <c r="K85" s="96"/>
      <c r="L85" s="96"/>
      <c r="M85" s="96"/>
      <c r="N85" s="96"/>
      <c r="O85" s="96"/>
      <c r="P85" s="134"/>
      <c r="Q85" s="133"/>
    </row>
    <row r="86" spans="7:23" x14ac:dyDescent="0.25">
      <c r="G86" s="98"/>
      <c r="H86" s="96"/>
      <c r="P86" s="135"/>
      <c r="Q86" s="136">
        <f>SUM(Q76:Q84)</f>
        <v>69404467121</v>
      </c>
      <c r="R86" s="99"/>
      <c r="S86" s="99"/>
      <c r="T86" s="99"/>
      <c r="W86" s="5">
        <f>+W68-Q88</f>
        <v>0</v>
      </c>
    </row>
    <row r="87" spans="7:23" x14ac:dyDescent="0.25">
      <c r="H87" s="96"/>
      <c r="R87" s="100"/>
      <c r="S87" s="100"/>
      <c r="T87" s="100"/>
    </row>
    <row r="88" spans="7:23" x14ac:dyDescent="0.25">
      <c r="H88" s="96"/>
      <c r="Q88" s="4">
        <f>+Q86-S53</f>
        <v>4939294610</v>
      </c>
    </row>
    <row r="89" spans="7:23" x14ac:dyDescent="0.25">
      <c r="Q89" s="4" t="s">
        <v>171</v>
      </c>
    </row>
    <row r="91" spans="7:23" x14ac:dyDescent="0.25">
      <c r="L91" s="4" t="s">
        <v>149</v>
      </c>
      <c r="O91" s="4" t="s">
        <v>147</v>
      </c>
      <c r="P91" s="4">
        <f>5109600+1129496+55786321</f>
        <v>62025417</v>
      </c>
      <c r="Q91" s="46">
        <v>1211222</v>
      </c>
      <c r="R91" s="4">
        <v>5109600</v>
      </c>
    </row>
    <row r="92" spans="7:23" x14ac:dyDescent="0.25">
      <c r="Q92" s="46">
        <v>1211332</v>
      </c>
      <c r="R92" s="4">
        <v>1129496</v>
      </c>
    </row>
    <row r="93" spans="7:23" x14ac:dyDescent="0.25">
      <c r="Q93" s="46">
        <v>1211333</v>
      </c>
      <c r="R93" s="4">
        <v>55786321</v>
      </c>
    </row>
    <row r="94" spans="7:23" x14ac:dyDescent="0.25">
      <c r="O94" s="4" t="s">
        <v>152</v>
      </c>
      <c r="P94" s="4">
        <f>244420092+50939681</f>
        <v>295359773</v>
      </c>
      <c r="Q94" s="46">
        <v>1211332</v>
      </c>
      <c r="R94" s="4">
        <v>244420092</v>
      </c>
    </row>
    <row r="95" spans="7:23" x14ac:dyDescent="0.25">
      <c r="Q95" s="46">
        <v>1311333</v>
      </c>
      <c r="R95" s="4">
        <v>50939681</v>
      </c>
    </row>
    <row r="96" spans="7:23" x14ac:dyDescent="0.25">
      <c r="O96" s="4" t="s">
        <v>148</v>
      </c>
      <c r="P96" s="4">
        <v>117576400</v>
      </c>
      <c r="Q96" s="46">
        <v>1211222</v>
      </c>
      <c r="R96" s="4">
        <v>20309600</v>
      </c>
    </row>
    <row r="97" spans="8:26" x14ac:dyDescent="0.25">
      <c r="Q97" s="46">
        <v>1211332</v>
      </c>
      <c r="R97" s="4">
        <v>97266800</v>
      </c>
      <c r="V97" s="45"/>
      <c r="W97" s="45"/>
      <c r="X97" s="45"/>
      <c r="Y97" s="2"/>
    </row>
    <row r="98" spans="8:26" x14ac:dyDescent="0.25">
      <c r="O98" s="4" t="s">
        <v>151</v>
      </c>
      <c r="P98" s="4">
        <v>47347400</v>
      </c>
      <c r="Q98" s="46">
        <v>1211222</v>
      </c>
      <c r="R98" s="4">
        <f>87599+11750101</f>
        <v>11837700</v>
      </c>
      <c r="V98" s="45"/>
      <c r="W98" s="45"/>
      <c r="X98" s="45"/>
    </row>
    <row r="99" spans="8:26" x14ac:dyDescent="0.25">
      <c r="H99" s="96"/>
      <c r="Q99" s="46">
        <v>1211332</v>
      </c>
      <c r="R99" s="4">
        <f>35246928+262772</f>
        <v>35509700</v>
      </c>
      <c r="V99" s="45"/>
      <c r="W99" s="45"/>
      <c r="X99" s="45"/>
    </row>
    <row r="100" spans="8:26" x14ac:dyDescent="0.25">
      <c r="O100" s="4" t="s">
        <v>153</v>
      </c>
      <c r="P100" s="4">
        <v>1643922416</v>
      </c>
      <c r="Q100" s="46">
        <v>1211332</v>
      </c>
      <c r="R100" s="4">
        <v>1643922416</v>
      </c>
      <c r="V100" s="45"/>
      <c r="W100" s="45"/>
      <c r="X100" s="45"/>
    </row>
    <row r="101" spans="8:26" x14ac:dyDescent="0.25">
      <c r="Q101" s="46"/>
      <c r="V101" s="45"/>
      <c r="W101" s="45"/>
      <c r="X101" s="45"/>
    </row>
    <row r="102" spans="8:26" x14ac:dyDescent="0.25">
      <c r="Q102" s="46"/>
      <c r="V102" s="45"/>
      <c r="W102" s="45"/>
      <c r="X102" s="45"/>
    </row>
    <row r="103" spans="8:26" x14ac:dyDescent="0.25">
      <c r="O103" s="4" t="s">
        <v>154</v>
      </c>
      <c r="P103" s="4">
        <f>+R103</f>
        <v>1603582646</v>
      </c>
      <c r="Q103" s="46">
        <v>1211442</v>
      </c>
      <c r="R103" s="4">
        <v>1603582646</v>
      </c>
      <c r="V103" s="45"/>
      <c r="W103" s="45"/>
      <c r="X103" s="45"/>
    </row>
    <row r="104" spans="8:26" x14ac:dyDescent="0.25">
      <c r="Q104" s="46"/>
      <c r="V104" s="45"/>
      <c r="W104" s="45"/>
      <c r="X104" s="45"/>
    </row>
    <row r="105" spans="8:26" x14ac:dyDescent="0.25">
      <c r="Q105" s="46"/>
      <c r="V105" s="45"/>
      <c r="W105" s="45"/>
      <c r="X105" s="45"/>
    </row>
    <row r="106" spans="8:26" x14ac:dyDescent="0.25">
      <c r="Q106" s="46"/>
    </row>
    <row r="107" spans="8:26" x14ac:dyDescent="0.25">
      <c r="Q107" s="46"/>
      <c r="V107" s="45"/>
      <c r="W107" s="45"/>
      <c r="X107" s="45"/>
      <c r="Y107" s="45"/>
      <c r="Z107" s="45"/>
    </row>
    <row r="108" spans="8:26" x14ac:dyDescent="0.25">
      <c r="Q108" s="46"/>
      <c r="V108" s="45"/>
      <c r="W108" s="45"/>
      <c r="X108" s="45"/>
      <c r="Y108" s="45"/>
      <c r="Z108" s="45"/>
    </row>
    <row r="109" spans="8:26" x14ac:dyDescent="0.25">
      <c r="M109" s="45" t="s">
        <v>156</v>
      </c>
      <c r="N109" s="45"/>
      <c r="O109" s="45" t="s">
        <v>155</v>
      </c>
      <c r="P109" s="1">
        <v>0</v>
      </c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8:26" x14ac:dyDescent="0.25">
      <c r="M110" s="45" t="s">
        <v>157</v>
      </c>
      <c r="N110" s="45"/>
      <c r="O110" s="45" t="s">
        <v>49</v>
      </c>
      <c r="P110" s="1">
        <v>47509024</v>
      </c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8:26" x14ac:dyDescent="0.25">
      <c r="M111" s="45" t="s">
        <v>158</v>
      </c>
      <c r="N111" s="45"/>
      <c r="O111" s="45" t="s">
        <v>47</v>
      </c>
      <c r="P111" s="1">
        <v>319160836</v>
      </c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8:26" x14ac:dyDescent="0.25">
      <c r="M112" s="45" t="s">
        <v>159</v>
      </c>
      <c r="N112" s="45"/>
      <c r="O112" s="45" t="s">
        <v>49</v>
      </c>
      <c r="P112" s="1">
        <v>1198200</v>
      </c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3:26" x14ac:dyDescent="0.25">
      <c r="M113" s="45" t="s">
        <v>160</v>
      </c>
      <c r="N113" s="45"/>
      <c r="O113" s="45" t="s">
        <v>49</v>
      </c>
      <c r="P113" s="1">
        <v>7106100</v>
      </c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3:26" x14ac:dyDescent="0.25">
      <c r="M114" s="45" t="s">
        <v>160</v>
      </c>
      <c r="N114" s="45"/>
      <c r="O114" s="45" t="s">
        <v>49</v>
      </c>
      <c r="P114" s="1">
        <v>8026700</v>
      </c>
      <c r="Q114" s="45"/>
      <c r="R114" s="45"/>
      <c r="S114" s="45"/>
      <c r="T114" s="45"/>
      <c r="U114" s="45"/>
    </row>
    <row r="115" spans="13:26" x14ac:dyDescent="0.25">
      <c r="M115" s="45" t="s">
        <v>161</v>
      </c>
      <c r="N115" s="45"/>
      <c r="O115" s="45" t="s">
        <v>49</v>
      </c>
      <c r="P115" s="1">
        <v>821880</v>
      </c>
      <c r="Q115" s="45"/>
      <c r="R115" s="45"/>
      <c r="S115" s="45"/>
      <c r="T115" s="45"/>
      <c r="U115" s="45"/>
    </row>
    <row r="116" spans="13:26" x14ac:dyDescent="0.25">
      <c r="M116" s="45" t="s">
        <v>162</v>
      </c>
      <c r="N116" s="45"/>
      <c r="O116" s="45" t="s">
        <v>49</v>
      </c>
      <c r="P116" s="1">
        <v>940800</v>
      </c>
      <c r="Q116" s="45"/>
      <c r="R116" s="45"/>
      <c r="S116" s="45"/>
      <c r="T116" s="45"/>
      <c r="U116" s="45"/>
    </row>
    <row r="117" spans="13:26" x14ac:dyDescent="0.25">
      <c r="M117" s="45" t="s">
        <v>163</v>
      </c>
      <c r="N117" s="45"/>
      <c r="O117" s="45" t="s">
        <v>45</v>
      </c>
      <c r="P117" s="1">
        <v>123400000</v>
      </c>
      <c r="Q117" s="45"/>
      <c r="R117" s="45"/>
      <c r="S117" s="45"/>
      <c r="T117" s="45"/>
      <c r="U117" s="45"/>
    </row>
    <row r="119" spans="13:26" x14ac:dyDescent="0.25">
      <c r="M119" s="45" t="s">
        <v>164</v>
      </c>
      <c r="N119" s="45"/>
      <c r="O119" s="45" t="s">
        <v>155</v>
      </c>
      <c r="P119" s="1">
        <v>0</v>
      </c>
      <c r="U119" s="45"/>
    </row>
    <row r="120" spans="13:26" x14ac:dyDescent="0.25">
      <c r="M120" s="45" t="s">
        <v>165</v>
      </c>
      <c r="N120" s="45"/>
      <c r="O120" s="45" t="s">
        <v>47</v>
      </c>
      <c r="P120" s="1">
        <v>175663313</v>
      </c>
      <c r="U120" s="45"/>
    </row>
    <row r="121" spans="13:26" x14ac:dyDescent="0.25">
      <c r="M121" s="45" t="s">
        <v>166</v>
      </c>
      <c r="N121" s="45"/>
      <c r="O121" s="45" t="s">
        <v>49</v>
      </c>
      <c r="P121" s="1">
        <v>2497819</v>
      </c>
      <c r="U121" s="45"/>
    </row>
    <row r="122" spans="13:26" x14ac:dyDescent="0.25">
      <c r="M122" s="45" t="s">
        <v>167</v>
      </c>
      <c r="N122" s="45"/>
      <c r="O122" s="45" t="s">
        <v>45</v>
      </c>
      <c r="P122" s="1">
        <v>31880000</v>
      </c>
      <c r="U122" s="45"/>
    </row>
    <row r="123" spans="13:26" x14ac:dyDescent="0.25">
      <c r="M123" s="45" t="s">
        <v>168</v>
      </c>
      <c r="N123" s="45"/>
      <c r="O123" s="45" t="s">
        <v>45</v>
      </c>
      <c r="P123" s="1">
        <v>0</v>
      </c>
      <c r="U123" s="45"/>
    </row>
    <row r="124" spans="13:26" x14ac:dyDescent="0.25">
      <c r="M124" s="45" t="s">
        <v>169</v>
      </c>
      <c r="N124" s="45"/>
      <c r="O124" s="45" t="s">
        <v>45</v>
      </c>
      <c r="P124" s="1">
        <v>0</v>
      </c>
      <c r="U124" s="45"/>
    </row>
    <row r="125" spans="13:26" x14ac:dyDescent="0.25">
      <c r="M125" s="45" t="s">
        <v>170</v>
      </c>
      <c r="N125" s="45"/>
      <c r="O125" s="45" t="s">
        <v>45</v>
      </c>
      <c r="P125" s="1">
        <v>2666400</v>
      </c>
      <c r="U125" s="45"/>
    </row>
    <row r="128" spans="13:26" x14ac:dyDescent="0.25">
      <c r="P128" s="4">
        <f>SUM(P109:P125)</f>
        <v>720871072</v>
      </c>
    </row>
    <row r="131" spans="16:16" x14ac:dyDescent="0.25">
      <c r="P131" s="4">
        <f>+P91+P94+P96+P98+P100+P103+P128</f>
        <v>4490685124</v>
      </c>
    </row>
  </sheetData>
  <autoFilter ref="A5:AC68"/>
  <mergeCells count="13">
    <mergeCell ref="A2:AC2"/>
    <mergeCell ref="I71:L71"/>
    <mergeCell ref="O71:P71"/>
    <mergeCell ref="W3:Z3"/>
    <mergeCell ref="AA3:AC3"/>
    <mergeCell ref="O4:P4"/>
    <mergeCell ref="Q4:R4"/>
    <mergeCell ref="U4:V4"/>
    <mergeCell ref="J54:K54"/>
    <mergeCell ref="S4:T4"/>
    <mergeCell ref="L4:M4"/>
    <mergeCell ref="J4:K4"/>
    <mergeCell ref="A3:V3"/>
  </mergeCells>
  <pageMargins left="0" right="0" top="0.74803149606299213" bottom="0.74803149606299213" header="0.31496062992125984" footer="0.31496062992125984"/>
  <pageSetup paperSize="8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19.01.01-19.12.31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Harkai Gábor</dc:creator>
  <cp:lastModifiedBy>Harkai Gábor</cp:lastModifiedBy>
  <cp:lastPrinted>2020-05-26T11:06:38Z</cp:lastPrinted>
  <dcterms:created xsi:type="dcterms:W3CDTF">2018-02-27T10:39:12Z</dcterms:created>
  <dcterms:modified xsi:type="dcterms:W3CDTF">2020-05-26T11:10:20Z</dcterms:modified>
</cp:coreProperties>
</file>