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5" windowWidth="5940" windowHeight="5415" tabRatio="598" activeTab="0"/>
  </bookViews>
  <sheets>
    <sheet name="bor.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űködési kiadások" sheetId="7" r:id="rId7"/>
    <sheet name="7.mell. - ellátottak jutt." sheetId="8" r:id="rId8"/>
    <sheet name="8.mell. - beruházások" sheetId="9" r:id="rId9"/>
    <sheet name="9.Felújítások" sheetId="10" r:id="rId10"/>
    <sheet name="10.mell. - közgazd.mérleg" sheetId="11" r:id="rId11"/>
    <sheet name="11.mell. -ei.felh.ütemt." sheetId="12" r:id="rId12"/>
    <sheet name="12.mell. -részesedések" sheetId="13" r:id="rId13"/>
    <sheet name="13.mell. -kezesség" sheetId="14" r:id="rId14"/>
    <sheet name="14.mell. - uniós" sheetId="15" r:id="rId15"/>
    <sheet name="15.mell.- közvetett" sheetId="16" r:id="rId16"/>
    <sheet name="16.mell.-középtávú" sheetId="17" r:id="rId17"/>
    <sheet name="17.mell." sheetId="18" r:id="rId18"/>
    <sheet name="18.mell." sheetId="19" r:id="rId19"/>
  </sheets>
  <definedNames>
    <definedName name="_xlnm.Print_Titles" localSheetId="2">'2.mell - bevétel'!$11:$13</definedName>
    <definedName name="_xlnm.Print_Area" localSheetId="2">'2.mell - bevétel'!$A$3:$I$132</definedName>
  </definedNames>
  <calcPr fullCalcOnLoad="1"/>
</workbook>
</file>

<file path=xl/sharedStrings.xml><?xml version="1.0" encoding="utf-8"?>
<sst xmlns="http://schemas.openxmlformats.org/spreadsheetml/2006/main" count="1209" uniqueCount="664">
  <si>
    <t>Megnevezés</t>
  </si>
  <si>
    <t>Ft</t>
  </si>
  <si>
    <t>Összesen:</t>
  </si>
  <si>
    <t>létszám</t>
  </si>
  <si>
    <t>Sitke község Önkormányzata</t>
  </si>
  <si>
    <t>( e Ft-ban)</t>
  </si>
  <si>
    <t>e Ft</t>
  </si>
  <si>
    <t>állandó</t>
  </si>
  <si>
    <t>juttatások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</si>
  <si>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</si>
  <si>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</si>
  <si>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</si>
  <si>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</si>
  <si>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</si>
  <si>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</si>
  <si>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</si>
  <si>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</si>
  <si>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</si>
  <si>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</si>
  <si>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</si>
  <si>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</si>
  <si>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</si>
  <si>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</si>
  <si>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részvényei, részesedései, értékpapírjai</t>
  </si>
  <si>
    <t>Citerazenekar támogatása</t>
  </si>
  <si>
    <t>2.</t>
  </si>
  <si>
    <t>Kistérségi tagsági díj</t>
  </si>
  <si>
    <t>Eseti társadalom, szociálpolitikai és egyéb társadalombiztosítási</t>
  </si>
  <si>
    <t>juttatások összesen:</t>
  </si>
  <si>
    <t>Működési célú szociális támogatások összesen:</t>
  </si>
  <si>
    <t>Társadalom-, szociálispolitikai és egyéb társadalom-</t>
  </si>
  <si>
    <t>biztosítási juttatások mindösszesen:</t>
  </si>
  <si>
    <t>Háziorvosi alapellátás</t>
  </si>
  <si>
    <t>Civil szervezetek működési támogatása</t>
  </si>
  <si>
    <t>Köztemető-fenntartás és működtetés</t>
  </si>
  <si>
    <t>Könyvtári szolgáltatások</t>
  </si>
  <si>
    <t>Bevételei forrásonként</t>
  </si>
  <si>
    <t xml:space="preserve">Sitke község Önkormányzata   </t>
  </si>
  <si>
    <t>Társadalom-, szociálpolitikai  és egyéb társadalombiztosítási kiadásai</t>
  </si>
  <si>
    <t>SITKE KÖZSÉG ÖNKORMÁNYZATA</t>
  </si>
  <si>
    <t>sor-</t>
  </si>
  <si>
    <t>szám</t>
  </si>
  <si>
    <t>1.</t>
  </si>
  <si>
    <t>3.</t>
  </si>
  <si>
    <t>TÁRGYÉVI BEVÉTELEK ÖSSZESEN:</t>
  </si>
  <si>
    <t xml:space="preserve">Tekeszakosztály 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</si>
  <si>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</si>
  <si>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</si>
  <si>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</si>
  <si>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</si>
  <si>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</si>
  <si>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</si>
  <si>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</si>
  <si>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</si>
  <si>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</si>
  <si>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</si>
  <si>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</si>
  <si>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</si>
  <si>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</si>
  <si>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</si>
  <si>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2018.                                     év</t>
  </si>
  <si>
    <t>2019.                                     év</t>
  </si>
  <si>
    <t>összesen</t>
  </si>
  <si>
    <t>Megnevezése, fajtája, száma</t>
  </si>
  <si>
    <t>Sitkei  Viziközmű Társulat által felvett hitel</t>
  </si>
  <si>
    <t>formája: készfizető kezsségvállalás</t>
  </si>
  <si>
    <t>devizaneme:       Ft</t>
  </si>
  <si>
    <t>futamideje:        2012-2019</t>
  </si>
  <si>
    <t>kezességvállalás összesen:</t>
  </si>
  <si>
    <t>KÖZHATALMI BEVÉTELEK ÖSSZESEN:</t>
  </si>
  <si>
    <t>vendégebéd térítési díja</t>
  </si>
  <si>
    <t>működési kiadások</t>
  </si>
  <si>
    <t>felhalmozási kiadások</t>
  </si>
  <si>
    <t>felújítások</t>
  </si>
  <si>
    <t>Labdarugó Szakosztály támogatása</t>
  </si>
  <si>
    <t xml:space="preserve">Tanévkezdési támogatás </t>
  </si>
  <si>
    <t xml:space="preserve">       - egyéb működési kiadások</t>
  </si>
  <si>
    <t xml:space="preserve">       - egyéb felhalmozási kiadások</t>
  </si>
  <si>
    <t>szociális étkeztetés térítési díja</t>
  </si>
  <si>
    <t>táborozás támogatása</t>
  </si>
  <si>
    <t>talajterhelési díj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</si>
  <si>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</si>
  <si>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</si>
  <si>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</si>
  <si>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</si>
  <si>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</si>
  <si>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</si>
  <si>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</si>
  <si>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</si>
  <si>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</si>
  <si>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</si>
  <si>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</si>
  <si>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</si>
  <si>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</si>
  <si>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</si>
  <si>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</si>
  <si>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</si>
  <si>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</si>
  <si>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</si>
  <si>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</si>
  <si>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</si>
  <si>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</si>
  <si>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</si>
  <si>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</si>
  <si>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</si>
  <si>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</si>
  <si>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</si>
  <si>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üdülőhelyi feladatok támogatása</t>
  </si>
  <si>
    <t>Helyi önkormányzatok  működésének  általános támogatása összesen:</t>
  </si>
  <si>
    <t>Egyéb működési célú támogatások bevételei államháztartáson belülről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</si>
  <si>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</si>
  <si>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</si>
  <si>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</si>
  <si>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</si>
  <si>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</si>
  <si>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</si>
  <si>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</si>
  <si>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</si>
  <si>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</si>
  <si>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</si>
  <si>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</si>
  <si>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</si>
  <si>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</si>
  <si>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</si>
  <si>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</si>
  <si>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</si>
  <si>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</si>
  <si>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</si>
  <si>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</si>
  <si>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</si>
  <si>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</si>
  <si>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</si>
  <si>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közterületfogalási díjak</t>
  </si>
  <si>
    <t>földbéreleti díjak</t>
  </si>
  <si>
    <t>Tulajdonosi bevételek</t>
  </si>
  <si>
    <t>szennyvízcsatornahasználati díj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</si>
  <si>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</si>
  <si>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</si>
  <si>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</si>
  <si>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</si>
  <si>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</si>
  <si>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</si>
  <si>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</si>
  <si>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</si>
  <si>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</si>
  <si>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</si>
  <si>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</si>
  <si>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</si>
  <si>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</si>
  <si>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</si>
  <si>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</si>
  <si>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</si>
  <si>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</si>
  <si>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</si>
  <si>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</si>
  <si>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</si>
  <si>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</si>
  <si>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</si>
  <si>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</si>
  <si>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</si>
  <si>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</si>
  <si>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</si>
  <si>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</si>
  <si>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</si>
  <si>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</si>
  <si>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</si>
  <si>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</si>
  <si>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</si>
  <si>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</si>
  <si>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</si>
  <si>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</si>
  <si>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</si>
  <si>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</si>
  <si>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</si>
  <si>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</si>
  <si>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</si>
  <si>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</si>
  <si>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</si>
  <si>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</si>
  <si>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</si>
  <si>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</si>
  <si>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</si>
  <si>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</si>
  <si>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</si>
  <si>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</si>
  <si>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</si>
  <si>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</si>
  <si>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</si>
  <si>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</si>
  <si>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</si>
  <si>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</si>
  <si>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</si>
  <si>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</si>
  <si>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</si>
  <si>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</si>
  <si>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</si>
  <si>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</si>
  <si>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</si>
  <si>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</si>
  <si>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</si>
  <si>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</si>
  <si>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</si>
  <si>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</si>
  <si>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</si>
  <si>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</si>
  <si>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</si>
  <si>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</si>
  <si>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</si>
  <si>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</si>
  <si>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</si>
  <si>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</si>
  <si>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</si>
  <si>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</si>
  <si>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</si>
  <si>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</si>
  <si>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</si>
  <si>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094260</t>
  </si>
  <si>
    <t>Hallgatói és oktatói ösztöndíjak, egyéb juttatások</t>
  </si>
  <si>
    <t>107051</t>
  </si>
  <si>
    <t>Házi segítségnyújtás</t>
  </si>
  <si>
    <t>Egyéb szociális természetbeni és pénzbeni ellátások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</si>
  <si>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</si>
  <si>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</si>
  <si>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</si>
  <si>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</si>
  <si>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</si>
  <si>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</si>
  <si>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</si>
  <si>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</si>
  <si>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</si>
  <si>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</si>
  <si>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</si>
  <si>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</si>
  <si>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</si>
  <si>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</si>
  <si>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</si>
  <si>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</si>
  <si>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</si>
  <si>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</si>
  <si>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</si>
  <si>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</si>
  <si>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</si>
  <si>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</si>
  <si>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</si>
  <si>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</si>
  <si>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</si>
  <si>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működési célú visszatérítendő támogatások, kölcsönök nyújtása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</si>
  <si>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</si>
  <si>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</si>
  <si>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</si>
  <si>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</si>
  <si>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</si>
  <si>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</si>
  <si>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</si>
  <si>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</si>
  <si>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</si>
  <si>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</si>
  <si>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</si>
  <si>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</si>
  <si>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</si>
  <si>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</si>
  <si>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</si>
  <si>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</si>
  <si>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</si>
  <si>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</si>
  <si>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</si>
  <si>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</si>
  <si>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</si>
  <si>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</si>
  <si>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</si>
  <si>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</si>
  <si>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</si>
  <si>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</si>
  <si>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</si>
  <si>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</si>
  <si>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</si>
  <si>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</si>
  <si>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</si>
  <si>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</si>
  <si>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</si>
  <si>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Egyéb felhalmozási kiadások államháztartáson kívülre</t>
  </si>
  <si>
    <t>Első lakáshoz jutók lakásépítésének és -vásárlásnak viszza nem térítendő támogatása</t>
  </si>
  <si>
    <t>Egyéb felhalmozási kiadások államháztartáson kívülre összesen:</t>
  </si>
  <si>
    <t>Költségvetési (működési és felhalmozási ) mérlege</t>
  </si>
  <si>
    <t>Sitke község Önkormányzta</t>
  </si>
  <si>
    <t>Kezességvállalások állománya</t>
  </si>
  <si>
    <t>mértéke: lakossági érdekeltségi hozzájárulás együttes összegének 20 %-a,  induláskor 11.322.424 Ft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</si>
  <si>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</si>
  <si>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</si>
  <si>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</si>
  <si>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</si>
  <si>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</si>
  <si>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</si>
  <si>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</si>
  <si>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</si>
  <si>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</si>
  <si>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</si>
  <si>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</si>
  <si>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</si>
  <si>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</si>
  <si>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</si>
  <si>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</si>
  <si>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</si>
  <si>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</si>
  <si>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</si>
  <si>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</si>
  <si>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</si>
  <si>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</si>
  <si>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BERUHÁZÁSOK ÉS FELHALMOZÁSI KIADÁSOK</t>
  </si>
  <si>
    <t>M e g n e v e z é s:</t>
  </si>
  <si>
    <t>Előzetesen felszámított általános forgalmi adó</t>
  </si>
  <si>
    <t>BERUHÁZÁSOK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</si>
  <si>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</si>
  <si>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</si>
  <si>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</si>
  <si>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</si>
  <si>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</si>
  <si>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</si>
  <si>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</si>
  <si>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</si>
  <si>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</si>
  <si>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</si>
  <si>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</si>
  <si>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</si>
  <si>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</si>
  <si>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</si>
  <si>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</si>
  <si>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</si>
  <si>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</si>
  <si>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</si>
  <si>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</si>
  <si>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</si>
  <si>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</si>
  <si>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</si>
  <si>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</si>
  <si>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</si>
  <si>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</si>
  <si>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</si>
  <si>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</si>
  <si>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</si>
  <si>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</si>
  <si>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</si>
  <si>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</si>
  <si>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</si>
  <si>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</si>
  <si>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</si>
  <si>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</si>
  <si>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</si>
  <si>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</si>
  <si>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</si>
  <si>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</si>
  <si>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</si>
  <si>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</si>
  <si>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</si>
  <si>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107052</t>
  </si>
  <si>
    <t>Gyermekvédelmi pénzbeni és természetbeni ellátások</t>
  </si>
  <si>
    <t>lakhatáshoz kapcsolódó rendszeres kiadások viseléséhez nyújtható települési támogatás</t>
  </si>
  <si>
    <t>rendkívüli települési támogatás</t>
  </si>
  <si>
    <t>újszülöttek támogatása</t>
  </si>
  <si>
    <t>Rendszeres gyermekvédelmi kedvezményben részesülők részére Erzsébet utalvány</t>
  </si>
  <si>
    <t xml:space="preserve">EURÓPAI UNIÓS TÁMOGATÁSOKBÓL FINANSZÍROZOTT PROJEKTEK FORRÁSÖSSZETÉTELE </t>
  </si>
  <si>
    <t>Sor- szám</t>
  </si>
  <si>
    <t>Projekt  megnevezése</t>
  </si>
  <si>
    <t>támoga- tás mértéke  %</t>
  </si>
  <si>
    <t>saját erőforrás</t>
  </si>
  <si>
    <t>támogatás</t>
  </si>
  <si>
    <t>Mindösszesen</t>
  </si>
  <si>
    <t>saját erő</t>
  </si>
  <si>
    <t>bekerülési költség</t>
  </si>
  <si>
    <t>összesen:</t>
  </si>
  <si>
    <t>2014.</t>
  </si>
  <si>
    <t>2015.</t>
  </si>
  <si>
    <t>Mikrobusz beszerzése (vidéki gazdaság és lakosság számára nyújtott alapszolgáltatások fejlesztése)</t>
  </si>
  <si>
    <t>KÖZVETETT TÁMOGATÁSOK</t>
  </si>
  <si>
    <t>A. helyi adónál biztosított közvetett támogatások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</si>
  <si>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</si>
  <si>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</si>
  <si>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</si>
  <si>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</si>
  <si>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</si>
  <si>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</si>
  <si>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</si>
  <si>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</si>
  <si>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</si>
  <si>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</si>
  <si>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</si>
  <si>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</si>
  <si>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állandó lakás céljára ténylegesen használt ingatlan adóalanya</t>
  </si>
  <si>
    <t>magánsz. kommunális adója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</si>
  <si>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</si>
  <si>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</si>
  <si>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</si>
  <si>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</si>
  <si>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</si>
  <si>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</si>
  <si>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</si>
  <si>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</si>
  <si>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</si>
  <si>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</si>
  <si>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</si>
  <si>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</si>
  <si>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</si>
  <si>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</si>
  <si>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</si>
  <si>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</si>
  <si>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</si>
  <si>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</si>
  <si>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</si>
  <si>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</si>
  <si>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</si>
  <si>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</si>
  <si>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</si>
  <si>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</si>
  <si>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</si>
  <si>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Sitke község Önkormányzata saját bevételeinek, valamint az adósságot keletkeztető ügyleteiből eredő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</si>
  <si>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</si>
  <si>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</si>
  <si>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</si>
  <si>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</si>
  <si>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</si>
  <si>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</si>
  <si>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</si>
  <si>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</si>
  <si>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</si>
  <si>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</si>
  <si>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</si>
  <si>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</si>
  <si>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</si>
  <si>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</si>
  <si>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</si>
  <si>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</si>
  <si>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</si>
  <si>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</si>
  <si>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 xml:space="preserve">vissz visszavásárlási kötelezettség kikötésével megkötött adásvételi szerződés eladói félként történő megkötése avásárlási kötelezettség kikötésével megkötött adásvételi szerződés 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</si>
  <si>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</si>
  <si>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</si>
  <si>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költségvetése</t>
  </si>
  <si>
    <t>Munkahelyi étk.köznev.int. (562920) (Vendég)</t>
  </si>
  <si>
    <t>Áht-n belüli megelőlegezések visszafizetése</t>
  </si>
  <si>
    <t>082092</t>
  </si>
  <si>
    <t>Közművelődés - Hagyományos közösségi, kulturális értékek gondozása</t>
  </si>
  <si>
    <t>082093</t>
  </si>
  <si>
    <t>Közművelődés - Amatőr művészetek</t>
  </si>
  <si>
    <t>Munkahelyi étk.közn. Int.  (562920) ( Vendég)</t>
  </si>
  <si>
    <t>052020</t>
  </si>
  <si>
    <t>Szennyvíz gyűjtése, tisztítása, elhelyezése</t>
  </si>
  <si>
    <t>Közművelődés -Hagyományos közösségi, kulturális értékek gondozása</t>
  </si>
  <si>
    <t>0820093</t>
  </si>
  <si>
    <t>Közművelődés - amatőr művészetek</t>
  </si>
  <si>
    <t xml:space="preserve"> egyéb működési és felhalmozási kiadásai</t>
  </si>
  <si>
    <t>Egyéb gép, berendezés, felszerelés beszerzése</t>
  </si>
  <si>
    <t>Könyvtári infrastruktúra fejlesztés támogatása, eszközbeszerzés</t>
  </si>
  <si>
    <t>Áht-n belüli megelőlegezések viszafizetése</t>
  </si>
  <si>
    <t xml:space="preserve">          Áht-n belüli megelőlegezések visszafizetése</t>
  </si>
  <si>
    <t>-Áht-n belüli megelőlegezések visszafizetése</t>
  </si>
  <si>
    <t>FELÚJÍTÁSI KIADÁSOK</t>
  </si>
  <si>
    <t xml:space="preserve">Összesen: </t>
  </si>
  <si>
    <t>FELÚJÍTÁSOK ÖSSZESEN:</t>
  </si>
  <si>
    <t>költségvetési szerv,társadalmi szervezet</t>
  </si>
  <si>
    <t>Gjt.5.§.a.-b. pont</t>
  </si>
  <si>
    <t>( Ft-ban)</t>
  </si>
  <si>
    <t>2016. évről áthúzódó bérkompenzáció támogatása</t>
  </si>
  <si>
    <t>kiegészítés - I.1. jogcímhez kapcsolódóan</t>
  </si>
  <si>
    <t xml:space="preserve"> Ft</t>
  </si>
  <si>
    <t>sorszám</t>
  </si>
  <si>
    <t>(Ft-ban)</t>
  </si>
  <si>
    <t>018030</t>
  </si>
  <si>
    <t>Támogatási célú finanszírozási műveletek</t>
  </si>
  <si>
    <t>045160</t>
  </si>
  <si>
    <t>Közutak, hidak, alagutak üzemeltetése, fenntartása</t>
  </si>
  <si>
    <t>Egyéb különféle működési bevételek</t>
  </si>
  <si>
    <t>21.</t>
  </si>
  <si>
    <t>22.</t>
  </si>
  <si>
    <t>23.</t>
  </si>
  <si>
    <t>24.</t>
  </si>
  <si>
    <t>25.</t>
  </si>
  <si>
    <t>26.</t>
  </si>
  <si>
    <t>27.</t>
  </si>
  <si>
    <t>Sorszám</t>
  </si>
  <si>
    <t>(  Ft-ban)</t>
  </si>
  <si>
    <t>2020.</t>
  </si>
  <si>
    <t>megelőlegezett állami támogatás igénybevétele</t>
  </si>
  <si>
    <t>1.1.</t>
  </si>
  <si>
    <t>1.1.1.</t>
  </si>
  <si>
    <t>1.1.2.</t>
  </si>
  <si>
    <t>1.2.</t>
  </si>
  <si>
    <t>1.3.</t>
  </si>
  <si>
    <t>1.4.</t>
  </si>
  <si>
    <t>1.5.</t>
  </si>
  <si>
    <t>1.6.</t>
  </si>
  <si>
    <t>1.6.1.</t>
  </si>
  <si>
    <t>1.7.</t>
  </si>
  <si>
    <t>1.7.1.</t>
  </si>
  <si>
    <t>1.7.2.</t>
  </si>
  <si>
    <t>3.1.</t>
  </si>
  <si>
    <t>3.1.1.</t>
  </si>
  <si>
    <t>3.1.2</t>
  </si>
  <si>
    <t>3.1.3.</t>
  </si>
  <si>
    <t>3.1.4.</t>
  </si>
  <si>
    <t>3.2</t>
  </si>
  <si>
    <t>3.2.2.</t>
  </si>
  <si>
    <t>3.2.3</t>
  </si>
  <si>
    <t>4.1.</t>
  </si>
  <si>
    <t>4.2.</t>
  </si>
  <si>
    <t>4.3.</t>
  </si>
  <si>
    <t>3.1.5.</t>
  </si>
  <si>
    <t>3.2.1.</t>
  </si>
  <si>
    <t>28.</t>
  </si>
  <si>
    <t>TÁRGYÉVI KÖLTSÉGVETÉS EGYENLEGE</t>
  </si>
  <si>
    <t>1. Magánszemélyek kommunális adója</t>
  </si>
  <si>
    <t>2016.</t>
  </si>
  <si>
    <t>Egyéb építmény felújítása</t>
  </si>
  <si>
    <t>045160 Közutak, hidak, alagutak üzemeltetése, fenntartása</t>
  </si>
  <si>
    <t>(  Ft-ban )</t>
  </si>
  <si>
    <t xml:space="preserve"> 011130 Önkormányzatok és önk. hivatalok jogalkotó és ált. igaztatási tevékenysége</t>
  </si>
  <si>
    <t xml:space="preserve">       - Általános tartalék</t>
  </si>
  <si>
    <t>3.1.6.</t>
  </si>
  <si>
    <t>2.1.</t>
  </si>
  <si>
    <t>Bursa Hungarica ösztöndíj pályázat  támogatása</t>
  </si>
  <si>
    <t>2018. év</t>
  </si>
  <si>
    <t>2018. 01.01-től</t>
  </si>
  <si>
    <t>2021.</t>
  </si>
  <si>
    <t>Polgármesteri illetmény támogatása</t>
  </si>
  <si>
    <t>A finanszírozás szempontjából elismert dolgozók bértámogatása</t>
  </si>
  <si>
    <t>Gyermekétkeztetés üzemeltetési támogatása</t>
  </si>
  <si>
    <t>Gjt. 6.§.(2) bek.</t>
  </si>
  <si>
    <t>Gjt. 6.§.(4) bek.</t>
  </si>
  <si>
    <t>041233</t>
  </si>
  <si>
    <t>Hosszabb időtartamú közfoglalkoztatás</t>
  </si>
  <si>
    <t>Sitke Község Önkormányzat összesen</t>
  </si>
  <si>
    <t>29.</t>
  </si>
  <si>
    <t>30.</t>
  </si>
  <si>
    <t>Sitke Önkormányzati Konyha összesen:</t>
  </si>
  <si>
    <t>Mindösszesen:</t>
  </si>
  <si>
    <t>Sitke község önkormányzata összesen:</t>
  </si>
  <si>
    <t xml:space="preserve">Szociális étkeztetés </t>
  </si>
  <si>
    <t>Munkahelyi étkeztetés köznevelési int. (vendég)</t>
  </si>
  <si>
    <t>Házi segítség nyújtás ellátására Sárvár Város Önkormányzattal kötött szerződés alapján fizetendő támogatás</t>
  </si>
  <si>
    <t xml:space="preserve">SITKE KÖZSÉG ÖNKORMÁNYZATA  </t>
  </si>
  <si>
    <t>BEVÉTELEINEK KÖLTSÉGVETÉSI SZERVENKÉNTI ALAKULÁSA</t>
  </si>
  <si>
    <t xml:space="preserve"> Ft-ban </t>
  </si>
  <si>
    <t>SORSZÁM</t>
  </si>
  <si>
    <t xml:space="preserve"> bevételek összesen: </t>
  </si>
  <si>
    <t xml:space="preserve"> működési bevételek </t>
  </si>
  <si>
    <t xml:space="preserve"> felhalmozási bevételek </t>
  </si>
  <si>
    <t xml:space="preserve"> finanszírozási bevételek </t>
  </si>
  <si>
    <t xml:space="preserve"> működési támogatások államháztartáson belülről </t>
  </si>
  <si>
    <t xml:space="preserve"> közhatalmi bevételek </t>
  </si>
  <si>
    <t xml:space="preserve"> működési célú átvett pénz-    eszközök </t>
  </si>
  <si>
    <t xml:space="preserve"> működési bevételek összesen </t>
  </si>
  <si>
    <t xml:space="preserve"> felhalmozási támogatások államháztar- táson belülről </t>
  </si>
  <si>
    <t xml:space="preserve"> felhalmozási bevételek összesen </t>
  </si>
  <si>
    <t xml:space="preserve"> előző évi költségvetési  maradvány igénybevétele </t>
  </si>
  <si>
    <t xml:space="preserve"> központi, irányító szervi támogatás </t>
  </si>
  <si>
    <t>Sitke Község Önkormányzata</t>
  </si>
  <si>
    <t>Sitkei önkormányzati Konyha</t>
  </si>
  <si>
    <t>ÖSSZESEN:</t>
  </si>
  <si>
    <t>KÖLTSÉGVETÉSI SZERVEK KÖZPONTI KÖLTSÉGVETÉSI ÉS ÖNKORMÁNYZATI TÁMOGATÁSA</t>
  </si>
  <si>
    <t xml:space="preserve"> (  Ft-ban ) </t>
  </si>
  <si>
    <t>központi költségvetési támogatás</t>
  </si>
  <si>
    <t>önkormányzati támogatás</t>
  </si>
  <si>
    <t xml:space="preserve"> összes támogatás </t>
  </si>
  <si>
    <t xml:space="preserve">  Ft </t>
  </si>
  <si>
    <t>megoszlás    %-a</t>
  </si>
  <si>
    <t>megoszlás %-a</t>
  </si>
  <si>
    <t>Sitkei Önkormányzati Konyha</t>
  </si>
  <si>
    <t>Intézmény megnevezése</t>
  </si>
  <si>
    <t xml:space="preserve"> felhalmozási célú átvett pénzeszk. </t>
  </si>
  <si>
    <t>052080 Szennyvízcsatorna építése, fenntartása, üzemeltetése</t>
  </si>
  <si>
    <t>1.2.1.</t>
  </si>
  <si>
    <t>Szennyvíztisztítő felújítás (gördülő fejtesztési terv alapján)</t>
  </si>
  <si>
    <t xml:space="preserve"> előirányzat     (  Ft)</t>
  </si>
  <si>
    <t xml:space="preserve"> - egyéb működési célú támogatások </t>
  </si>
  <si>
    <t>előző év költségvetési maradvány igénybevétele áthúzódó feladatokra</t>
  </si>
  <si>
    <t xml:space="preserve">Áht-n belüli megelőlegezések </t>
  </si>
  <si>
    <t xml:space="preserve">2019. évi </t>
  </si>
  <si>
    <t>2019. évre</t>
  </si>
  <si>
    <t>26..</t>
  </si>
  <si>
    <t>31.</t>
  </si>
  <si>
    <t>2019. év</t>
  </si>
  <si>
    <t>2019.év</t>
  </si>
  <si>
    <t>066020 Város - és községgazdálkodási egyéb szolgáltatások</t>
  </si>
  <si>
    <t>Műfüves pálya létesítéséhez önerő</t>
  </si>
  <si>
    <t>(2018. december 31-i állapot szerint)</t>
  </si>
  <si>
    <t>2015-2019. év</t>
  </si>
  <si>
    <t>2020-2022. év</t>
  </si>
  <si>
    <t>2022.</t>
  </si>
  <si>
    <t>felhalmozási célú visszatérítendő támogatások államháztartáson kívülről</t>
  </si>
  <si>
    <t>2018.ÉVBEN MEGELŐLEGEZETT ÁLLAMI TÁMOGATÁS</t>
  </si>
  <si>
    <t xml:space="preserve">2. </t>
  </si>
  <si>
    <t>Felhalmozási célú egyéb átvett pénzeszközök (Kápolnáért Kultúrális és Sport Egyesület támogatása ( műfüves pálya önrészéhez)</t>
  </si>
  <si>
    <t>ELŐZŐ ÉVEK KÖLTSÉGVETÉSI MARADVÁNY IGÉNYBEVÉTELE 2018. ÉVRŐL ÁTHÚZÓDÓ FELADATOKRA</t>
  </si>
  <si>
    <t>2019.évre</t>
  </si>
  <si>
    <t>Hímzőszakkör támogatása (2018-2019.)</t>
  </si>
  <si>
    <t>Nyugdíjas Klub ( előző évről 130.000 Ft)</t>
  </si>
  <si>
    <t>Arany János tehetséggondozó programban résztvevő támogatása</t>
  </si>
  <si>
    <t>TARTALÉKOK</t>
  </si>
  <si>
    <t>Hegyalja utca felújítása ( 2018. évben megvalósult)</t>
  </si>
  <si>
    <t>időskorúak támogatása</t>
  </si>
  <si>
    <t>Rendszeres gyermekvédelmi kedvezményben részesülők  támogatása</t>
  </si>
  <si>
    <t>9. melléklet a 2/2019.(II.12.) sz. önkormányzati rendelethez</t>
  </si>
  <si>
    <t>12. melléklet a 2/2019. (II.12.) önkormányzati rendelethez</t>
  </si>
  <si>
    <t>13. melléklet a 2/2019. (II.12.) önkormányzati rendelethez</t>
  </si>
  <si>
    <t>14. melléklet  a  2/2019. (II.12.) önkormányzati rendelethez</t>
  </si>
  <si>
    <t>15. melléklet  a  2/2019. (II.12.) önkormányzati rendelethez</t>
  </si>
  <si>
    <t>16. melléklet  a  2/2019. (II.12.) önkormányzati rendelethez</t>
  </si>
  <si>
    <t xml:space="preserve"> 18. melléklet a 2/2019.(II.12.) önkormányzati rendelethez </t>
  </si>
  <si>
    <t xml:space="preserve">ELŐZŐ ÉVEK KÖLTSÉGVETÉSI MARADVÁNY IGÉNYBEVÉTELE </t>
  </si>
  <si>
    <t>előző év költségvetési maradvány igénybevétele</t>
  </si>
  <si>
    <t xml:space="preserve">3. </t>
  </si>
  <si>
    <t>Közfoglalkoztatottak támogatása</t>
  </si>
  <si>
    <t>2018. évi állami támogatások elszámolás utáni visszafizetési kötelezettség</t>
  </si>
  <si>
    <t>Első lakáshoz jutók lakásépítésének és -vásárlásnak viszzatérítendő támogatása</t>
  </si>
  <si>
    <t>5.1.</t>
  </si>
  <si>
    <t>Emléktábla készítése szoborra</t>
  </si>
  <si>
    <t>082044 Könyvtári szolgáltatások</t>
  </si>
  <si>
    <t xml:space="preserve"> 013350 Önkormányzati vagyonnal való gazdálkodással kapcsolatos feladatok</t>
  </si>
  <si>
    <t>felhalmozási célú támogatások államháztartáson belülről</t>
  </si>
  <si>
    <t xml:space="preserve">7. melléklet a 2/2019. (II.12.) önkormányzati rendelethez </t>
  </si>
  <si>
    <t>Magyar Falu Program Orvosi műszerek beszerzése</t>
  </si>
  <si>
    <t>Vis major támogatás</t>
  </si>
  <si>
    <t>Működési célú költségvetési és kiegészítő támogatás összesen:</t>
  </si>
  <si>
    <t>Szociális célú tűzifavásárlás támogatása</t>
  </si>
  <si>
    <t xml:space="preserve">1. </t>
  </si>
  <si>
    <t>Működési célú költségvetési és kiegészítő támogatás</t>
  </si>
  <si>
    <t>Sághegy Leader tagdíj (2018 és 2019. évi)</t>
  </si>
  <si>
    <t>6.2.</t>
  </si>
  <si>
    <t>Orvosi eszközök beszerzése</t>
  </si>
  <si>
    <t>6.1.</t>
  </si>
  <si>
    <t>072111 Háziorvosi szolgálat</t>
  </si>
  <si>
    <t>Telek visszavásárlása</t>
  </si>
  <si>
    <t>Felújítási célú előzetesen felszámított le nem vonható általános forgalmi adó</t>
  </si>
  <si>
    <t>1.2.3.</t>
  </si>
  <si>
    <t>Szennyvíztisztítő felújítás (oxigén szonda cseréje)</t>
  </si>
  <si>
    <t>1.1.1</t>
  </si>
  <si>
    <t>Sor -szám</t>
  </si>
  <si>
    <t>10. melléklet a 2/2019. (II.12.) önkormányzati rendelethez</t>
  </si>
  <si>
    <t>11. melléklet a 2/2019. (II.12.) önkormányzati rendelethez</t>
  </si>
  <si>
    <t>Magyar Falu Program Óvoda felújítása, bővítése</t>
  </si>
  <si>
    <t>Magyar Falu Program Óvoda udvar felújítása</t>
  </si>
  <si>
    <t>Önkormányzatok feladatellátást szolgáló fejlesztések támogatása</t>
  </si>
  <si>
    <t>4. Vas Megyei Közgűlés Elnöki támogatása</t>
  </si>
  <si>
    <t>3. Nyári diákmunka támogatás</t>
  </si>
  <si>
    <t>Petanque Szakosztály támogatása</t>
  </si>
  <si>
    <t>Óvoda bővítés eszközbeszerzés</t>
  </si>
  <si>
    <t>1.2.4.</t>
  </si>
  <si>
    <t>2.2.2.</t>
  </si>
  <si>
    <t>Óvodafejlesztés,bővítés</t>
  </si>
  <si>
    <t>Óvoda udvar felújítása</t>
  </si>
  <si>
    <t>066020 Város és községgazdálkodás</t>
  </si>
  <si>
    <t>1.1.6.</t>
  </si>
  <si>
    <t>Kertészker utca burkolatának felújítás önrésze</t>
  </si>
  <si>
    <t>1.1.5</t>
  </si>
  <si>
    <t>1.1.4.</t>
  </si>
  <si>
    <t>Kertészker utca burkolatának felújítása</t>
  </si>
  <si>
    <t>1.1.3.</t>
  </si>
  <si>
    <t xml:space="preserve"> 17. melléklet a 2/2019. (II.12.) önkormányzati rendelethez hez </t>
  </si>
  <si>
    <t>8. melléklet a 2/2019.(II.12.) sz. önkormányzati rendelethez</t>
  </si>
  <si>
    <t>6. melléklet a 2/2019.(II.12.) sz. önkormányzati rendelethez</t>
  </si>
  <si>
    <t>5. melléklet a 2/2019.(II.12.) sz. önkormányzati rendelethez</t>
  </si>
  <si>
    <t>4. melléklet a 2/2019.(II.12.) sz. önkormányzati rendelethez</t>
  </si>
  <si>
    <t>3. melléklet a 2/2019.(II.12.) sz. önkormányzati rendelethez</t>
  </si>
  <si>
    <t>2. melléklet a 2/2019.(II.12.) sz. önkormányzati rendelethezz</t>
  </si>
  <si>
    <t>1. melléklet a 2/2019.(II.12.) sz.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</si>
</sst>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#,##0;[Red]#,##0"/>
    <numFmt numFmtId="179" formatCode="#,##0.0"/>
    <numFmt numFmtId="180" formatCode="[$¥€-2]\ #\ ##,000_);[Red]\([$€-2]\ #\ ##,000\)"/>
  </numFmts>
  <fonts count="75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9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thick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1" borderId="7" applyNumberFormat="0" applyFont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7" fillId="28" borderId="0" applyNumberFormat="0" applyBorder="0" applyAlignment="0" applyProtection="0"/>
    <xf numFmtId="0" fontId="68" fillId="29" borderId="8" applyNumberFormat="0" applyAlignment="0" applyProtection="0"/>
    <xf numFmtId="0" fontId="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72" fillId="31" borderId="0" applyNumberFormat="0" applyBorder="0" applyAlignment="0" applyProtection="0"/>
    <xf numFmtId="0" fontId="73" fillId="29" borderId="1" applyNumberFormat="0" applyAlignment="0" applyProtection="0"/>
    <xf numFmtId="9" fontId="0" fillId="0" borderId="0" applyFont="0" applyFill="0" applyBorder="0" applyAlignment="0" applyProtection="0"/>
  </cellStyleXfs>
  <cellXfs count="828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8" applyFont="1">
      <alignment/>
      <protection/>
    </xf>
    <xf numFmtId="0" fontId="6" fillId="0" borderId="0" xfId="58" applyFont="1">
      <alignment/>
      <protection/>
    </xf>
    <xf numFmtId="0" fontId="4" fillId="0" borderId="0" xfId="61" applyFont="1">
      <alignment/>
      <protection/>
    </xf>
    <xf numFmtId="0" fontId="11" fillId="0" borderId="0" xfId="0" applyFont="1" applyAlignment="1">
      <alignment/>
    </xf>
    <xf numFmtId="0" fontId="12" fillId="0" borderId="0" xfId="60" applyFont="1">
      <alignment/>
      <protection/>
    </xf>
    <xf numFmtId="0" fontId="12" fillId="0" borderId="0" xfId="61" applyFont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57" applyFont="1">
      <alignment/>
      <protection/>
    </xf>
    <xf numFmtId="0" fontId="4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6" fillId="0" borderId="0" xfId="57" applyFont="1">
      <alignment/>
      <protection/>
    </xf>
    <xf numFmtId="0" fontId="14" fillId="0" borderId="0" xfId="57" applyFont="1" applyAlignment="1">
      <alignment/>
      <protection/>
    </xf>
    <xf numFmtId="41" fontId="6" fillId="0" borderId="0" xfId="57" applyNumberFormat="1" applyFont="1" applyAlignment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0" fontId="15" fillId="0" borderId="0" xfId="57" applyFont="1" applyAlignment="1">
      <alignment/>
      <protection/>
    </xf>
    <xf numFmtId="41" fontId="10" fillId="0" borderId="0" xfId="57" applyNumberFormat="1" applyFont="1" applyAlignment="1">
      <alignment horizontal="centerContinuous"/>
      <protection/>
    </xf>
    <xf numFmtId="0" fontId="11" fillId="0" borderId="0" xfId="57" applyFont="1">
      <alignment/>
      <protection/>
    </xf>
    <xf numFmtId="0" fontId="12" fillId="0" borderId="0" xfId="57" applyFont="1" applyAlignment="1">
      <alignment horizontal="right"/>
      <protection/>
    </xf>
    <xf numFmtId="41" fontId="13" fillId="0" borderId="0" xfId="57" applyNumberFormat="1" applyFont="1">
      <alignment/>
      <protection/>
    </xf>
    <xf numFmtId="41" fontId="6" fillId="0" borderId="0" xfId="57" applyNumberFormat="1" applyFont="1">
      <alignment/>
      <protection/>
    </xf>
    <xf numFmtId="0" fontId="11" fillId="0" borderId="0" xfId="60" applyFont="1">
      <alignment/>
      <protection/>
    </xf>
    <xf numFmtId="0" fontId="10" fillId="0" borderId="0" xfId="60" applyFont="1" applyAlignment="1">
      <alignment horizontal="center"/>
      <protection/>
    </xf>
    <xf numFmtId="0" fontId="11" fillId="0" borderId="0" xfId="60" applyFont="1" applyAlignment="1">
      <alignment horizontal="center"/>
      <protection/>
    </xf>
    <xf numFmtId="0" fontId="10" fillId="0" borderId="10" xfId="60" applyFont="1" applyBorder="1" applyAlignment="1">
      <alignment horizontal="center"/>
      <protection/>
    </xf>
    <xf numFmtId="0" fontId="10" fillId="0" borderId="11" xfId="60" applyFont="1" applyBorder="1" applyAlignment="1">
      <alignment horizontal="center"/>
      <protection/>
    </xf>
    <xf numFmtId="0" fontId="10" fillId="0" borderId="12" xfId="60" applyFont="1" applyBorder="1" applyAlignment="1">
      <alignment horizontal="center"/>
      <protection/>
    </xf>
    <xf numFmtId="0" fontId="11" fillId="0" borderId="13" xfId="60" applyFont="1" applyBorder="1">
      <alignment/>
      <protection/>
    </xf>
    <xf numFmtId="0" fontId="10" fillId="0" borderId="14" xfId="60" applyFont="1" applyBorder="1" applyAlignment="1">
      <alignment horizontal="center"/>
      <protection/>
    </xf>
    <xf numFmtId="0" fontId="10" fillId="0" borderId="15" xfId="60" applyFont="1" applyBorder="1" applyAlignment="1">
      <alignment horizontal="center"/>
      <protection/>
    </xf>
    <xf numFmtId="0" fontId="10" fillId="0" borderId="0" xfId="60" applyFont="1">
      <alignment/>
      <protection/>
    </xf>
    <xf numFmtId="0" fontId="16" fillId="0" borderId="0" xfId="60" applyFont="1">
      <alignment/>
      <protection/>
    </xf>
    <xf numFmtId="0" fontId="17" fillId="0" borderId="0" xfId="60" applyFont="1">
      <alignment/>
      <protection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58" applyFont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14" fontId="6" fillId="0" borderId="0" xfId="0" applyNumberFormat="1" applyFont="1" applyAlignment="1">
      <alignment/>
    </xf>
    <xf numFmtId="0" fontId="12" fillId="0" borderId="0" xfId="58" applyFont="1" applyAlignment="1">
      <alignment horizontal="center"/>
      <protection/>
    </xf>
    <xf numFmtId="0" fontId="6" fillId="0" borderId="0" xfId="58" applyFont="1" applyAlignment="1">
      <alignment/>
      <protection/>
    </xf>
    <xf numFmtId="0" fontId="12" fillId="0" borderId="0" xfId="58" applyFont="1" applyAlignment="1">
      <alignment/>
      <protection/>
    </xf>
    <xf numFmtId="0" fontId="12" fillId="0" borderId="0" xfId="58" applyFont="1" applyAlignment="1">
      <alignment horizontal="left"/>
      <protection/>
    </xf>
    <xf numFmtId="0" fontId="12" fillId="0" borderId="16" xfId="58" applyFont="1" applyBorder="1" applyAlignment="1">
      <alignment horizontal="left"/>
      <protection/>
    </xf>
    <xf numFmtId="0" fontId="12" fillId="0" borderId="16" xfId="58" applyFont="1" applyBorder="1" applyAlignment="1">
      <alignment horizontal="center"/>
      <protection/>
    </xf>
    <xf numFmtId="0" fontId="12" fillId="0" borderId="11" xfId="58" applyFont="1" applyBorder="1" applyAlignment="1">
      <alignment horizontal="center"/>
      <protection/>
    </xf>
    <xf numFmtId="0" fontId="12" fillId="0" borderId="13" xfId="58" applyFont="1" applyBorder="1" applyAlignment="1">
      <alignment horizontal="center"/>
      <protection/>
    </xf>
    <xf numFmtId="0" fontId="12" fillId="0" borderId="15" xfId="58" applyFont="1" applyBorder="1" applyAlignment="1">
      <alignment horizontal="center"/>
      <protection/>
    </xf>
    <xf numFmtId="0" fontId="21" fillId="0" borderId="0" xfId="58" applyFont="1">
      <alignment/>
      <protection/>
    </xf>
    <xf numFmtId="0" fontId="10" fillId="0" borderId="0" xfId="58" applyFont="1" applyAlignment="1">
      <alignment/>
      <protection/>
    </xf>
    <xf numFmtId="0" fontId="7" fillId="0" borderId="0" xfId="58" applyFont="1" applyAlignment="1">
      <alignment horizontal="centerContinuous"/>
      <protection/>
    </xf>
    <xf numFmtId="0" fontId="7" fillId="0" borderId="0" xfId="58" applyFont="1" applyAlignment="1">
      <alignment horizontal="center"/>
      <protection/>
    </xf>
    <xf numFmtId="0" fontId="4" fillId="0" borderId="17" xfId="58" applyFont="1" applyBorder="1" applyAlignment="1">
      <alignment/>
      <protection/>
    </xf>
    <xf numFmtId="0" fontId="4" fillId="0" borderId="18" xfId="58" applyFont="1" applyBorder="1" applyAlignment="1">
      <alignment horizontal="center"/>
      <protection/>
    </xf>
    <xf numFmtId="0" fontId="4" fillId="0" borderId="0" xfId="58" applyFont="1">
      <alignment/>
      <protection/>
    </xf>
    <xf numFmtId="0" fontId="4" fillId="0" borderId="19" xfId="58" applyFont="1" applyBorder="1">
      <alignment/>
      <protection/>
    </xf>
    <xf numFmtId="0" fontId="4" fillId="0" borderId="12" xfId="58" applyFont="1" applyBorder="1" applyAlignment="1">
      <alignment horizontal="center"/>
      <protection/>
    </xf>
    <xf numFmtId="0" fontId="4" fillId="0" borderId="20" xfId="58" applyFont="1" applyBorder="1">
      <alignment/>
      <protection/>
    </xf>
    <xf numFmtId="0" fontId="4" fillId="0" borderId="14" xfId="58" applyFont="1" applyBorder="1" applyAlignment="1">
      <alignment horizontal="center"/>
      <protection/>
    </xf>
    <xf numFmtId="0" fontId="4" fillId="0" borderId="21" xfId="58" applyFont="1" applyBorder="1" applyAlignment="1">
      <alignment horizontal="left" vertical="center" wrapText="1"/>
      <protection/>
    </xf>
    <xf numFmtId="0" fontId="4" fillId="0" borderId="21" xfId="58" applyFont="1" applyBorder="1" applyAlignment="1">
      <alignment horizontal="left"/>
      <protection/>
    </xf>
    <xf numFmtId="0" fontId="4" fillId="0" borderId="22" xfId="58" applyFont="1" applyBorder="1">
      <alignment/>
      <protection/>
    </xf>
    <xf numFmtId="0" fontId="7" fillId="0" borderId="23" xfId="58" applyFont="1" applyBorder="1" applyAlignment="1">
      <alignment horizontal="right"/>
      <protection/>
    </xf>
    <xf numFmtId="0" fontId="7" fillId="0" borderId="24" xfId="58" applyFont="1" applyBorder="1" applyAlignment="1">
      <alignment horizontal="left"/>
      <protection/>
    </xf>
    <xf numFmtId="168" fontId="7" fillId="0" borderId="24" xfId="40" applyNumberFormat="1" applyFont="1" applyBorder="1" applyAlignment="1">
      <alignment horizontal="right"/>
    </xf>
    <xf numFmtId="168" fontId="7" fillId="0" borderId="25" xfId="40" applyNumberFormat="1" applyFont="1" applyBorder="1" applyAlignment="1">
      <alignment horizontal="right"/>
    </xf>
    <xf numFmtId="168" fontId="7" fillId="0" borderId="0" xfId="58" applyNumberFormat="1" applyFont="1">
      <alignment/>
      <protection/>
    </xf>
    <xf numFmtId="0" fontId="7" fillId="0" borderId="0" xfId="58" applyFont="1">
      <alignment/>
      <protection/>
    </xf>
    <xf numFmtId="0" fontId="7" fillId="0" borderId="0" xfId="58" applyFont="1" applyBorder="1" applyAlignment="1">
      <alignment horizontal="center"/>
      <protection/>
    </xf>
    <xf numFmtId="0" fontId="7" fillId="0" borderId="0" xfId="58" applyFont="1" applyBorder="1">
      <alignment/>
      <protection/>
    </xf>
    <xf numFmtId="168" fontId="7" fillId="0" borderId="0" xfId="40" applyNumberFormat="1" applyFont="1" applyBorder="1" applyAlignment="1">
      <alignment horizontal="center" vertical="center"/>
    </xf>
    <xf numFmtId="0" fontId="12" fillId="0" borderId="0" xfId="57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58" applyNumberFormat="1" applyFont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2" fillId="0" borderId="0" xfId="58" applyFont="1" applyBorder="1" applyAlignment="1">
      <alignment horizontal="center" vertical="center"/>
      <protection/>
    </xf>
    <xf numFmtId="0" fontId="12" fillId="0" borderId="0" xfId="0" applyFont="1" applyAlignment="1">
      <alignment horizontal="left" wrapText="1"/>
    </xf>
    <xf numFmtId="0" fontId="12" fillId="0" borderId="0" xfId="58" applyFont="1" applyBorder="1" applyAlignment="1">
      <alignment horizontal="left" vertical="center"/>
      <protection/>
    </xf>
    <xf numFmtId="168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 wrapText="1"/>
    </xf>
    <xf numFmtId="168" fontId="7" fillId="0" borderId="0" xfId="0" applyNumberFormat="1" applyFont="1" applyAlignment="1">
      <alignment/>
    </xf>
    <xf numFmtId="0" fontId="12" fillId="0" borderId="0" xfId="60" applyFont="1">
      <alignment/>
      <protection/>
    </xf>
    <xf numFmtId="0" fontId="10" fillId="0" borderId="0" xfId="61" applyFont="1" applyAlignment="1">
      <alignment horizontal="center"/>
      <protection/>
    </xf>
    <xf numFmtId="0" fontId="11" fillId="0" borderId="0" xfId="61" applyFont="1">
      <alignment/>
      <protection/>
    </xf>
    <xf numFmtId="0" fontId="11" fillId="0" borderId="0" xfId="58" applyFont="1">
      <alignment/>
      <protection/>
    </xf>
    <xf numFmtId="0" fontId="11" fillId="0" borderId="26" xfId="60" applyFont="1" applyBorder="1" applyAlignment="1">
      <alignment horizontal="left" wrapText="1"/>
      <protection/>
    </xf>
    <xf numFmtId="0" fontId="11" fillId="0" borderId="27" xfId="60" applyFont="1" applyBorder="1" applyAlignment="1" quotePrefix="1">
      <alignment horizontal="center" vertical="center" wrapText="1"/>
      <protection/>
    </xf>
    <xf numFmtId="0" fontId="11" fillId="0" borderId="28" xfId="61" applyFont="1" applyBorder="1">
      <alignment/>
      <protection/>
    </xf>
    <xf numFmtId="0" fontId="11" fillId="0" borderId="26" xfId="61" applyFont="1" applyBorder="1">
      <alignment/>
      <protection/>
    </xf>
    <xf numFmtId="0" fontId="11" fillId="0" borderId="29" xfId="60" applyFont="1" applyBorder="1" applyAlignment="1">
      <alignment horizontal="right"/>
      <protection/>
    </xf>
    <xf numFmtId="0" fontId="12" fillId="0" borderId="0" xfId="58" applyFont="1">
      <alignment/>
      <protection/>
    </xf>
    <xf numFmtId="0" fontId="18" fillId="0" borderId="0" xfId="58" applyFont="1">
      <alignment/>
      <protection/>
    </xf>
    <xf numFmtId="0" fontId="18" fillId="0" borderId="0" xfId="0" applyFont="1" applyAlignment="1">
      <alignment/>
    </xf>
    <xf numFmtId="0" fontId="6" fillId="0" borderId="11" xfId="58" applyFont="1" applyBorder="1" applyAlignment="1">
      <alignment horizontal="center"/>
      <protection/>
    </xf>
    <xf numFmtId="0" fontId="6" fillId="0" borderId="13" xfId="58" applyFont="1" applyBorder="1">
      <alignment/>
      <protection/>
    </xf>
    <xf numFmtId="0" fontId="6" fillId="0" borderId="13" xfId="58" applyFont="1" applyBorder="1" applyAlignment="1">
      <alignment horizontal="center"/>
      <protection/>
    </xf>
    <xf numFmtId="0" fontId="6" fillId="0" borderId="15" xfId="58" applyFont="1" applyBorder="1">
      <alignment/>
      <protection/>
    </xf>
    <xf numFmtId="0" fontId="12" fillId="0" borderId="0" xfId="58" applyFont="1" applyAlignment="1">
      <alignment horizontal="right"/>
      <protection/>
    </xf>
    <xf numFmtId="0" fontId="6" fillId="0" borderId="11" xfId="58" applyFont="1" applyBorder="1" applyAlignment="1">
      <alignment/>
      <protection/>
    </xf>
    <xf numFmtId="0" fontId="6" fillId="0" borderId="15" xfId="58" applyFont="1" applyBorder="1" applyAlignment="1">
      <alignment horizontal="center"/>
      <protection/>
    </xf>
    <xf numFmtId="0" fontId="12" fillId="0" borderId="0" xfId="58" applyFont="1" applyBorder="1" applyAlignment="1">
      <alignment horizontal="right"/>
      <protection/>
    </xf>
    <xf numFmtId="0" fontId="12" fillId="0" borderId="0" xfId="58" applyFont="1" applyBorder="1" applyAlignment="1">
      <alignment/>
      <protection/>
    </xf>
    <xf numFmtId="0" fontId="12" fillId="0" borderId="0" xfId="58" applyFont="1" applyBorder="1" applyAlignment="1">
      <alignment wrapText="1"/>
      <protection/>
    </xf>
    <xf numFmtId="0" fontId="12" fillId="0" borderId="29" xfId="58" applyFont="1" applyBorder="1" applyAlignment="1">
      <alignment horizontal="right"/>
      <protection/>
    </xf>
    <xf numFmtId="0" fontId="12" fillId="0" borderId="29" xfId="58" applyFont="1" applyBorder="1" applyAlignment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168" fontId="6" fillId="0" borderId="0" xfId="58" applyNumberFormat="1" applyFont="1">
      <alignment/>
      <protection/>
    </xf>
    <xf numFmtId="0" fontId="6" fillId="0" borderId="30" xfId="58" applyFont="1" applyBorder="1" applyAlignment="1">
      <alignment horizontal="right"/>
      <protection/>
    </xf>
    <xf numFmtId="0" fontId="6" fillId="0" borderId="30" xfId="58" applyFont="1" applyBorder="1">
      <alignment/>
      <protection/>
    </xf>
    <xf numFmtId="0" fontId="6" fillId="0" borderId="0" xfId="58" applyFont="1" applyBorder="1" applyAlignment="1">
      <alignment horizontal="right"/>
      <protection/>
    </xf>
    <xf numFmtId="0" fontId="6" fillId="0" borderId="0" xfId="58" applyFont="1" applyBorder="1">
      <alignment/>
      <protection/>
    </xf>
    <xf numFmtId="0" fontId="12" fillId="0" borderId="0" xfId="59" applyFont="1">
      <alignment/>
      <protection/>
    </xf>
    <xf numFmtId="0" fontId="6" fillId="0" borderId="0" xfId="59" applyFont="1" applyBorder="1" applyAlignment="1">
      <alignment horizontal="center"/>
      <protection/>
    </xf>
    <xf numFmtId="0" fontId="25" fillId="0" borderId="29" xfId="0" applyFont="1" applyBorder="1" applyAlignment="1">
      <alignment/>
    </xf>
    <xf numFmtId="0" fontId="6" fillId="0" borderId="0" xfId="59" applyFont="1">
      <alignment/>
      <protection/>
    </xf>
    <xf numFmtId="0" fontId="6" fillId="0" borderId="30" xfId="59" applyFont="1" applyBorder="1" applyAlignment="1">
      <alignment horizontal="right"/>
      <protection/>
    </xf>
    <xf numFmtId="168" fontId="6" fillId="0" borderId="0" xfId="59" applyNumberFormat="1" applyFont="1">
      <alignment/>
      <protection/>
    </xf>
    <xf numFmtId="0" fontId="12" fillId="0" borderId="0" xfId="59" applyFont="1" applyBorder="1" applyAlignment="1">
      <alignment horizontal="center" vertical="center"/>
      <protection/>
    </xf>
    <xf numFmtId="0" fontId="11" fillId="0" borderId="0" xfId="60" applyFont="1" applyAlignment="1">
      <alignment horizontal="left" wrapText="1"/>
      <protection/>
    </xf>
    <xf numFmtId="14" fontId="4" fillId="0" borderId="0" xfId="0" applyNumberFormat="1" applyFont="1" applyAlignment="1">
      <alignment/>
    </xf>
    <xf numFmtId="0" fontId="23" fillId="0" borderId="30" xfId="58" applyFont="1" applyBorder="1" applyAlignment="1">
      <alignment horizontal="center"/>
      <protection/>
    </xf>
    <xf numFmtId="0" fontId="7" fillId="0" borderId="30" xfId="58" applyFont="1" applyBorder="1" applyAlignment="1">
      <alignment horizontal="center"/>
      <protection/>
    </xf>
    <xf numFmtId="0" fontId="26" fillId="0" borderId="0" xfId="58" applyFont="1">
      <alignment/>
      <protection/>
    </xf>
    <xf numFmtId="0" fontId="26" fillId="0" borderId="0" xfId="58" applyFont="1" applyAlignment="1">
      <alignment horizontal="center"/>
      <protection/>
    </xf>
    <xf numFmtId="0" fontId="11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23" fillId="0" borderId="0" xfId="58" applyFont="1" applyAlignment="1">
      <alignment horizontal="center"/>
      <protection/>
    </xf>
    <xf numFmtId="0" fontId="4" fillId="0" borderId="0" xfId="0" applyFont="1" applyAlignment="1">
      <alignment/>
    </xf>
    <xf numFmtId="0" fontId="11" fillId="0" borderId="0" xfId="60" applyFont="1" applyBorder="1" applyAlignment="1">
      <alignment horizontal="left" wrapText="1"/>
      <protection/>
    </xf>
    <xf numFmtId="0" fontId="4" fillId="0" borderId="30" xfId="0" applyFont="1" applyBorder="1" applyAlignment="1">
      <alignment/>
    </xf>
    <xf numFmtId="0" fontId="10" fillId="0" borderId="30" xfId="60" applyFont="1" applyBorder="1">
      <alignment/>
      <protection/>
    </xf>
    <xf numFmtId="0" fontId="22" fillId="0" borderId="0" xfId="60" applyFont="1">
      <alignment/>
      <protection/>
    </xf>
    <xf numFmtId="0" fontId="6" fillId="0" borderId="0" xfId="61" applyFont="1" applyAlignment="1">
      <alignment horizontal="centerContinuous"/>
      <protection/>
    </xf>
    <xf numFmtId="0" fontId="28" fillId="0" borderId="0" xfId="61" applyFont="1">
      <alignment/>
      <protection/>
    </xf>
    <xf numFmtId="0" fontId="6" fillId="0" borderId="11" xfId="61" applyFont="1" applyBorder="1">
      <alignment/>
      <protection/>
    </xf>
    <xf numFmtId="0" fontId="6" fillId="0" borderId="11" xfId="61" applyFont="1" applyBorder="1" applyAlignment="1">
      <alignment horizont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5" xfId="61" applyFont="1" applyBorder="1">
      <alignment/>
      <protection/>
    </xf>
    <xf numFmtId="0" fontId="6" fillId="0" borderId="15" xfId="61" applyFont="1" applyBorder="1" applyAlignment="1">
      <alignment horizontal="center"/>
      <protection/>
    </xf>
    <xf numFmtId="0" fontId="6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0" fontId="6" fillId="0" borderId="0" xfId="61" applyFont="1" applyBorder="1" applyAlignment="1">
      <alignment horizontal="right"/>
      <protection/>
    </xf>
    <xf numFmtId="0" fontId="12" fillId="0" borderId="0" xfId="61" applyFont="1" applyBorder="1">
      <alignment/>
      <protection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wrapText="1"/>
    </xf>
    <xf numFmtId="0" fontId="12" fillId="0" borderId="29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6" fillId="0" borderId="30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30" xfId="0" applyFont="1" applyBorder="1" applyAlignment="1">
      <alignment/>
    </xf>
    <xf numFmtId="0" fontId="6" fillId="0" borderId="34" xfId="0" applyFont="1" applyBorder="1" applyAlignment="1">
      <alignment/>
    </xf>
    <xf numFmtId="0" fontId="12" fillId="0" borderId="29" xfId="0" applyFont="1" applyBorder="1" applyAlignment="1">
      <alignment horizontal="left" wrapText="1"/>
    </xf>
    <xf numFmtId="168" fontId="1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1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31" fillId="0" borderId="0" xfId="40" applyNumberFormat="1" applyFont="1" applyAlignment="1">
      <alignment/>
    </xf>
    <xf numFmtId="0" fontId="12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32" fillId="0" borderId="0" xfId="40" applyNumberFormat="1" applyFont="1" applyAlignment="1">
      <alignment horizontal="center"/>
    </xf>
    <xf numFmtId="0" fontId="20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57" applyFont="1" applyAlignment="1">
      <alignment horizontal="center"/>
      <protection/>
    </xf>
    <xf numFmtId="0" fontId="12" fillId="0" borderId="0" xfId="57" applyFont="1" applyAlignment="1">
      <alignment horizontal="centerContinuous"/>
      <protection/>
    </xf>
    <xf numFmtId="0" fontId="6" fillId="0" borderId="11" xfId="57" applyFont="1" applyBorder="1" applyAlignment="1">
      <alignment horizontal="centerContinuous"/>
      <protection/>
    </xf>
    <xf numFmtId="0" fontId="6" fillId="0" borderId="13" xfId="57" applyFont="1" applyBorder="1" applyAlignment="1">
      <alignment horizontal="centerContinuous"/>
      <protection/>
    </xf>
    <xf numFmtId="0" fontId="6" fillId="0" borderId="30" xfId="57" applyFont="1" applyBorder="1" applyAlignment="1">
      <alignment horizontal="center"/>
      <protection/>
    </xf>
    <xf numFmtId="0" fontId="6" fillId="0" borderId="15" xfId="57" applyFont="1" applyBorder="1" applyAlignment="1">
      <alignment horizontal="centerContinuous"/>
      <protection/>
    </xf>
    <xf numFmtId="41" fontId="12" fillId="0" borderId="0" xfId="57" applyNumberFormat="1" applyFont="1">
      <alignment/>
      <protection/>
    </xf>
    <xf numFmtId="41" fontId="12" fillId="0" borderId="0" xfId="57" applyNumberFormat="1" applyFont="1" applyBorder="1" applyAlignment="1">
      <alignment horizontal="center"/>
      <protection/>
    </xf>
    <xf numFmtId="41" fontId="12" fillId="0" borderId="0" xfId="57" applyNumberFormat="1" applyFont="1" applyBorder="1">
      <alignment/>
      <protection/>
    </xf>
    <xf numFmtId="41" fontId="33" fillId="0" borderId="35" xfId="57" applyNumberFormat="1" applyFont="1" applyBorder="1" applyAlignment="1">
      <alignment horizontal="centerContinuous"/>
      <protection/>
    </xf>
    <xf numFmtId="0" fontId="21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/>
      <protection/>
    </xf>
    <xf numFmtId="41" fontId="21" fillId="0" borderId="0" xfId="57" applyNumberFormat="1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5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/>
      <protection/>
    </xf>
    <xf numFmtId="41" fontId="5" fillId="0" borderId="0" xfId="57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wrapText="1"/>
      <protection/>
    </xf>
    <xf numFmtId="41" fontId="12" fillId="0" borderId="35" xfId="57" applyNumberFormat="1" applyFont="1" applyBorder="1">
      <alignment/>
      <protection/>
    </xf>
    <xf numFmtId="0" fontId="21" fillId="0" borderId="0" xfId="57" applyFont="1" applyBorder="1" applyAlignment="1">
      <alignment wrapText="1"/>
      <protection/>
    </xf>
    <xf numFmtId="41" fontId="21" fillId="0" borderId="0" xfId="57" applyNumberFormat="1" applyFont="1" applyBorder="1">
      <alignment/>
      <protection/>
    </xf>
    <xf numFmtId="0" fontId="5" fillId="0" borderId="0" xfId="57" applyFont="1" applyBorder="1" applyAlignment="1">
      <alignment wrapText="1"/>
      <protection/>
    </xf>
    <xf numFmtId="41" fontId="5" fillId="0" borderId="0" xfId="57" applyNumberFormat="1" applyFont="1" applyBorder="1" applyAlignment="1">
      <alignment/>
      <protection/>
    </xf>
    <xf numFmtId="0" fontId="28" fillId="0" borderId="0" xfId="0" applyFont="1" applyBorder="1" applyAlignment="1">
      <alignment/>
    </xf>
    <xf numFmtId="0" fontId="12" fillId="0" borderId="0" xfId="57" applyFont="1" applyBorder="1" applyAlignment="1">
      <alignment horizontal="right"/>
      <protection/>
    </xf>
    <xf numFmtId="0" fontId="12" fillId="0" borderId="0" xfId="57" applyFont="1" applyBorder="1">
      <alignment/>
      <protection/>
    </xf>
    <xf numFmtId="0" fontId="33" fillId="0" borderId="0" xfId="57" applyFont="1" applyBorder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14" fontId="20" fillId="0" borderId="0" xfId="0" applyNumberFormat="1" applyFont="1" applyAlignment="1">
      <alignment/>
    </xf>
    <xf numFmtId="0" fontId="12" fillId="0" borderId="0" xfId="58" applyFont="1" applyBorder="1" applyAlignment="1">
      <alignment horizontal="center"/>
      <protection/>
    </xf>
    <xf numFmtId="168" fontId="12" fillId="0" borderId="0" xfId="61" applyNumberFormat="1" applyFont="1" applyBorder="1" applyAlignment="1">
      <alignment horizontal="right"/>
      <protection/>
    </xf>
    <xf numFmtId="168" fontId="12" fillId="0" borderId="35" xfId="61" applyNumberFormat="1" applyFont="1" applyBorder="1" applyAlignment="1">
      <alignment horizontal="right"/>
      <protection/>
    </xf>
    <xf numFmtId="0" fontId="6" fillId="0" borderId="0" xfId="58" applyFont="1" applyBorder="1" applyAlignment="1">
      <alignment horizontal="center"/>
      <protection/>
    </xf>
    <xf numFmtId="0" fontId="6" fillId="0" borderId="36" xfId="58" applyFont="1" applyBorder="1">
      <alignment/>
      <protection/>
    </xf>
    <xf numFmtId="0" fontId="6" fillId="0" borderId="36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2" fillId="0" borderId="29" xfId="0" applyFont="1" applyBorder="1" applyAlignment="1" quotePrefix="1">
      <alignment/>
    </xf>
    <xf numFmtId="0" fontId="35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60" applyFont="1" applyBorder="1" applyAlignment="1">
      <alignment horizontal="right"/>
      <protection/>
    </xf>
    <xf numFmtId="0" fontId="22" fillId="0" borderId="0" xfId="60" applyFont="1" applyBorder="1">
      <alignment/>
      <protection/>
    </xf>
    <xf numFmtId="0" fontId="11" fillId="0" borderId="0" xfId="60" applyFont="1" applyBorder="1">
      <alignment/>
      <protection/>
    </xf>
    <xf numFmtId="3" fontId="12" fillId="0" borderId="0" xfId="58" applyNumberFormat="1" applyFont="1">
      <alignment/>
      <protection/>
    </xf>
    <xf numFmtId="3" fontId="12" fillId="0" borderId="0" xfId="58" applyNumberFormat="1" applyFont="1" applyAlignment="1">
      <alignment horizontal="right"/>
      <protection/>
    </xf>
    <xf numFmtId="3" fontId="18" fillId="0" borderId="0" xfId="58" applyNumberFormat="1" applyFont="1" applyAlignment="1">
      <alignment horizontal="right"/>
      <protection/>
    </xf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1" fillId="0" borderId="37" xfId="60" applyFont="1" applyBorder="1" applyAlignment="1" quotePrefix="1">
      <alignment horizontal="center" vertical="center" wrapText="1"/>
      <protection/>
    </xf>
    <xf numFmtId="0" fontId="11" fillId="0" borderId="38" xfId="60" applyFont="1" applyBorder="1" applyAlignment="1" quotePrefix="1">
      <alignment horizontal="center" vertical="center" wrapText="1"/>
      <protection/>
    </xf>
    <xf numFmtId="0" fontId="11" fillId="0" borderId="39" xfId="60" applyFont="1" applyBorder="1" applyAlignment="1" quotePrefix="1">
      <alignment horizontal="center" vertical="center" wrapText="1"/>
      <protection/>
    </xf>
    <xf numFmtId="0" fontId="4" fillId="0" borderId="27" xfId="0" applyFont="1" applyBorder="1" applyAlignment="1">
      <alignment/>
    </xf>
    <xf numFmtId="0" fontId="4" fillId="0" borderId="40" xfId="0" applyFont="1" applyBorder="1" applyAlignment="1">
      <alignment/>
    </xf>
    <xf numFmtId="3" fontId="11" fillId="0" borderId="28" xfId="60" applyNumberFormat="1" applyFont="1" applyBorder="1" applyAlignment="1">
      <alignment horizontal="right"/>
      <protection/>
    </xf>
    <xf numFmtId="3" fontId="11" fillId="0" borderId="29" xfId="60" applyNumberFormat="1" applyFont="1" applyBorder="1" applyAlignment="1">
      <alignment horizontal="right"/>
      <protection/>
    </xf>
    <xf numFmtId="3" fontId="22" fillId="0" borderId="29" xfId="60" applyNumberFormat="1" applyFont="1" applyBorder="1">
      <alignment/>
      <protection/>
    </xf>
    <xf numFmtId="3" fontId="11" fillId="0" borderId="29" xfId="60" applyNumberFormat="1" applyFont="1" applyBorder="1">
      <alignment/>
      <protection/>
    </xf>
    <xf numFmtId="3" fontId="22" fillId="0" borderId="41" xfId="60" applyNumberFormat="1" applyFont="1" applyBorder="1">
      <alignment/>
      <protection/>
    </xf>
    <xf numFmtId="3" fontId="11" fillId="0" borderId="41" xfId="60" applyNumberFormat="1" applyFont="1" applyBorder="1">
      <alignment/>
      <protection/>
    </xf>
    <xf numFmtId="3" fontId="11" fillId="0" borderId="42" xfId="60" applyNumberFormat="1" applyFont="1" applyBorder="1">
      <alignment/>
      <protection/>
    </xf>
    <xf numFmtId="3" fontId="10" fillId="0" borderId="34" xfId="60" applyNumberFormat="1" applyFont="1" applyBorder="1" applyAlignment="1">
      <alignment horizontal="right"/>
      <protection/>
    </xf>
    <xf numFmtId="3" fontId="10" fillId="0" borderId="43" xfId="60" applyNumberFormat="1" applyFont="1" applyBorder="1" applyAlignment="1">
      <alignment horizontal="right"/>
      <protection/>
    </xf>
    <xf numFmtId="0" fontId="12" fillId="0" borderId="0" xfId="58" applyFont="1" applyBorder="1" applyAlignment="1">
      <alignment horizontal="center" vertical="center"/>
      <protection/>
    </xf>
    <xf numFmtId="0" fontId="10" fillId="0" borderId="44" xfId="61" applyFont="1" applyBorder="1">
      <alignment/>
      <protection/>
    </xf>
    <xf numFmtId="0" fontId="12" fillId="0" borderId="0" xfId="58" applyFont="1" applyBorder="1">
      <alignment/>
      <protection/>
    </xf>
    <xf numFmtId="49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37" xfId="60" applyFont="1" applyBorder="1" applyAlignment="1" quotePrefix="1">
      <alignment horizontal="center" vertical="center" wrapText="1"/>
      <protection/>
    </xf>
    <xf numFmtId="0" fontId="11" fillId="0" borderId="0" xfId="60" applyFont="1" applyBorder="1" applyAlignment="1">
      <alignment horizontal="left" wrapText="1"/>
      <protection/>
    </xf>
    <xf numFmtId="0" fontId="11" fillId="0" borderId="45" xfId="60" applyFont="1" applyBorder="1" applyAlignment="1" quotePrefix="1">
      <alignment horizontal="center" vertical="center" wrapText="1"/>
      <protection/>
    </xf>
    <xf numFmtId="0" fontId="11" fillId="0" borderId="44" xfId="60" applyFont="1" applyBorder="1" applyAlignment="1">
      <alignment horizontal="left" wrapText="1"/>
      <protection/>
    </xf>
    <xf numFmtId="0" fontId="11" fillId="0" borderId="42" xfId="60" applyFont="1" applyBorder="1" applyAlignment="1">
      <alignment horizontal="right"/>
      <protection/>
    </xf>
    <xf numFmtId="0" fontId="4" fillId="0" borderId="46" xfId="0" applyFont="1" applyBorder="1" applyAlignment="1">
      <alignment/>
    </xf>
    <xf numFmtId="0" fontId="10" fillId="0" borderId="34" xfId="61" applyFont="1" applyBorder="1">
      <alignment/>
      <protection/>
    </xf>
    <xf numFmtId="168" fontId="4" fillId="0" borderId="47" xfId="60" applyNumberFormat="1" applyFont="1" applyBorder="1" applyAlignment="1">
      <alignment/>
      <protection/>
    </xf>
    <xf numFmtId="168" fontId="4" fillId="0" borderId="47" xfId="60" applyNumberFormat="1" applyFont="1" applyBorder="1" applyAlignment="1">
      <alignment horizontal="right"/>
      <protection/>
    </xf>
    <xf numFmtId="0" fontId="6" fillId="0" borderId="29" xfId="58" applyFont="1" applyBorder="1" applyAlignment="1">
      <alignment horizontal="right"/>
      <protection/>
    </xf>
    <xf numFmtId="0" fontId="6" fillId="0" borderId="29" xfId="58" applyFont="1" applyBorder="1" applyAlignment="1">
      <alignment/>
      <protection/>
    </xf>
    <xf numFmtId="0" fontId="6" fillId="0" borderId="30" xfId="59" applyFont="1" applyBorder="1" applyAlignment="1">
      <alignment vertical="center"/>
      <protection/>
    </xf>
    <xf numFmtId="168" fontId="6" fillId="0" borderId="30" xfId="59" applyNumberFormat="1" applyFont="1" applyBorder="1" applyAlignment="1">
      <alignment vertical="center"/>
      <protection/>
    </xf>
    <xf numFmtId="0" fontId="18" fillId="0" borderId="0" xfId="60" applyFont="1">
      <alignment/>
      <protection/>
    </xf>
    <xf numFmtId="0" fontId="14" fillId="0" borderId="0" xfId="60" applyFont="1" applyBorder="1" applyAlignment="1">
      <alignment horizontal="left" wrapText="1"/>
      <protection/>
    </xf>
    <xf numFmtId="0" fontId="14" fillId="0" borderId="0" xfId="60" applyFont="1" applyBorder="1" applyAlignment="1" quotePrefix="1">
      <alignment horizontal="left" wrapText="1"/>
      <protection/>
    </xf>
    <xf numFmtId="0" fontId="12" fillId="0" borderId="0" xfId="60" applyFont="1" applyBorder="1" applyAlignment="1" quotePrefix="1">
      <alignment horizontal="left" wrapText="1"/>
      <protection/>
    </xf>
    <xf numFmtId="0" fontId="11" fillId="0" borderId="48" xfId="60" applyFont="1" applyBorder="1" applyAlignment="1" quotePrefix="1">
      <alignment horizontal="center" vertical="center" wrapText="1"/>
      <protection/>
    </xf>
    <xf numFmtId="0" fontId="10" fillId="0" borderId="44" xfId="60" applyFont="1" applyBorder="1">
      <alignment/>
      <protection/>
    </xf>
    <xf numFmtId="0" fontId="11" fillId="0" borderId="29" xfId="61" applyFont="1" applyBorder="1">
      <alignment/>
      <protection/>
    </xf>
    <xf numFmtId="49" fontId="11" fillId="0" borderId="0" xfId="60" applyNumberFormat="1" applyFont="1">
      <alignment/>
      <protection/>
    </xf>
    <xf numFmtId="49" fontId="10" fillId="0" borderId="0" xfId="60" applyNumberFormat="1" applyFont="1">
      <alignment/>
      <protection/>
    </xf>
    <xf numFmtId="49" fontId="17" fillId="0" borderId="0" xfId="60" applyNumberFormat="1" applyFont="1">
      <alignment/>
      <protection/>
    </xf>
    <xf numFmtId="49" fontId="12" fillId="0" borderId="0" xfId="61" applyNumberFormat="1" applyFont="1">
      <alignment/>
      <protection/>
    </xf>
    <xf numFmtId="4" fontId="11" fillId="0" borderId="43" xfId="61" applyNumberFormat="1" applyFont="1" applyBorder="1">
      <alignment/>
      <protection/>
    </xf>
    <xf numFmtId="4" fontId="11" fillId="0" borderId="22" xfId="61" applyNumberFormat="1" applyFont="1" applyBorder="1">
      <alignment/>
      <protection/>
    </xf>
    <xf numFmtId="4" fontId="11" fillId="0" borderId="49" xfId="61" applyNumberFormat="1" applyFont="1" applyBorder="1">
      <alignment/>
      <protection/>
    </xf>
    <xf numFmtId="4" fontId="11" fillId="0" borderId="29" xfId="61" applyNumberFormat="1" applyFont="1" applyBorder="1">
      <alignment/>
      <protection/>
    </xf>
    <xf numFmtId="4" fontId="11" fillId="0" borderId="41" xfId="61" applyNumberFormat="1" applyFont="1" applyBorder="1">
      <alignment/>
      <protection/>
    </xf>
    <xf numFmtId="4" fontId="10" fillId="0" borderId="30" xfId="61" applyNumberFormat="1" applyFont="1" applyBorder="1">
      <alignment/>
      <protection/>
    </xf>
    <xf numFmtId="0" fontId="12" fillId="0" borderId="29" xfId="0" applyFont="1" applyBorder="1" applyAlignment="1">
      <alignment horizontal="center"/>
    </xf>
    <xf numFmtId="3" fontId="74" fillId="0" borderId="0" xfId="58" applyNumberFormat="1" applyFont="1" applyAlignment="1">
      <alignment horizontal="right"/>
      <protection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3" fontId="11" fillId="0" borderId="47" xfId="60" applyNumberFormat="1" applyFont="1" applyBorder="1" applyAlignment="1">
      <alignment horizontal="right"/>
      <protection/>
    </xf>
    <xf numFmtId="3" fontId="10" fillId="0" borderId="29" xfId="60" applyNumberFormat="1" applyFont="1" applyBorder="1" applyAlignment="1">
      <alignment horizontal="right"/>
      <protection/>
    </xf>
    <xf numFmtId="3" fontId="10" fillId="0" borderId="22" xfId="60" applyNumberFormat="1" applyFont="1" applyBorder="1" applyAlignment="1">
      <alignment horizontal="right"/>
      <protection/>
    </xf>
    <xf numFmtId="0" fontId="11" fillId="0" borderId="32" xfId="61" applyFont="1" applyBorder="1">
      <alignment/>
      <protection/>
    </xf>
    <xf numFmtId="0" fontId="11" fillId="0" borderId="31" xfId="61" applyFont="1" applyBorder="1">
      <alignment/>
      <protection/>
    </xf>
    <xf numFmtId="3" fontId="10" fillId="0" borderId="21" xfId="60" applyNumberFormat="1" applyFont="1" applyBorder="1" applyAlignment="1">
      <alignment horizontal="right"/>
      <protection/>
    </xf>
    <xf numFmtId="3" fontId="11" fillId="0" borderId="50" xfId="60" applyNumberFormat="1" applyFont="1" applyBorder="1" applyAlignment="1">
      <alignment horizontal="right"/>
      <protection/>
    </xf>
    <xf numFmtId="3" fontId="11" fillId="0" borderId="32" xfId="60" applyNumberFormat="1" applyFont="1" applyBorder="1" applyAlignment="1">
      <alignment horizontal="right"/>
      <protection/>
    </xf>
    <xf numFmtId="3" fontId="22" fillId="0" borderId="32" xfId="60" applyNumberFormat="1" applyFont="1" applyBorder="1">
      <alignment/>
      <protection/>
    </xf>
    <xf numFmtId="3" fontId="11" fillId="0" borderId="32" xfId="60" applyNumberFormat="1" applyFont="1" applyBorder="1">
      <alignment/>
      <protection/>
    </xf>
    <xf numFmtId="3" fontId="22" fillId="0" borderId="49" xfId="60" applyNumberFormat="1" applyFont="1" applyBorder="1">
      <alignment/>
      <protection/>
    </xf>
    <xf numFmtId="3" fontId="11" fillId="0" borderId="49" xfId="60" applyNumberFormat="1" applyFont="1" applyBorder="1">
      <alignment/>
      <protection/>
    </xf>
    <xf numFmtId="3" fontId="11" fillId="0" borderId="51" xfId="60" applyNumberFormat="1" applyFont="1" applyBorder="1">
      <alignment/>
      <protection/>
    </xf>
    <xf numFmtId="4" fontId="11" fillId="0" borderId="32" xfId="61" applyNumberFormat="1" applyFont="1" applyBorder="1">
      <alignment/>
      <protection/>
    </xf>
    <xf numFmtId="0" fontId="4" fillId="0" borderId="30" xfId="61" applyFont="1" applyBorder="1">
      <alignment/>
      <protection/>
    </xf>
    <xf numFmtId="0" fontId="7" fillId="0" borderId="29" xfId="61" applyFont="1" applyBorder="1">
      <alignment/>
      <protection/>
    </xf>
    <xf numFmtId="0" fontId="7" fillId="0" borderId="30" xfId="61" applyFont="1" applyBorder="1">
      <alignment/>
      <protection/>
    </xf>
    <xf numFmtId="0" fontId="10" fillId="0" borderId="30" xfId="61" applyFont="1" applyBorder="1">
      <alignment/>
      <protection/>
    </xf>
    <xf numFmtId="0" fontId="6" fillId="0" borderId="30" xfId="61" applyFont="1" applyBorder="1">
      <alignment/>
      <protection/>
    </xf>
    <xf numFmtId="0" fontId="10" fillId="0" borderId="0" xfId="60" applyFont="1" applyBorder="1">
      <alignment/>
      <protection/>
    </xf>
    <xf numFmtId="3" fontId="10" fillId="0" borderId="0" xfId="60" applyNumberFormat="1" applyFont="1" applyBorder="1" applyAlignment="1">
      <alignment horizontal="right"/>
      <protection/>
    </xf>
    <xf numFmtId="4" fontId="10" fillId="0" borderId="0" xfId="61" applyNumberFormat="1" applyFont="1" applyBorder="1">
      <alignment/>
      <protection/>
    </xf>
    <xf numFmtId="3" fontId="10" fillId="0" borderId="30" xfId="61" applyNumberFormat="1" applyFont="1" applyBorder="1">
      <alignment/>
      <protection/>
    </xf>
    <xf numFmtId="3" fontId="4" fillId="0" borderId="0" xfId="61" applyNumberFormat="1" applyFont="1">
      <alignment/>
      <protection/>
    </xf>
    <xf numFmtId="0" fontId="4" fillId="0" borderId="52" xfId="0" applyFont="1" applyBorder="1" applyAlignment="1">
      <alignment/>
    </xf>
    <xf numFmtId="0" fontId="11" fillId="0" borderId="53" xfId="61" applyFont="1" applyBorder="1">
      <alignment/>
      <protection/>
    </xf>
    <xf numFmtId="0" fontId="10" fillId="0" borderId="30" xfId="0" applyFont="1" applyBorder="1" applyAlignment="1">
      <alignment/>
    </xf>
    <xf numFmtId="168" fontId="10" fillId="0" borderId="3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/>
    </xf>
    <xf numFmtId="0" fontId="19" fillId="0" borderId="0" xfId="0" applyFont="1" applyAlignment="1">
      <alignment/>
    </xf>
    <xf numFmtId="0" fontId="10" fillId="0" borderId="27" xfId="0" applyFont="1" applyBorder="1" applyAlignment="1">
      <alignment/>
    </xf>
    <xf numFmtId="0" fontId="10" fillId="0" borderId="45" xfId="0" applyFont="1" applyBorder="1" applyAlignment="1">
      <alignment/>
    </xf>
    <xf numFmtId="168" fontId="7" fillId="0" borderId="30" xfId="0" applyNumberFormat="1" applyFont="1" applyBorder="1" applyAlignment="1">
      <alignment/>
    </xf>
    <xf numFmtId="16" fontId="0" fillId="0" borderId="0" xfId="0" applyNumberFormat="1" applyAlignment="1" quotePrefix="1">
      <alignment/>
    </xf>
    <xf numFmtId="3" fontId="12" fillId="32" borderId="0" xfId="58" applyNumberFormat="1" applyFont="1" applyFill="1" applyAlignment="1">
      <alignment horizontal="right"/>
      <protection/>
    </xf>
    <xf numFmtId="0" fontId="7" fillId="0" borderId="30" xfId="0" applyFont="1" applyBorder="1" applyAlignment="1">
      <alignment/>
    </xf>
    <xf numFmtId="4" fontId="10" fillId="0" borderId="30" xfId="61" applyNumberFormat="1" applyFont="1" applyBorder="1">
      <alignment/>
      <protection/>
    </xf>
    <xf numFmtId="0" fontId="7" fillId="0" borderId="32" xfId="61" applyFont="1" applyBorder="1">
      <alignment/>
      <protection/>
    </xf>
    <xf numFmtId="0" fontId="4" fillId="0" borderId="29" xfId="61" applyFont="1" applyBorder="1">
      <alignment/>
      <protection/>
    </xf>
    <xf numFmtId="3" fontId="11" fillId="0" borderId="29" xfId="60" applyNumberFormat="1" applyFont="1" applyBorder="1" applyAlignment="1">
      <alignment horizontal="right"/>
      <protection/>
    </xf>
    <xf numFmtId="4" fontId="11" fillId="0" borderId="29" xfId="61" applyNumberFormat="1" applyFont="1" applyBorder="1">
      <alignment/>
      <protection/>
    </xf>
    <xf numFmtId="0" fontId="4" fillId="0" borderId="29" xfId="0" applyFont="1" applyBorder="1" applyAlignment="1">
      <alignment/>
    </xf>
    <xf numFmtId="168" fontId="4" fillId="0" borderId="0" xfId="0" applyNumberFormat="1" applyFont="1" applyAlignment="1">
      <alignment/>
    </xf>
    <xf numFmtId="3" fontId="12" fillId="0" borderId="0" xfId="58" applyNumberFormat="1" applyFont="1" applyAlignment="1">
      <alignment horizontal="right"/>
      <protection/>
    </xf>
    <xf numFmtId="0" fontId="2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1" fillId="0" borderId="0" xfId="0" applyFont="1" applyAlignment="1">
      <alignment horizontal="left" wrapText="1"/>
    </xf>
    <xf numFmtId="0" fontId="35" fillId="0" borderId="0" xfId="0" applyFont="1" applyAlignment="1">
      <alignment horizontal="center" vertical="center"/>
    </xf>
    <xf numFmtId="0" fontId="0" fillId="0" borderId="30" xfId="0" applyBorder="1" applyAlignment="1">
      <alignment wrapText="1"/>
    </xf>
    <xf numFmtId="168" fontId="11" fillId="0" borderId="0" xfId="42" applyNumberFormat="1" applyFont="1" applyAlignment="1">
      <alignment/>
    </xf>
    <xf numFmtId="168" fontId="6" fillId="0" borderId="0" xfId="42" applyNumberFormat="1" applyFont="1" applyAlignment="1">
      <alignment/>
    </xf>
    <xf numFmtId="168" fontId="12" fillId="0" borderId="0" xfId="42" applyNumberFormat="1" applyFont="1" applyAlignment="1">
      <alignment/>
    </xf>
    <xf numFmtId="168" fontId="4" fillId="0" borderId="0" xfId="42" applyNumberFormat="1" applyFont="1" applyAlignment="1">
      <alignment/>
    </xf>
    <xf numFmtId="168" fontId="10" fillId="0" borderId="0" xfId="42" applyNumberFormat="1" applyFont="1" applyAlignment="1">
      <alignment/>
    </xf>
    <xf numFmtId="168" fontId="5" fillId="0" borderId="0" xfId="42" applyNumberFormat="1" applyFont="1" applyAlignment="1">
      <alignment/>
    </xf>
    <xf numFmtId="168" fontId="7" fillId="0" borderId="0" xfId="42" applyNumberFormat="1" applyFont="1" applyAlignment="1">
      <alignment horizontal="right"/>
    </xf>
    <xf numFmtId="168" fontId="4" fillId="0" borderId="0" xfId="42" applyNumberFormat="1" applyFont="1" applyAlignment="1">
      <alignment horizontal="right"/>
    </xf>
    <xf numFmtId="168" fontId="7" fillId="0" borderId="0" xfId="42" applyNumberFormat="1" applyFont="1" applyAlignment="1">
      <alignment/>
    </xf>
    <xf numFmtId="168" fontId="5" fillId="0" borderId="0" xfId="42" applyNumberFormat="1" applyFont="1" applyAlignment="1">
      <alignment/>
    </xf>
    <xf numFmtId="0" fontId="0" fillId="0" borderId="0" xfId="0" applyAlignment="1">
      <alignment horizontal="left"/>
    </xf>
    <xf numFmtId="3" fontId="12" fillId="0" borderId="0" xfId="42" applyNumberFormat="1" applyFont="1" applyAlignment="1">
      <alignment horizontal="right"/>
    </xf>
    <xf numFmtId="3" fontId="12" fillId="0" borderId="0" xfId="42" applyNumberFormat="1" applyFont="1" applyAlignment="1">
      <alignment horizontal="right" wrapText="1"/>
    </xf>
    <xf numFmtId="3" fontId="12" fillId="0" borderId="0" xfId="42" applyNumberFormat="1" applyFont="1" applyBorder="1" applyAlignment="1">
      <alignment horizontal="right"/>
    </xf>
    <xf numFmtId="3" fontId="6" fillId="0" borderId="0" xfId="42" applyNumberFormat="1" applyFont="1" applyAlignment="1">
      <alignment horizontal="right"/>
    </xf>
    <xf numFmtId="3" fontId="6" fillId="0" borderId="0" xfId="42" applyNumberFormat="1" applyFont="1" applyBorder="1" applyAlignment="1">
      <alignment horizontal="right"/>
    </xf>
    <xf numFmtId="3" fontId="6" fillId="0" borderId="0" xfId="42" applyNumberFormat="1" applyFont="1" applyBorder="1" applyAlignment="1">
      <alignment horizontal="right"/>
    </xf>
    <xf numFmtId="3" fontId="6" fillId="0" borderId="0" xfId="42" applyNumberFormat="1" applyFont="1" applyAlignment="1">
      <alignment horizontal="right" wrapText="1"/>
    </xf>
    <xf numFmtId="3" fontId="18" fillId="0" borderId="0" xfId="42" applyNumberFormat="1" applyFont="1" applyAlignment="1">
      <alignment horizontal="right"/>
    </xf>
    <xf numFmtId="3" fontId="18" fillId="0" borderId="0" xfId="42" applyNumberFormat="1" applyFont="1" applyAlignment="1">
      <alignment horizontal="right" wrapText="1"/>
    </xf>
    <xf numFmtId="168" fontId="12" fillId="0" borderId="0" xfId="42" applyNumberFormat="1" applyFont="1" applyAlignment="1">
      <alignment wrapText="1"/>
    </xf>
    <xf numFmtId="168" fontId="12" fillId="0" borderId="0" xfId="42" applyNumberFormat="1" applyFont="1" applyAlignment="1">
      <alignment/>
    </xf>
    <xf numFmtId="168" fontId="6" fillId="0" borderId="0" xfId="42" applyNumberFormat="1" applyFont="1" applyAlignment="1">
      <alignment wrapText="1"/>
    </xf>
    <xf numFmtId="168" fontId="6" fillId="0" borderId="0" xfId="42" applyNumberFormat="1" applyFont="1" applyAlignment="1">
      <alignment/>
    </xf>
    <xf numFmtId="168" fontId="4" fillId="0" borderId="51" xfId="42" applyNumberFormat="1" applyFont="1" applyBorder="1" applyAlignment="1">
      <alignment/>
    </xf>
    <xf numFmtId="168" fontId="4" fillId="0" borderId="32" xfId="42" applyNumberFormat="1" applyFont="1" applyBorder="1" applyAlignment="1">
      <alignment/>
    </xf>
    <xf numFmtId="168" fontId="4" fillId="0" borderId="42" xfId="42" applyNumberFormat="1" applyFont="1" applyBorder="1" applyAlignment="1">
      <alignment/>
    </xf>
    <xf numFmtId="168" fontId="4" fillId="0" borderId="29" xfId="42" applyNumberFormat="1" applyFont="1" applyBorder="1" applyAlignment="1">
      <alignment/>
    </xf>
    <xf numFmtId="168" fontId="10" fillId="0" borderId="30" xfId="42" applyNumberFormat="1" applyFont="1" applyBorder="1" applyAlignment="1">
      <alignment/>
    </xf>
    <xf numFmtId="168" fontId="4" fillId="0" borderId="54" xfId="42" applyNumberFormat="1" applyFont="1" applyBorder="1" applyAlignment="1">
      <alignment/>
    </xf>
    <xf numFmtId="168" fontId="4" fillId="0" borderId="22" xfId="42" applyNumberFormat="1" applyFont="1" applyBorder="1" applyAlignment="1">
      <alignment/>
    </xf>
    <xf numFmtId="168" fontId="23" fillId="0" borderId="55" xfId="42" applyNumberFormat="1" applyFont="1" applyBorder="1" applyAlignment="1">
      <alignment horizontal="center" vertical="center"/>
    </xf>
    <xf numFmtId="168" fontId="23" fillId="0" borderId="11" xfId="42" applyNumberFormat="1" applyFont="1" applyBorder="1" applyAlignment="1">
      <alignment horizontal="center" vertical="center" wrapText="1"/>
    </xf>
    <xf numFmtId="168" fontId="23" fillId="0" borderId="11" xfId="42" applyNumberFormat="1" applyFont="1" applyBorder="1" applyAlignment="1">
      <alignment horizontal="center" vertical="center"/>
    </xf>
    <xf numFmtId="168" fontId="23" fillId="0" borderId="0" xfId="42" applyNumberFormat="1" applyFont="1" applyAlignment="1">
      <alignment/>
    </xf>
    <xf numFmtId="168" fontId="23" fillId="0" borderId="0" xfId="42" applyNumberFormat="1" applyFont="1" applyAlignment="1">
      <alignment horizontal="centerContinuous"/>
    </xf>
    <xf numFmtId="168" fontId="4" fillId="0" borderId="50" xfId="42" applyNumberFormat="1" applyFont="1" applyBorder="1" applyAlignment="1">
      <alignment/>
    </xf>
    <xf numFmtId="168" fontId="7" fillId="0" borderId="52" xfId="42" applyNumberFormat="1" applyFont="1" applyBorder="1" applyAlignment="1">
      <alignment/>
    </xf>
    <xf numFmtId="168" fontId="4" fillId="0" borderId="47" xfId="42" applyNumberFormat="1" applyFont="1" applyBorder="1" applyAlignment="1">
      <alignment/>
    </xf>
    <xf numFmtId="168" fontId="7" fillId="0" borderId="27" xfId="42" applyNumberFormat="1" applyFont="1" applyBorder="1" applyAlignment="1">
      <alignment/>
    </xf>
    <xf numFmtId="168" fontId="10" fillId="0" borderId="45" xfId="42" applyNumberFormat="1" applyFont="1" applyBorder="1" applyAlignment="1">
      <alignment/>
    </xf>
    <xf numFmtId="168" fontId="4" fillId="0" borderId="56" xfId="42" applyNumberFormat="1" applyFont="1" applyBorder="1" applyAlignment="1">
      <alignment/>
    </xf>
    <xf numFmtId="168" fontId="7" fillId="0" borderId="40" xfId="42" applyNumberFormat="1" applyFont="1" applyBorder="1" applyAlignment="1">
      <alignment/>
    </xf>
    <xf numFmtId="168" fontId="4" fillId="0" borderId="57" xfId="42" applyNumberFormat="1" applyFont="1" applyBorder="1" applyAlignment="1">
      <alignment/>
    </xf>
    <xf numFmtId="168" fontId="4" fillId="0" borderId="58" xfId="42" applyNumberFormat="1" applyFont="1" applyBorder="1" applyAlignment="1">
      <alignment/>
    </xf>
    <xf numFmtId="168" fontId="4" fillId="0" borderId="59" xfId="42" applyNumberFormat="1" applyFont="1" applyBorder="1" applyAlignment="1">
      <alignment/>
    </xf>
    <xf numFmtId="168" fontId="7" fillId="0" borderId="30" xfId="42" applyNumberFormat="1" applyFont="1" applyBorder="1" applyAlignment="1">
      <alignment/>
    </xf>
    <xf numFmtId="168" fontId="10" fillId="0" borderId="0" xfId="42" applyNumberFormat="1" applyFont="1" applyAlignment="1">
      <alignment/>
    </xf>
    <xf numFmtId="3" fontId="35" fillId="0" borderId="0" xfId="0" applyNumberFormat="1" applyFont="1" applyAlignment="1">
      <alignment/>
    </xf>
    <xf numFmtId="0" fontId="35" fillId="0" borderId="0" xfId="0" applyFont="1" applyAlignment="1">
      <alignment wrapText="1"/>
    </xf>
    <xf numFmtId="3" fontId="0" fillId="0" borderId="0" xfId="0" applyNumberFormat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/>
    </xf>
    <xf numFmtId="168" fontId="16" fillId="0" borderId="0" xfId="42" applyNumberFormat="1" applyFont="1" applyAlignment="1">
      <alignment/>
    </xf>
    <xf numFmtId="168" fontId="17" fillId="0" borderId="0" xfId="42" applyNumberFormat="1" applyFont="1" applyAlignment="1">
      <alignment/>
    </xf>
    <xf numFmtId="168" fontId="11" fillId="0" borderId="0" xfId="42" applyNumberFormat="1" applyFont="1" applyAlignment="1">
      <alignment/>
    </xf>
    <xf numFmtId="49" fontId="11" fillId="0" borderId="0" xfId="60" applyNumberFormat="1" applyFont="1" applyAlignment="1">
      <alignment vertical="center"/>
      <protection/>
    </xf>
    <xf numFmtId="168" fontId="6" fillId="0" borderId="0" xfId="42" applyNumberFormat="1" applyFont="1" applyBorder="1" applyAlignment="1">
      <alignment horizontal="right"/>
    </xf>
    <xf numFmtId="16" fontId="12" fillId="0" borderId="0" xfId="61" applyNumberFormat="1" applyFont="1" quotePrefix="1">
      <alignment/>
      <protection/>
    </xf>
    <xf numFmtId="168" fontId="12" fillId="0" borderId="35" xfId="42" applyNumberFormat="1" applyFont="1" applyBorder="1" applyAlignment="1">
      <alignment horizontal="right"/>
    </xf>
    <xf numFmtId="168" fontId="12" fillId="0" borderId="0" xfId="42" applyNumberFormat="1" applyFont="1" applyBorder="1" applyAlignment="1">
      <alignment horizontal="right"/>
    </xf>
    <xf numFmtId="168" fontId="13" fillId="0" borderId="0" xfId="42" applyNumberFormat="1" applyFont="1" applyBorder="1" applyAlignment="1">
      <alignment horizontal="right"/>
    </xf>
    <xf numFmtId="0" fontId="15" fillId="0" borderId="0" xfId="60" applyFont="1" applyBorder="1" applyAlignment="1">
      <alignment horizontal="left" wrapText="1"/>
      <protection/>
    </xf>
    <xf numFmtId="168" fontId="12" fillId="0" borderId="0" xfId="42" applyNumberFormat="1" applyFont="1" applyAlignment="1">
      <alignment/>
    </xf>
    <xf numFmtId="168" fontId="6" fillId="0" borderId="29" xfId="42" applyNumberFormat="1" applyFont="1" applyBorder="1" applyAlignment="1">
      <alignment/>
    </xf>
    <xf numFmtId="168" fontId="12" fillId="0" borderId="29" xfId="42" applyNumberFormat="1" applyFont="1" applyBorder="1" applyAlignment="1">
      <alignment/>
    </xf>
    <xf numFmtId="168" fontId="12" fillId="0" borderId="29" xfId="42" applyNumberFormat="1" applyFont="1" applyBorder="1" applyAlignment="1">
      <alignment/>
    </xf>
    <xf numFmtId="168" fontId="6" fillId="0" borderId="0" xfId="42" applyNumberFormat="1" applyFont="1" applyBorder="1" applyAlignment="1">
      <alignment horizontal="center"/>
    </xf>
    <xf numFmtId="168" fontId="6" fillId="0" borderId="0" xfId="42" applyNumberFormat="1" applyFont="1" applyBorder="1" applyAlignment="1">
      <alignment/>
    </xf>
    <xf numFmtId="168" fontId="6" fillId="0" borderId="30" xfId="42" applyNumberFormat="1" applyFont="1" applyBorder="1" applyAlignment="1">
      <alignment/>
    </xf>
    <xf numFmtId="168" fontId="6" fillId="0" borderId="15" xfId="42" applyNumberFormat="1" applyFont="1" applyBorder="1" applyAlignment="1">
      <alignment horizontal="center"/>
    </xf>
    <xf numFmtId="168" fontId="6" fillId="0" borderId="13" xfId="42" applyNumberFormat="1" applyFont="1" applyBorder="1" applyAlignment="1">
      <alignment horizontal="center"/>
    </xf>
    <xf numFmtId="168" fontId="6" fillId="0" borderId="11" xfId="42" applyNumberFormat="1" applyFont="1" applyBorder="1" applyAlignment="1">
      <alignment horizontal="center"/>
    </xf>
    <xf numFmtId="168" fontId="12" fillId="0" borderId="0" xfId="42" applyNumberFormat="1" applyFont="1" applyAlignment="1">
      <alignment horizontal="right"/>
    </xf>
    <xf numFmtId="168" fontId="12" fillId="0" borderId="0" xfId="42" applyNumberFormat="1" applyFont="1" applyBorder="1" applyAlignment="1">
      <alignment/>
    </xf>
    <xf numFmtId="168" fontId="18" fillId="0" borderId="0" xfId="42" applyNumberFormat="1" applyFont="1" applyAlignment="1">
      <alignment/>
    </xf>
    <xf numFmtId="169" fontId="12" fillId="0" borderId="0" xfId="42" applyNumberFormat="1" applyFont="1" applyAlignment="1">
      <alignment/>
    </xf>
    <xf numFmtId="168" fontId="12" fillId="0" borderId="60" xfId="42" applyNumberFormat="1" applyFont="1" applyBorder="1" applyAlignment="1">
      <alignment/>
    </xf>
    <xf numFmtId="168" fontId="12" fillId="0" borderId="58" xfId="42" applyNumberFormat="1" applyFont="1" applyBorder="1" applyAlignment="1">
      <alignment/>
    </xf>
    <xf numFmtId="168" fontId="6" fillId="0" borderId="30" xfId="42" applyNumberFormat="1" applyFont="1" applyBorder="1" applyAlignment="1">
      <alignment/>
    </xf>
    <xf numFmtId="168" fontId="6" fillId="0" borderId="61" xfId="42" applyNumberFormat="1" applyFont="1" applyBorder="1" applyAlignment="1">
      <alignment/>
    </xf>
    <xf numFmtId="168" fontId="12" fillId="0" borderId="42" xfId="42" applyNumberFormat="1" applyFont="1" applyBorder="1" applyAlignment="1">
      <alignment/>
    </xf>
    <xf numFmtId="168" fontId="12" fillId="0" borderId="29" xfId="42" applyNumberFormat="1" applyFont="1" applyBorder="1" applyAlignment="1">
      <alignment/>
    </xf>
    <xf numFmtId="168" fontId="12" fillId="0" borderId="62" xfId="42" applyNumberFormat="1" applyFont="1" applyBorder="1" applyAlignment="1">
      <alignment/>
    </xf>
    <xf numFmtId="168" fontId="12" fillId="0" borderId="29" xfId="42" applyNumberFormat="1" applyFont="1" applyFill="1" applyBorder="1" applyAlignment="1">
      <alignment/>
    </xf>
    <xf numFmtId="168" fontId="12" fillId="0" borderId="41" xfId="42" applyNumberFormat="1" applyFont="1" applyFill="1" applyBorder="1" applyAlignment="1">
      <alignment/>
    </xf>
    <xf numFmtId="168" fontId="29" fillId="0" borderId="41" xfId="42" applyNumberFormat="1" applyFont="1" applyFill="1" applyBorder="1" applyAlignment="1">
      <alignment/>
    </xf>
    <xf numFmtId="168" fontId="29" fillId="0" borderId="29" xfId="42" applyNumberFormat="1" applyFont="1" applyFill="1" applyBorder="1" applyAlignment="1">
      <alignment/>
    </xf>
    <xf numFmtId="168" fontId="12" fillId="0" borderId="29" xfId="42" applyNumberFormat="1" applyFont="1" applyBorder="1" applyAlignment="1">
      <alignment/>
    </xf>
    <xf numFmtId="168" fontId="12" fillId="0" borderId="15" xfId="42" applyNumberFormat="1" applyFont="1" applyBorder="1" applyAlignment="1">
      <alignment/>
    </xf>
    <xf numFmtId="168" fontId="12" fillId="0" borderId="63" xfId="42" applyNumberFormat="1" applyFont="1" applyBorder="1" applyAlignment="1">
      <alignment/>
    </xf>
    <xf numFmtId="168" fontId="12" fillId="0" borderId="64" xfId="42" applyNumberFormat="1" applyFont="1" applyBorder="1" applyAlignment="1">
      <alignment/>
    </xf>
    <xf numFmtId="168" fontId="12" fillId="0" borderId="65" xfId="42" applyNumberFormat="1" applyFont="1" applyBorder="1" applyAlignment="1">
      <alignment/>
    </xf>
    <xf numFmtId="168" fontId="12" fillId="0" borderId="66" xfId="42" applyNumberFormat="1" applyFont="1" applyBorder="1" applyAlignment="1">
      <alignment horizontal="center"/>
    </xf>
    <xf numFmtId="168" fontId="12" fillId="0" borderId="21" xfId="42" applyNumberFormat="1" applyFont="1" applyBorder="1" applyAlignment="1">
      <alignment horizontal="center"/>
    </xf>
    <xf numFmtId="168" fontId="12" fillId="0" borderId="67" xfId="42" applyNumberFormat="1" applyFont="1" applyBorder="1" applyAlignment="1">
      <alignment horizontal="center"/>
    </xf>
    <xf numFmtId="168" fontId="12" fillId="0" borderId="13" xfId="42" applyNumberFormat="1" applyFont="1" applyBorder="1" applyAlignment="1">
      <alignment horizontal="center"/>
    </xf>
    <xf numFmtId="168" fontId="12" fillId="0" borderId="11" xfId="42" applyNumberFormat="1" applyFont="1" applyBorder="1" applyAlignment="1">
      <alignment/>
    </xf>
    <xf numFmtId="168" fontId="12" fillId="0" borderId="68" xfId="42" applyNumberFormat="1" applyFont="1" applyBorder="1" applyAlignment="1">
      <alignment/>
    </xf>
    <xf numFmtId="168" fontId="12" fillId="0" borderId="69" xfId="42" applyNumberFormat="1" applyFont="1" applyBorder="1" applyAlignment="1">
      <alignment/>
    </xf>
    <xf numFmtId="168" fontId="6" fillId="0" borderId="69" xfId="42" applyNumberFormat="1" applyFont="1" applyBorder="1" applyAlignment="1">
      <alignment/>
    </xf>
    <xf numFmtId="168" fontId="6" fillId="0" borderId="68" xfId="42" applyNumberFormat="1" applyFont="1" applyBorder="1" applyAlignment="1">
      <alignment/>
    </xf>
    <xf numFmtId="168" fontId="6" fillId="0" borderId="70" xfId="42" applyNumberFormat="1" applyFont="1" applyBorder="1" applyAlignment="1">
      <alignment/>
    </xf>
    <xf numFmtId="168" fontId="6" fillId="0" borderId="11" xfId="42" applyNumberFormat="1" applyFont="1" applyBorder="1" applyAlignment="1">
      <alignment/>
    </xf>
    <xf numFmtId="168" fontId="12" fillId="0" borderId="0" xfId="42" applyNumberFormat="1" applyFont="1" applyAlignment="1">
      <alignment horizontal="center"/>
    </xf>
    <xf numFmtId="168" fontId="6" fillId="0" borderId="0" xfId="42" applyNumberFormat="1" applyFont="1" applyBorder="1" applyAlignment="1">
      <alignment/>
    </xf>
    <xf numFmtId="164" fontId="6" fillId="0" borderId="0" xfId="0" applyNumberFormat="1" applyFont="1" applyAlignment="1">
      <alignment/>
    </xf>
    <xf numFmtId="3" fontId="12" fillId="0" borderId="0" xfId="42" applyNumberFormat="1" applyFont="1" applyBorder="1" applyAlignment="1">
      <alignment horizontal="right"/>
    </xf>
    <xf numFmtId="0" fontId="14" fillId="0" borderId="0" xfId="61" applyFont="1" applyBorder="1" quotePrefix="1">
      <alignment/>
      <protection/>
    </xf>
    <xf numFmtId="3" fontId="0" fillId="0" borderId="35" xfId="0" applyNumberFormat="1" applyFont="1" applyBorder="1" applyAlignment="1">
      <alignment/>
    </xf>
    <xf numFmtId="14" fontId="0" fillId="0" borderId="0" xfId="0" applyNumberFormat="1" applyAlignment="1" quotePrefix="1">
      <alignment/>
    </xf>
    <xf numFmtId="3" fontId="0" fillId="0" borderId="0" xfId="0" applyNumberFormat="1" applyFont="1" applyAlignment="1">
      <alignment/>
    </xf>
    <xf numFmtId="3" fontId="0" fillId="0" borderId="35" xfId="0" applyNumberFormat="1" applyBorder="1" applyAlignment="1">
      <alignment/>
    </xf>
    <xf numFmtId="0" fontId="36" fillId="0" borderId="0" xfId="0" applyFont="1" applyAlignment="1">
      <alignment/>
    </xf>
    <xf numFmtId="16" fontId="0" fillId="0" borderId="0" xfId="0" applyNumberFormat="1" applyFont="1" applyAlignment="1" quotePrefix="1">
      <alignment/>
    </xf>
    <xf numFmtId="0" fontId="35" fillId="0" borderId="29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0" fillId="0" borderId="71" xfId="0" applyBorder="1" applyAlignment="1">
      <alignment/>
    </xf>
    <xf numFmtId="3" fontId="0" fillId="0" borderId="34" xfId="0" applyNumberFormat="1" applyBorder="1" applyAlignment="1">
      <alignment/>
    </xf>
    <xf numFmtId="164" fontId="0" fillId="0" borderId="30" xfId="0" applyNumberFormat="1" applyBorder="1" applyAlignment="1">
      <alignment/>
    </xf>
    <xf numFmtId="0" fontId="0" fillId="0" borderId="72" xfId="0" applyBorder="1" applyAlignment="1">
      <alignment/>
    </xf>
    <xf numFmtId="0" fontId="0" fillId="0" borderId="34" xfId="0" applyBorder="1" applyAlignment="1">
      <alignment/>
    </xf>
    <xf numFmtId="0" fontId="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 quotePrefix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12" fillId="0" borderId="0" xfId="58" applyFont="1" applyBorder="1" applyAlignment="1">
      <alignment horizontal="left" vertical="center" wrapText="1"/>
      <protection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58" applyFont="1" applyBorder="1" applyAlignment="1">
      <alignment horizontal="left" vertical="center"/>
      <protection/>
    </xf>
    <xf numFmtId="0" fontId="0" fillId="0" borderId="0" xfId="0" applyFont="1" applyAlignment="1">
      <alignment horizontal="left" wrapText="1"/>
    </xf>
    <xf numFmtId="0" fontId="12" fillId="0" borderId="0" xfId="58" applyFont="1" applyAlignment="1">
      <alignment horizontal="left" wrapText="1"/>
      <protection/>
    </xf>
    <xf numFmtId="0" fontId="21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6" fillId="0" borderId="0" xfId="58" applyFont="1" applyAlignment="1">
      <alignment horizontal="center"/>
      <protection/>
    </xf>
    <xf numFmtId="0" fontId="6" fillId="0" borderId="10" xfId="58" applyFont="1" applyBorder="1" applyAlignment="1">
      <alignment horizontal="center" vertical="center"/>
      <protection/>
    </xf>
    <xf numFmtId="0" fontId="6" fillId="0" borderId="36" xfId="58" applyFont="1" applyBorder="1" applyAlignment="1">
      <alignment horizontal="center" vertical="center"/>
      <protection/>
    </xf>
    <xf numFmtId="0" fontId="6" fillId="0" borderId="55" xfId="58" applyFont="1" applyBorder="1" applyAlignment="1">
      <alignment horizontal="center" vertical="center"/>
      <protection/>
    </xf>
    <xf numFmtId="0" fontId="6" fillId="0" borderId="12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 vertical="center"/>
      <protection/>
    </xf>
    <xf numFmtId="0" fontId="6" fillId="0" borderId="72" xfId="58" applyFont="1" applyBorder="1" applyAlignment="1">
      <alignment horizontal="center" vertical="center"/>
      <protection/>
    </xf>
    <xf numFmtId="0" fontId="6" fillId="0" borderId="14" xfId="58" applyFont="1" applyBorder="1" applyAlignment="1">
      <alignment horizontal="center" vertical="center"/>
      <protection/>
    </xf>
    <xf numFmtId="0" fontId="6" fillId="0" borderId="16" xfId="58" applyFont="1" applyBorder="1" applyAlignment="1">
      <alignment horizontal="center" vertical="center"/>
      <protection/>
    </xf>
    <xf numFmtId="0" fontId="6" fillId="0" borderId="71" xfId="58" applyFont="1" applyBorder="1" applyAlignment="1">
      <alignment horizontal="center" vertical="center"/>
      <protection/>
    </xf>
    <xf numFmtId="0" fontId="6" fillId="0" borderId="0" xfId="58" applyFont="1" applyAlignment="1">
      <alignment horizontal="center"/>
      <protection/>
    </xf>
    <xf numFmtId="0" fontId="18" fillId="0" borderId="0" xfId="0" applyFont="1" applyAlignment="1">
      <alignment horizontal="left"/>
    </xf>
    <xf numFmtId="0" fontId="7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 horizontal="center" wrapText="1"/>
      <protection/>
    </xf>
    <xf numFmtId="0" fontId="4" fillId="0" borderId="11" xfId="58" applyFont="1" applyBorder="1" applyAlignment="1">
      <alignment horizontal="center" vertical="center" textRotation="255"/>
      <protection/>
    </xf>
    <xf numFmtId="0" fontId="4" fillId="0" borderId="13" xfId="58" applyFont="1" applyBorder="1" applyAlignment="1">
      <alignment horizontal="center" vertical="center" textRotation="255"/>
      <protection/>
    </xf>
    <xf numFmtId="0" fontId="4" fillId="0" borderId="15" xfId="58" applyFont="1" applyBorder="1" applyAlignment="1">
      <alignment horizontal="center" vertical="center" textRotation="255"/>
      <protection/>
    </xf>
    <xf numFmtId="0" fontId="11" fillId="0" borderId="55" xfId="60" applyFont="1" applyBorder="1" applyAlignment="1">
      <alignment horizontal="center" vertical="center" wrapText="1"/>
      <protection/>
    </xf>
    <xf numFmtId="0" fontId="11" fillId="0" borderId="72" xfId="60" applyFont="1" applyBorder="1" applyAlignment="1">
      <alignment horizontal="center" vertical="center" wrapText="1"/>
      <protection/>
    </xf>
    <xf numFmtId="0" fontId="11" fillId="0" borderId="71" xfId="60" applyFont="1" applyBorder="1" applyAlignment="1">
      <alignment horizontal="center" vertical="center" wrapText="1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168" fontId="23" fillId="0" borderId="44" xfId="42" applyNumberFormat="1" applyFont="1" applyBorder="1" applyAlignment="1">
      <alignment horizontal="center" vertical="center"/>
    </xf>
    <xf numFmtId="168" fontId="23" fillId="0" borderId="45" xfId="42" applyNumberFormat="1" applyFont="1" applyBorder="1" applyAlignment="1">
      <alignment horizontal="center" vertical="center"/>
    </xf>
    <xf numFmtId="168" fontId="23" fillId="0" borderId="10" xfId="42" applyNumberFormat="1" applyFont="1" applyBorder="1" applyAlignment="1">
      <alignment horizontal="center" vertical="center"/>
    </xf>
    <xf numFmtId="168" fontId="23" fillId="0" borderId="36" xfId="42" applyNumberFormat="1" applyFont="1" applyBorder="1" applyAlignment="1">
      <alignment horizontal="center" vertical="center"/>
    </xf>
    <xf numFmtId="168" fontId="23" fillId="0" borderId="55" xfId="42" applyNumberFormat="1" applyFont="1" applyBorder="1" applyAlignment="1">
      <alignment horizontal="center" vertical="center"/>
    </xf>
    <xf numFmtId="168" fontId="23" fillId="0" borderId="14" xfId="42" applyNumberFormat="1" applyFont="1" applyBorder="1" applyAlignment="1">
      <alignment horizontal="center" vertical="center"/>
    </xf>
    <xf numFmtId="168" fontId="23" fillId="0" borderId="16" xfId="42" applyNumberFormat="1" applyFont="1" applyBorder="1" applyAlignment="1">
      <alignment horizontal="center" vertical="center"/>
    </xf>
    <xf numFmtId="168" fontId="23" fillId="0" borderId="71" xfId="42" applyNumberFormat="1" applyFont="1" applyBorder="1" applyAlignment="1">
      <alignment horizontal="center" vertical="center"/>
    </xf>
    <xf numFmtId="0" fontId="7" fillId="0" borderId="14" xfId="58" applyFont="1" applyBorder="1" applyAlignment="1">
      <alignment horizontal="center"/>
      <protection/>
    </xf>
    <xf numFmtId="0" fontId="7" fillId="0" borderId="71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27" fillId="0" borderId="11" xfId="58" applyFont="1" applyBorder="1" applyAlignment="1">
      <alignment horizontal="center" vertical="center" wrapText="1"/>
      <protection/>
    </xf>
    <xf numFmtId="0" fontId="27" fillId="0" borderId="13" xfId="58" applyFont="1" applyBorder="1" applyAlignment="1">
      <alignment horizontal="center" vertical="center" wrapText="1"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15" xfId="60" applyFont="1" applyBorder="1" applyAlignment="1">
      <alignment horizontal="center" vertical="center"/>
      <protection/>
    </xf>
    <xf numFmtId="0" fontId="11" fillId="0" borderId="55" xfId="60" applyFont="1" applyBorder="1" applyAlignment="1">
      <alignment horizontal="center" vertical="center" wrapText="1"/>
      <protection/>
    </xf>
    <xf numFmtId="0" fontId="11" fillId="0" borderId="72" xfId="60" applyFont="1" applyBorder="1" applyAlignment="1">
      <alignment horizontal="center" vertical="center" wrapText="1"/>
      <protection/>
    </xf>
    <xf numFmtId="0" fontId="11" fillId="0" borderId="71" xfId="60" applyFont="1" applyBorder="1" applyAlignment="1">
      <alignment horizontal="center" vertical="center" wrapText="1"/>
      <protection/>
    </xf>
    <xf numFmtId="0" fontId="11" fillId="0" borderId="32" xfId="58" applyFont="1" applyBorder="1" applyAlignment="1">
      <alignment horizontal="center" vertical="center" textRotation="180"/>
      <protection/>
    </xf>
    <xf numFmtId="0" fontId="11" fillId="0" borderId="21" xfId="58" applyFont="1" applyBorder="1" applyAlignment="1">
      <alignment horizontal="center" vertical="center" textRotation="180"/>
      <protection/>
    </xf>
    <xf numFmtId="0" fontId="11" fillId="0" borderId="22" xfId="58" applyFont="1" applyBorder="1" applyAlignment="1">
      <alignment horizontal="center" vertical="center" textRotation="180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1" fillId="0" borderId="15" xfId="58" applyFont="1" applyBorder="1" applyAlignment="1">
      <alignment horizontal="center" vertical="center"/>
      <protection/>
    </xf>
    <xf numFmtId="0" fontId="11" fillId="0" borderId="34" xfId="58" applyFont="1" applyBorder="1" applyAlignment="1">
      <alignment horizontal="center"/>
      <protection/>
    </xf>
    <xf numFmtId="0" fontId="11" fillId="0" borderId="44" xfId="58" applyFont="1" applyBorder="1" applyAlignment="1">
      <alignment horizontal="center"/>
      <protection/>
    </xf>
    <xf numFmtId="0" fontId="11" fillId="0" borderId="45" xfId="58" applyFont="1" applyBorder="1" applyAlignment="1">
      <alignment horizontal="center"/>
      <protection/>
    </xf>
    <xf numFmtId="0" fontId="18" fillId="0" borderId="0" xfId="0" applyFont="1" applyAlignment="1">
      <alignment horizontal="right"/>
    </xf>
    <xf numFmtId="0" fontId="10" fillId="0" borderId="0" xfId="61" applyFont="1" applyAlignment="1">
      <alignment horizontal="center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1" fillId="0" borderId="34" xfId="58" applyFont="1" applyBorder="1" applyAlignment="1">
      <alignment horizontal="center" vertical="center"/>
      <protection/>
    </xf>
    <xf numFmtId="0" fontId="11" fillId="0" borderId="44" xfId="58" applyFont="1" applyBorder="1" applyAlignment="1">
      <alignment horizontal="center" vertical="center"/>
      <protection/>
    </xf>
    <xf numFmtId="0" fontId="11" fillId="0" borderId="45" xfId="58" applyFont="1" applyBorder="1" applyAlignment="1">
      <alignment horizontal="center" vertical="center"/>
      <protection/>
    </xf>
    <xf numFmtId="0" fontId="11" fillId="0" borderId="16" xfId="61" applyFont="1" applyBorder="1" applyAlignment="1">
      <alignment horizontal="right"/>
      <protection/>
    </xf>
    <xf numFmtId="0" fontId="11" fillId="0" borderId="34" xfId="58" applyFont="1" applyBorder="1" applyAlignment="1">
      <alignment horizontal="center" vertical="center" wrapText="1"/>
      <protection/>
    </xf>
    <xf numFmtId="0" fontId="11" fillId="0" borderId="44" xfId="58" applyFont="1" applyBorder="1" applyAlignment="1">
      <alignment horizontal="center" vertical="center" wrapText="1"/>
      <protection/>
    </xf>
    <xf numFmtId="0" fontId="11" fillId="0" borderId="45" xfId="58" applyFont="1" applyBorder="1" applyAlignment="1">
      <alignment horizontal="center" vertical="center" wrapText="1"/>
      <protection/>
    </xf>
    <xf numFmtId="44" fontId="11" fillId="0" borderId="34" xfId="65" applyFont="1" applyBorder="1" applyAlignment="1">
      <alignment horizontal="center" vertical="center"/>
    </xf>
    <xf numFmtId="44" fontId="11" fillId="0" borderId="44" xfId="65" applyFont="1" applyBorder="1" applyAlignment="1">
      <alignment horizontal="center" vertical="center"/>
    </xf>
    <xf numFmtId="44" fontId="11" fillId="0" borderId="45" xfId="65" applyFont="1" applyBorder="1" applyAlignment="1">
      <alignment horizontal="center" vertical="center"/>
    </xf>
    <xf numFmtId="0" fontId="7" fillId="0" borderId="12" xfId="58" applyFont="1" applyBorder="1" applyAlignment="1">
      <alignment horizontal="center"/>
      <protection/>
    </xf>
    <xf numFmtId="0" fontId="7" fillId="0" borderId="72" xfId="58" applyFont="1" applyBorder="1" applyAlignment="1">
      <alignment horizontal="center"/>
      <protection/>
    </xf>
    <xf numFmtId="0" fontId="7" fillId="0" borderId="34" xfId="58" applyFont="1" applyBorder="1" applyAlignment="1">
      <alignment horizontal="center"/>
      <protection/>
    </xf>
    <xf numFmtId="0" fontId="7" fillId="0" borderId="45" xfId="58" applyFont="1" applyBorder="1" applyAlignment="1">
      <alignment horizontal="center"/>
      <protection/>
    </xf>
    <xf numFmtId="168" fontId="23" fillId="0" borderId="12" xfId="42" applyNumberFormat="1" applyFont="1" applyBorder="1" applyAlignment="1">
      <alignment horizontal="center" vertical="center"/>
    </xf>
    <xf numFmtId="168" fontId="23" fillId="0" borderId="0" xfId="42" applyNumberFormat="1" applyFont="1" applyBorder="1" applyAlignment="1">
      <alignment horizontal="center" vertical="center"/>
    </xf>
    <xf numFmtId="168" fontId="23" fillId="0" borderId="72" xfId="42" applyNumberFormat="1" applyFont="1" applyBorder="1" applyAlignment="1">
      <alignment horizontal="center" vertical="center"/>
    </xf>
    <xf numFmtId="0" fontId="26" fillId="0" borderId="11" xfId="58" applyFont="1" applyBorder="1" applyAlignment="1">
      <alignment horizontal="center" textRotation="255"/>
      <protection/>
    </xf>
    <xf numFmtId="0" fontId="26" fillId="0" borderId="13" xfId="58" applyFont="1" applyBorder="1" applyAlignment="1">
      <alignment horizontal="center" textRotation="255"/>
      <protection/>
    </xf>
    <xf numFmtId="0" fontId="11" fillId="0" borderId="11" xfId="60" applyFont="1" applyBorder="1" applyAlignment="1">
      <alignment horizontal="center" vertical="center" wrapText="1"/>
      <protection/>
    </xf>
    <xf numFmtId="0" fontId="11" fillId="0" borderId="13" xfId="60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wrapText="1"/>
    </xf>
    <xf numFmtId="0" fontId="0" fillId="0" borderId="0" xfId="0" applyAlignment="1">
      <alignment wrapText="1"/>
    </xf>
    <xf numFmtId="0" fontId="35" fillId="0" borderId="30" xfId="0" applyFont="1" applyBorder="1" applyAlignment="1">
      <alignment horizontal="center" vertical="center"/>
    </xf>
    <xf numFmtId="0" fontId="11" fillId="0" borderId="11" xfId="60" applyFont="1" applyBorder="1" applyAlignment="1">
      <alignment horizontal="center" vertical="center" textRotation="180"/>
      <protection/>
    </xf>
    <xf numFmtId="0" fontId="11" fillId="0" borderId="13" xfId="60" applyFont="1" applyBorder="1" applyAlignment="1">
      <alignment horizontal="center" vertical="center" textRotation="180"/>
      <protection/>
    </xf>
    <xf numFmtId="0" fontId="11" fillId="0" borderId="15" xfId="60" applyFont="1" applyBorder="1" applyAlignment="1">
      <alignment horizontal="center" vertical="center" textRotation="180"/>
      <protection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60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31" fillId="0" borderId="0" xfId="0" applyFont="1" applyAlignment="1">
      <alignment horizontal="center"/>
    </xf>
    <xf numFmtId="0" fontId="12" fillId="0" borderId="11" xfId="61" applyFont="1" applyBorder="1" applyAlignment="1">
      <alignment horizontal="center" textRotation="180"/>
      <protection/>
    </xf>
    <xf numFmtId="0" fontId="12" fillId="0" borderId="13" xfId="61" applyFont="1" applyBorder="1" applyAlignment="1">
      <alignment horizontal="center" textRotation="180"/>
      <protection/>
    </xf>
    <xf numFmtId="0" fontId="12" fillId="0" borderId="15" xfId="61" applyFont="1" applyBorder="1" applyAlignment="1">
      <alignment horizontal="center" textRotation="180"/>
      <protection/>
    </xf>
    <xf numFmtId="0" fontId="6" fillId="0" borderId="0" xfId="59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11" fillId="0" borderId="0" xfId="0" applyFont="1" applyAlignment="1">
      <alignment horizontal="right"/>
    </xf>
    <xf numFmtId="168" fontId="4" fillId="0" borderId="73" xfId="40" applyNumberFormat="1" applyFont="1" applyBorder="1" applyAlignment="1">
      <alignment horizontal="center" vertical="center"/>
    </xf>
    <xf numFmtId="168" fontId="4" fillId="0" borderId="74" xfId="40" applyNumberFormat="1" applyFont="1" applyBorder="1" applyAlignment="1">
      <alignment horizontal="center" vertical="center"/>
    </xf>
    <xf numFmtId="0" fontId="4" fillId="0" borderId="75" xfId="58" applyFont="1" applyBorder="1" applyAlignment="1">
      <alignment horizontal="center" vertical="center"/>
      <protection/>
    </xf>
    <xf numFmtId="0" fontId="4" fillId="0" borderId="74" xfId="58" applyFont="1" applyBorder="1" applyAlignment="1">
      <alignment horizontal="center" vertical="center"/>
      <protection/>
    </xf>
    <xf numFmtId="0" fontId="4" fillId="0" borderId="76" xfId="58" applyFont="1" applyBorder="1" applyAlignment="1">
      <alignment horizontal="center" vertical="center"/>
      <protection/>
    </xf>
    <xf numFmtId="168" fontId="4" fillId="0" borderId="69" xfId="40" applyNumberFormat="1" applyFont="1" applyBorder="1" applyAlignment="1">
      <alignment horizontal="center" vertical="center"/>
    </xf>
    <xf numFmtId="168" fontId="4" fillId="0" borderId="21" xfId="40" applyNumberFormat="1" applyFont="1" applyBorder="1" applyAlignment="1">
      <alignment horizontal="center" vertical="center"/>
    </xf>
    <xf numFmtId="0" fontId="4" fillId="0" borderId="77" xfId="58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4" fillId="0" borderId="15" xfId="58" applyFont="1" applyBorder="1" applyAlignment="1">
      <alignment horizontal="center" vertical="center" wrapText="1"/>
      <protection/>
    </xf>
    <xf numFmtId="0" fontId="4" fillId="0" borderId="78" xfId="58" applyFont="1" applyBorder="1" applyAlignment="1">
      <alignment horizontal="center"/>
      <protection/>
    </xf>
    <xf numFmtId="0" fontId="4" fillId="0" borderId="79" xfId="58" applyFont="1" applyBorder="1" applyAlignment="1">
      <alignment horizontal="center"/>
      <protection/>
    </xf>
    <xf numFmtId="0" fontId="4" fillId="0" borderId="69" xfId="58" applyFont="1" applyBorder="1" applyAlignment="1">
      <alignment horizontal="left" vertical="center" wrapText="1"/>
      <protection/>
    </xf>
    <xf numFmtId="0" fontId="4" fillId="0" borderId="21" xfId="58" applyFont="1" applyBorder="1" applyAlignment="1">
      <alignment horizontal="left" vertical="center" wrapText="1"/>
      <protection/>
    </xf>
    <xf numFmtId="0" fontId="12" fillId="0" borderId="80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68" fontId="12" fillId="0" borderId="86" xfId="40" applyNumberFormat="1" applyFont="1" applyBorder="1" applyAlignment="1">
      <alignment horizontal="center" vertical="center"/>
    </xf>
    <xf numFmtId="168" fontId="12" fillId="0" borderId="87" xfId="40" applyNumberFormat="1" applyFont="1" applyBorder="1" applyAlignment="1">
      <alignment horizontal="center" vertical="center"/>
    </xf>
    <xf numFmtId="168" fontId="12" fillId="0" borderId="88" xfId="40" applyNumberFormat="1" applyFont="1" applyBorder="1" applyAlignment="1">
      <alignment horizontal="center" vertical="center"/>
    </xf>
    <xf numFmtId="168" fontId="12" fillId="0" borderId="89" xfId="40" applyNumberFormat="1" applyFont="1" applyBorder="1" applyAlignment="1">
      <alignment horizontal="center" vertical="center"/>
    </xf>
    <xf numFmtId="168" fontId="12" fillId="0" borderId="90" xfId="40" applyNumberFormat="1" applyFont="1" applyBorder="1" applyAlignment="1">
      <alignment horizontal="center" vertical="center"/>
    </xf>
    <xf numFmtId="168" fontId="12" fillId="0" borderId="91" xfId="40" applyNumberFormat="1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/>
    </xf>
    <xf numFmtId="0" fontId="12" fillId="0" borderId="9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2" fontId="12" fillId="0" borderId="86" xfId="0" applyNumberFormat="1" applyFont="1" applyBorder="1" applyAlignment="1">
      <alignment horizontal="center" vertical="center" wrapText="1"/>
    </xf>
    <xf numFmtId="2" fontId="12" fillId="0" borderId="87" xfId="0" applyNumberFormat="1" applyFont="1" applyBorder="1" applyAlignment="1">
      <alignment horizontal="center" vertical="center" wrapText="1"/>
    </xf>
    <xf numFmtId="2" fontId="12" fillId="0" borderId="88" xfId="0" applyNumberFormat="1" applyFont="1" applyBorder="1" applyAlignment="1">
      <alignment horizontal="center" vertical="center" wrapText="1"/>
    </xf>
    <xf numFmtId="168" fontId="12" fillId="0" borderId="93" xfId="4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64" xfId="0" applyFont="1" applyBorder="1" applyAlignment="1">
      <alignment horizontal="left" vertical="center" wrapText="1"/>
    </xf>
    <xf numFmtId="168" fontId="12" fillId="0" borderId="94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168" fontId="12" fillId="0" borderId="69" xfId="40" applyNumberFormat="1" applyFont="1" applyBorder="1" applyAlignment="1">
      <alignment horizontal="center" vertical="center"/>
    </xf>
    <xf numFmtId="168" fontId="12" fillId="0" borderId="21" xfId="40" applyNumberFormat="1" applyFont="1" applyBorder="1" applyAlignment="1">
      <alignment horizontal="center" vertical="center"/>
    </xf>
    <xf numFmtId="168" fontId="12" fillId="0" borderId="64" xfId="40" applyNumberFormat="1" applyFont="1" applyBorder="1" applyAlignment="1">
      <alignment horizontal="center" vertical="center"/>
    </xf>
    <xf numFmtId="168" fontId="18" fillId="0" borderId="96" xfId="40" applyNumberFormat="1" applyFont="1" applyBorder="1" applyAlignment="1">
      <alignment horizontal="center" vertical="center"/>
    </xf>
    <xf numFmtId="168" fontId="18" fillId="0" borderId="97" xfId="40" applyNumberFormat="1" applyFont="1" applyBorder="1" applyAlignment="1">
      <alignment horizontal="center" vertical="center"/>
    </xf>
    <xf numFmtId="168" fontId="18" fillId="0" borderId="98" xfId="4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2" fillId="0" borderId="99" xfId="0" applyFont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12" fillId="0" borderId="100" xfId="0" applyFont="1" applyBorder="1" applyAlignment="1">
      <alignment horizontal="center"/>
    </xf>
    <xf numFmtId="0" fontId="12" fillId="0" borderId="101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102" xfId="0" applyFont="1" applyBorder="1" applyAlignment="1">
      <alignment horizontal="left" vertical="center"/>
    </xf>
    <xf numFmtId="0" fontId="12" fillId="0" borderId="103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/>
    </xf>
    <xf numFmtId="0" fontId="12" fillId="0" borderId="105" xfId="0" applyFont="1" applyBorder="1" applyAlignment="1">
      <alignment horizontal="center"/>
    </xf>
    <xf numFmtId="0" fontId="6" fillId="0" borderId="55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4" fillId="0" borderId="106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30" fillId="0" borderId="32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68" fontId="12" fillId="0" borderId="32" xfId="40" applyNumberFormat="1" applyFont="1" applyBorder="1" applyAlignment="1">
      <alignment horizontal="center"/>
    </xf>
    <xf numFmtId="168" fontId="12" fillId="0" borderId="21" xfId="40" applyNumberFormat="1" applyFont="1" applyBorder="1" applyAlignment="1">
      <alignment horizontal="center"/>
    </xf>
    <xf numFmtId="168" fontId="12" fillId="0" borderId="22" xfId="40" applyNumberFormat="1" applyFont="1" applyBorder="1" applyAlignment="1">
      <alignment horizontal="center"/>
    </xf>
    <xf numFmtId="0" fontId="4" fillId="0" borderId="6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168" fontId="12" fillId="0" borderId="3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168" fontId="6" fillId="0" borderId="11" xfId="40" applyNumberFormat="1" applyFont="1" applyBorder="1" applyAlignment="1">
      <alignment horizontal="center"/>
    </xf>
    <xf numFmtId="168" fontId="6" fillId="0" borderId="15" xfId="4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4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168" fontId="12" fillId="0" borderId="29" xfId="4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2" fillId="0" borderId="107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8" fontId="12" fillId="0" borderId="10" xfId="40" applyNumberFormat="1" applyFont="1" applyBorder="1" applyAlignment="1">
      <alignment horizontal="center"/>
    </xf>
    <xf numFmtId="168" fontId="12" fillId="0" borderId="55" xfId="40" applyNumberFormat="1" applyFont="1" applyBorder="1" applyAlignment="1">
      <alignment horizontal="center"/>
    </xf>
    <xf numFmtId="168" fontId="12" fillId="0" borderId="14" xfId="40" applyNumberFormat="1" applyFont="1" applyBorder="1" applyAlignment="1">
      <alignment horizontal="center"/>
    </xf>
    <xf numFmtId="168" fontId="12" fillId="0" borderId="71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55" xfId="40" applyNumberFormat="1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71" xfId="40" applyNumberFormat="1" applyFont="1" applyBorder="1" applyAlignment="1">
      <alignment horizontal="center"/>
    </xf>
    <xf numFmtId="168" fontId="12" fillId="0" borderId="107" xfId="40" applyNumberFormat="1" applyFont="1" applyBorder="1" applyAlignment="1">
      <alignment horizontal="center"/>
    </xf>
    <xf numFmtId="168" fontId="12" fillId="0" borderId="59" xfId="4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10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6" fillId="0" borderId="11" xfId="57" applyFont="1" applyBorder="1" applyAlignment="1">
      <alignment horizontal="center" vertical="center"/>
      <protection/>
    </xf>
    <xf numFmtId="0" fontId="6" fillId="0" borderId="13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6" fillId="0" borderId="34" xfId="57" applyFont="1" applyBorder="1" applyAlignment="1">
      <alignment horizontal="center"/>
      <protection/>
    </xf>
    <xf numFmtId="0" fontId="6" fillId="0" borderId="44" xfId="57" applyFont="1" applyBorder="1" applyAlignment="1">
      <alignment horizontal="center"/>
      <protection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19" fillId="0" borderId="30" xfId="0" applyFont="1" applyBorder="1" applyAlignment="1">
      <alignment wrapText="1"/>
    </xf>
    <xf numFmtId="0" fontId="37" fillId="0" borderId="0" xfId="0" applyFont="1" applyAlignment="1">
      <alignment horizontal="center" vertical="center"/>
    </xf>
    <xf numFmtId="0" fontId="35" fillId="0" borderId="30" xfId="0" applyFont="1" applyBorder="1" applyAlignment="1">
      <alignment horizontal="center" vertical="center" wrapText="1"/>
    </xf>
    <xf numFmtId="0" fontId="4" fillId="0" borderId="42" xfId="0" applyFont="1" applyBorder="1" applyAlignment="1">
      <alignment/>
    </xf>
    <xf numFmtId="168" fontId="6" fillId="0" borderId="0" xfId="61" applyNumberFormat="1" applyFont="1" applyBorder="1" applyAlignment="1">
      <alignment horizontal="right"/>
      <protection/>
    </xf>
    <xf numFmtId="49" fontId="12" fillId="0" borderId="0" xfId="61" applyNumberFormat="1" applyFont="1" quotePrefix="1">
      <alignment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 quotePrefix="1">
      <alignment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KONEPC99" xfId="57"/>
    <cellStyle name="Normál_KTGV99" xfId="58"/>
    <cellStyle name="Normál_mérleg" xfId="59"/>
    <cellStyle name="Normál_PHKV99" xfId="60"/>
    <cellStyle name="Normál_SIKONC99" xfId="61"/>
    <cellStyle name="Összesen" xfId="62"/>
    <cellStyle name="Currency" xfId="63"/>
    <cellStyle name="Currency [0]" xfId="64"/>
    <cellStyle name="Pénznem 2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8:U63"/>
  <sheetViews>
    <sheetView tabSelected="1" zoomScalePageLayoutView="0" workbookViewId="0" topLeftCell="C28">
      <selection activeCell="G52" sqref="G52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47"/>
      <c r="J39" s="2"/>
      <c r="L39" s="506" t="s">
        <v>4</v>
      </c>
      <c r="M39" s="506"/>
      <c r="N39" s="506"/>
      <c r="O39" s="506"/>
      <c r="P39" s="506"/>
      <c r="Q39" s="506"/>
      <c r="R39" s="506"/>
      <c r="S39" s="506"/>
      <c r="T39" s="506"/>
      <c r="U39" s="47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46"/>
      <c r="J41" s="2"/>
      <c r="L41" s="506" t="s">
        <v>575</v>
      </c>
      <c r="M41" s="506"/>
      <c r="N41" s="506"/>
      <c r="O41" s="506"/>
      <c r="P41" s="506"/>
      <c r="Q41" s="506"/>
      <c r="R41" s="506"/>
      <c r="S41" s="506"/>
      <c r="T41" s="506"/>
      <c r="U41" s="47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46"/>
      <c r="J43" s="2"/>
      <c r="L43" s="506" t="s">
        <v>436</v>
      </c>
      <c r="M43" s="506"/>
      <c r="N43" s="506"/>
      <c r="O43" s="506"/>
      <c r="P43" s="506"/>
      <c r="Q43" s="506"/>
      <c r="R43" s="506"/>
      <c r="S43" s="506"/>
      <c r="T43" s="506"/>
      <c r="U43" s="47"/>
    </row>
    <row r="44" spans="2:10" ht="27.75">
      <c r="B44" s="2"/>
      <c r="C44" s="3"/>
      <c r="D44" s="3"/>
      <c r="E44" s="3"/>
      <c r="F44" s="3"/>
      <c r="G44" s="3"/>
      <c r="H44" s="3"/>
      <c r="I44" s="3"/>
      <c r="J44" s="2"/>
    </row>
    <row r="45" spans="2:20" ht="27.75">
      <c r="B45" s="2"/>
      <c r="C45" s="3"/>
      <c r="D45" s="3"/>
      <c r="E45" s="3"/>
      <c r="F45" s="3"/>
      <c r="G45" s="3"/>
      <c r="H45" s="3"/>
      <c r="I45" s="3"/>
      <c r="J45" s="2"/>
      <c r="L45" s="507"/>
      <c r="M45" s="507"/>
      <c r="N45" s="507"/>
      <c r="O45" s="507"/>
      <c r="P45" s="507"/>
      <c r="Q45" s="507"/>
      <c r="R45" s="507"/>
      <c r="S45" s="507"/>
      <c r="T45" s="507"/>
    </row>
    <row r="46" spans="2:15" ht="27.75">
      <c r="B46" s="2"/>
      <c r="C46" s="2"/>
      <c r="D46" s="2"/>
      <c r="E46" s="2"/>
      <c r="F46" s="2"/>
      <c r="G46" s="2"/>
      <c r="H46" s="2"/>
      <c r="I46" s="2"/>
      <c r="J46" s="2"/>
      <c r="L46" s="48"/>
      <c r="M46" s="249"/>
      <c r="N46" s="14"/>
      <c r="O46" s="146"/>
    </row>
    <row r="47" spans="1:10" ht="27.75">
      <c r="A47" s="48"/>
      <c r="B47" s="49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 password="AF00" sheet="1"/>
  <mergeCells count="4">
    <mergeCell ref="L39:T39"/>
    <mergeCell ref="L41:T41"/>
    <mergeCell ref="L43:T43"/>
    <mergeCell ref="L45:T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5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6.625" style="0" customWidth="1"/>
    <col min="2" max="2" width="65.25390625" style="0" customWidth="1"/>
    <col min="3" max="3" width="12.00390625" style="0" customWidth="1"/>
  </cols>
  <sheetData>
    <row r="1" spans="1:3" ht="15.75">
      <c r="A1" s="585" t="s">
        <v>600</v>
      </c>
      <c r="B1" s="509"/>
      <c r="C1" s="509"/>
    </row>
    <row r="3" spans="1:2" ht="12.75">
      <c r="A3" s="500"/>
      <c r="B3" s="500"/>
    </row>
    <row r="5" ht="12.75">
      <c r="B5" s="499"/>
    </row>
    <row r="7" ht="12.75">
      <c r="B7" s="380" t="s">
        <v>39</v>
      </c>
    </row>
    <row r="8" ht="12.75">
      <c r="B8" s="380" t="s">
        <v>455</v>
      </c>
    </row>
    <row r="9" ht="12.75">
      <c r="B9" s="380" t="s">
        <v>579</v>
      </c>
    </row>
    <row r="11" spans="1:4" ht="39" customHeight="1">
      <c r="A11" s="497" t="s">
        <v>635</v>
      </c>
      <c r="B11" s="498" t="s">
        <v>0</v>
      </c>
      <c r="C11" s="497" t="s">
        <v>571</v>
      </c>
      <c r="D11" s="377"/>
    </row>
    <row r="15" spans="1:2" ht="12.75">
      <c r="A15" s="258" t="s">
        <v>42</v>
      </c>
      <c r="B15" s="258" t="s">
        <v>511</v>
      </c>
    </row>
    <row r="17" spans="1:2" ht="18" customHeight="1">
      <c r="A17" s="365" t="s">
        <v>482</v>
      </c>
      <c r="B17" s="495" t="s">
        <v>512</v>
      </c>
    </row>
    <row r="18" spans="1:3" ht="12.75">
      <c r="A18" s="492" t="s">
        <v>634</v>
      </c>
      <c r="B18" t="s">
        <v>597</v>
      </c>
      <c r="C18" s="432">
        <v>2204730</v>
      </c>
    </row>
    <row r="19" spans="1:3" ht="12.75">
      <c r="A19" s="492" t="s">
        <v>484</v>
      </c>
      <c r="B19" t="s">
        <v>631</v>
      </c>
      <c r="C19" s="494">
        <v>595277</v>
      </c>
    </row>
    <row r="20" spans="2:3" ht="12.75">
      <c r="B20" s="258" t="s">
        <v>456</v>
      </c>
      <c r="C20" s="430">
        <f>C18+C19</f>
        <v>2800007</v>
      </c>
    </row>
    <row r="21" spans="2:3" ht="12.75">
      <c r="B21" s="258"/>
      <c r="C21" s="430"/>
    </row>
    <row r="22" spans="1:3" ht="12.75">
      <c r="A22" s="496" t="s">
        <v>655</v>
      </c>
      <c r="B22" s="826" t="s">
        <v>654</v>
      </c>
      <c r="C22" s="493">
        <v>11455031</v>
      </c>
    </row>
    <row r="23" spans="1:3" ht="12.75">
      <c r="A23" s="492" t="s">
        <v>653</v>
      </c>
      <c r="B23" t="s">
        <v>631</v>
      </c>
      <c r="C23" s="491">
        <v>3092859</v>
      </c>
    </row>
    <row r="24" spans="1:3" ht="12.75">
      <c r="A24" s="492"/>
      <c r="B24" s="258" t="s">
        <v>456</v>
      </c>
      <c r="C24" s="430">
        <f>C22+C23</f>
        <v>14547890</v>
      </c>
    </row>
    <row r="25" spans="1:3" ht="12.75">
      <c r="A25" s="492"/>
      <c r="B25" s="258"/>
      <c r="C25" s="430"/>
    </row>
    <row r="26" spans="1:3" ht="12.75">
      <c r="A26" s="492" t="s">
        <v>652</v>
      </c>
      <c r="B26" s="826" t="s">
        <v>651</v>
      </c>
      <c r="C26" s="493">
        <v>2021477</v>
      </c>
    </row>
    <row r="27" spans="1:3" ht="12.75">
      <c r="A27" s="492" t="s">
        <v>650</v>
      </c>
      <c r="B27" t="s">
        <v>631</v>
      </c>
      <c r="C27" s="491">
        <v>545798</v>
      </c>
    </row>
    <row r="28" spans="1:3" ht="12.75">
      <c r="A28" s="492"/>
      <c r="B28" s="258" t="s">
        <v>456</v>
      </c>
      <c r="C28" s="430">
        <f>C26+C27</f>
        <v>2567275</v>
      </c>
    </row>
    <row r="29" spans="1:3" ht="12.75">
      <c r="A29" s="492"/>
      <c r="B29" s="258"/>
      <c r="C29" s="430"/>
    </row>
    <row r="30" spans="2:3" ht="12.75">
      <c r="B30" s="258"/>
      <c r="C30" s="430"/>
    </row>
    <row r="31" spans="1:3" ht="12.75">
      <c r="A31" s="496" t="s">
        <v>485</v>
      </c>
      <c r="B31" s="495" t="s">
        <v>649</v>
      </c>
      <c r="C31" s="493"/>
    </row>
    <row r="32" spans="1:3" ht="12.75">
      <c r="A32" s="827" t="s">
        <v>569</v>
      </c>
      <c r="B32" s="826" t="s">
        <v>648</v>
      </c>
      <c r="C32" s="493">
        <v>3927560</v>
      </c>
    </row>
    <row r="33" spans="1:3" ht="12.75">
      <c r="A33" s="492" t="s">
        <v>646</v>
      </c>
      <c r="B33" t="s">
        <v>631</v>
      </c>
      <c r="C33" s="491">
        <v>1060441</v>
      </c>
    </row>
    <row r="34" spans="1:3" ht="12.75">
      <c r="A34" s="492"/>
      <c r="B34" s="258" t="s">
        <v>456</v>
      </c>
      <c r="C34" s="430">
        <f>C32+C33</f>
        <v>4988001</v>
      </c>
    </row>
    <row r="35" spans="1:3" ht="12.75">
      <c r="A35" s="492"/>
      <c r="C35" s="430"/>
    </row>
    <row r="36" spans="1:3" ht="12.75">
      <c r="A36" s="492" t="s">
        <v>632</v>
      </c>
      <c r="B36" t="s">
        <v>647</v>
      </c>
      <c r="C36" s="493">
        <v>61407949</v>
      </c>
    </row>
    <row r="37" spans="1:3" ht="12.75">
      <c r="A37" s="492" t="s">
        <v>645</v>
      </c>
      <c r="B37" t="s">
        <v>631</v>
      </c>
      <c r="C37" s="491">
        <v>16580146</v>
      </c>
    </row>
    <row r="38" spans="1:3" ht="12.75">
      <c r="A38" s="492"/>
      <c r="B38" s="258" t="s">
        <v>456</v>
      </c>
      <c r="C38" s="430">
        <f>C36+C37</f>
        <v>77988095</v>
      </c>
    </row>
    <row r="39" ht="12.75">
      <c r="C39" s="826"/>
    </row>
    <row r="40" spans="1:2" ht="20.25" customHeight="1">
      <c r="A40" s="496" t="s">
        <v>485</v>
      </c>
      <c r="B40" s="495" t="s">
        <v>568</v>
      </c>
    </row>
    <row r="41" spans="1:3" ht="12.75">
      <c r="A41" s="492" t="s">
        <v>569</v>
      </c>
      <c r="B41" t="s">
        <v>570</v>
      </c>
      <c r="C41" s="432">
        <v>400000</v>
      </c>
    </row>
    <row r="42" spans="1:3" ht="12.75">
      <c r="A42" s="492" t="s">
        <v>646</v>
      </c>
      <c r="B42" t="s">
        <v>631</v>
      </c>
      <c r="C42" s="494">
        <v>108000</v>
      </c>
    </row>
    <row r="43" spans="2:3" ht="12.75">
      <c r="B43" s="258" t="s">
        <v>456</v>
      </c>
      <c r="C43" s="430">
        <f>C41+C42</f>
        <v>508000</v>
      </c>
    </row>
    <row r="44" spans="2:3" ht="12.75">
      <c r="B44" s="258"/>
      <c r="C44" s="430"/>
    </row>
    <row r="45" spans="1:3" ht="12.75">
      <c r="A45" s="492" t="s">
        <v>632</v>
      </c>
      <c r="B45" t="s">
        <v>633</v>
      </c>
      <c r="C45" s="493">
        <v>329875</v>
      </c>
    </row>
    <row r="46" spans="1:3" ht="12.75">
      <c r="A46" s="492" t="s">
        <v>645</v>
      </c>
      <c r="B46" t="s">
        <v>631</v>
      </c>
      <c r="C46" s="491">
        <v>89066</v>
      </c>
    </row>
    <row r="47" spans="2:3" ht="12.75">
      <c r="B47" s="258" t="s">
        <v>456</v>
      </c>
      <c r="C47" s="430">
        <f>C45+C46</f>
        <v>418941</v>
      </c>
    </row>
    <row r="48" spans="2:3" ht="12.75">
      <c r="B48" s="258"/>
      <c r="C48" s="430"/>
    </row>
    <row r="50" spans="2:3" ht="16.5" customHeight="1">
      <c r="B50" s="258" t="s">
        <v>457</v>
      </c>
      <c r="C50" s="430">
        <f>C20+C43+C47+C24+C34+C38+C28</f>
        <v>103818209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72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445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508" t="s">
        <v>636</v>
      </c>
      <c r="B1" s="508"/>
      <c r="C1" s="508"/>
    </row>
    <row r="3" spans="1:3" ht="15.75">
      <c r="A3" s="513"/>
      <c r="B3" s="513"/>
      <c r="C3" s="513"/>
    </row>
    <row r="4" s="117" customFormat="1" ht="15.75">
      <c r="C4" s="457"/>
    </row>
    <row r="5" spans="1:3" s="110" customFormat="1" ht="15">
      <c r="A5" s="630"/>
      <c r="B5" s="630"/>
      <c r="C5" s="630"/>
    </row>
    <row r="6" spans="1:3" s="110" customFormat="1" ht="6.75" customHeight="1">
      <c r="A6" s="118"/>
      <c r="B6" s="60"/>
      <c r="C6" s="60"/>
    </row>
    <row r="7" spans="1:3" ht="15.75">
      <c r="A7" s="527" t="s">
        <v>4</v>
      </c>
      <c r="B7" s="527"/>
      <c r="C7" s="527"/>
    </row>
    <row r="8" spans="1:3" ht="15.75">
      <c r="A8" s="537" t="s">
        <v>283</v>
      </c>
      <c r="B8" s="537"/>
      <c r="C8" s="537"/>
    </row>
    <row r="9" spans="1:3" ht="15.75">
      <c r="A9" s="537" t="s">
        <v>227</v>
      </c>
      <c r="B9" s="537"/>
      <c r="C9" s="537"/>
    </row>
    <row r="10" spans="1:3" ht="15.75">
      <c r="A10" s="537" t="s">
        <v>579</v>
      </c>
      <c r="B10" s="537"/>
      <c r="C10" s="537"/>
    </row>
    <row r="11" ht="16.5" thickBot="1"/>
    <row r="12" spans="1:3" ht="15.75">
      <c r="A12" s="124" t="s">
        <v>40</v>
      </c>
      <c r="B12" s="119"/>
      <c r="C12" s="454" t="s">
        <v>18</v>
      </c>
    </row>
    <row r="13" spans="1:3" ht="15.75">
      <c r="A13" s="120"/>
      <c r="B13" s="121" t="s">
        <v>0</v>
      </c>
      <c r="C13" s="453" t="s">
        <v>9</v>
      </c>
    </row>
    <row r="14" spans="1:4" ht="18" customHeight="1" thickBot="1">
      <c r="A14" s="122" t="s">
        <v>41</v>
      </c>
      <c r="B14" s="125"/>
      <c r="C14" s="452" t="s">
        <v>1</v>
      </c>
      <c r="D14" s="287"/>
    </row>
    <row r="15" spans="2:4" ht="8.25" customHeight="1">
      <c r="B15" s="254"/>
      <c r="C15" s="255"/>
      <c r="D15" s="449"/>
    </row>
    <row r="16" spans="1:3" ht="20.25" customHeight="1">
      <c r="A16" s="627" t="s">
        <v>228</v>
      </c>
      <c r="B16" s="627"/>
      <c r="C16" s="627"/>
    </row>
    <row r="17" spans="1:3" ht="20.25" customHeight="1">
      <c r="A17" s="126" t="s">
        <v>42</v>
      </c>
      <c r="B17" s="127" t="s">
        <v>229</v>
      </c>
      <c r="C17" s="456"/>
    </row>
    <row r="18" spans="1:3" ht="20.25" customHeight="1">
      <c r="A18" s="126"/>
      <c r="B18" s="16" t="s">
        <v>230</v>
      </c>
      <c r="C18" s="456">
        <f>'2.mell - bevétel'!H56</f>
        <v>31984557</v>
      </c>
    </row>
    <row r="19" spans="1:5" ht="20.25" customHeight="1">
      <c r="A19" s="126"/>
      <c r="B19" s="93" t="s">
        <v>231</v>
      </c>
      <c r="C19" s="456">
        <f>'2.mell - bevétel'!H63</f>
        <v>1404292</v>
      </c>
      <c r="D19" s="91"/>
      <c r="E19" s="91"/>
    </row>
    <row r="20" spans="1:3" ht="20.25" customHeight="1">
      <c r="A20" s="126" t="s">
        <v>25</v>
      </c>
      <c r="B20" s="127" t="s">
        <v>232</v>
      </c>
      <c r="C20" s="456">
        <f>'2.mell - bevétel'!H89</f>
        <v>7813000</v>
      </c>
    </row>
    <row r="21" spans="1:3" ht="20.25" customHeight="1">
      <c r="A21" s="126" t="s">
        <v>43</v>
      </c>
      <c r="B21" s="127" t="s">
        <v>233</v>
      </c>
      <c r="C21" s="456">
        <f>'2.mell - bevétel'!H111</f>
        <v>10105565</v>
      </c>
    </row>
    <row r="22" spans="1:3" ht="20.25" customHeight="1">
      <c r="A22" s="126" t="s">
        <v>99</v>
      </c>
      <c r="B22" s="128" t="s">
        <v>234</v>
      </c>
      <c r="C22" s="456"/>
    </row>
    <row r="23" spans="1:5" ht="36" customHeight="1">
      <c r="A23" s="126"/>
      <c r="B23" s="93" t="s">
        <v>235</v>
      </c>
      <c r="C23" s="456"/>
      <c r="D23" s="93"/>
      <c r="E23" s="93"/>
    </row>
    <row r="24" spans="1:3" ht="20.25" customHeight="1">
      <c r="A24" s="126"/>
      <c r="B24" s="16" t="s">
        <v>236</v>
      </c>
      <c r="C24" s="456"/>
    </row>
    <row r="25" spans="1:3" ht="30" customHeight="1">
      <c r="A25" s="301"/>
      <c r="B25" s="302" t="s">
        <v>237</v>
      </c>
      <c r="C25" s="446">
        <f>SUM(C18:C24)</f>
        <v>51307414</v>
      </c>
    </row>
    <row r="26" spans="1:3" ht="21" customHeight="1">
      <c r="A26" s="123" t="s">
        <v>100</v>
      </c>
      <c r="B26" s="127" t="s">
        <v>238</v>
      </c>
      <c r="C26" s="384">
        <f>'4.mell. - kiadás'!E45</f>
        <v>24364383</v>
      </c>
    </row>
    <row r="27" spans="1:3" ht="21" customHeight="1">
      <c r="A27" s="123" t="s">
        <v>106</v>
      </c>
      <c r="B27" s="127" t="s">
        <v>239</v>
      </c>
      <c r="C27" s="384">
        <f>'4.mell. - kiadás'!F45</f>
        <v>4665235</v>
      </c>
    </row>
    <row r="28" spans="1:3" ht="21" customHeight="1">
      <c r="A28" s="123" t="s">
        <v>240</v>
      </c>
      <c r="B28" s="131" t="s">
        <v>241</v>
      </c>
      <c r="C28" s="384">
        <f>'4.mell. - kiadás'!G45</f>
        <v>24832458</v>
      </c>
    </row>
    <row r="29" spans="1:3" ht="21" customHeight="1">
      <c r="A29" s="123" t="s">
        <v>242</v>
      </c>
      <c r="B29" s="131" t="s">
        <v>243</v>
      </c>
      <c r="C29" s="384">
        <f>'4.mell. - kiadás'!H45</f>
        <v>3061400</v>
      </c>
    </row>
    <row r="30" spans="1:3" ht="21" customHeight="1">
      <c r="A30" s="123" t="s">
        <v>244</v>
      </c>
      <c r="B30" s="131" t="s">
        <v>245</v>
      </c>
      <c r="C30" s="384"/>
    </row>
    <row r="31" spans="1:3" ht="32.25" customHeight="1">
      <c r="A31" s="123"/>
      <c r="B31" s="93" t="s">
        <v>246</v>
      </c>
      <c r="C31" s="455"/>
    </row>
    <row r="32" spans="1:3" ht="15.75">
      <c r="A32" s="123"/>
      <c r="B32" s="132" t="s">
        <v>572</v>
      </c>
      <c r="C32" s="455">
        <f>'4.mell. - kiadás'!I45-C33</f>
        <v>2740000</v>
      </c>
    </row>
    <row r="33" spans="1:5" ht="15.75">
      <c r="A33" s="123"/>
      <c r="B33" s="132" t="s">
        <v>247</v>
      </c>
      <c r="C33" s="445">
        <f>'1.mell. -mérleg'!C41</f>
        <v>20701085</v>
      </c>
      <c r="E33" s="94"/>
    </row>
    <row r="34" spans="1:6" ht="33.75" customHeight="1">
      <c r="A34" s="301"/>
      <c r="B34" s="302" t="s">
        <v>248</v>
      </c>
      <c r="C34" s="446">
        <f>SUM(C26:C33)</f>
        <v>80364561</v>
      </c>
      <c r="E34" s="94"/>
      <c r="F34" s="94"/>
    </row>
    <row r="35" spans="1:3" ht="15.75">
      <c r="A35" s="628"/>
      <c r="B35" s="628"/>
      <c r="C35" s="628"/>
    </row>
    <row r="36" spans="1:3" ht="15.75">
      <c r="A36" s="250"/>
      <c r="B36" s="250"/>
      <c r="C36" s="250"/>
    </row>
    <row r="37" spans="1:3" ht="15.75">
      <c r="A37" s="250"/>
      <c r="B37" s="250"/>
      <c r="C37" s="250"/>
    </row>
    <row r="38" spans="1:3" ht="15.75">
      <c r="A38" s="250"/>
      <c r="B38" s="250"/>
      <c r="C38" s="250"/>
    </row>
    <row r="39" spans="1:3" ht="16.5" thickBot="1">
      <c r="A39" s="250"/>
      <c r="B39" s="250"/>
      <c r="C39" s="250"/>
    </row>
    <row r="40" spans="1:3" ht="15.75">
      <c r="A40" s="124" t="s">
        <v>40</v>
      </c>
      <c r="B40" s="119"/>
      <c r="C40" s="454" t="s">
        <v>18</v>
      </c>
    </row>
    <row r="41" spans="1:3" ht="12.75" customHeight="1">
      <c r="A41" s="120"/>
      <c r="B41" s="121" t="s">
        <v>0</v>
      </c>
      <c r="C41" s="453"/>
    </row>
    <row r="42" spans="1:3" ht="21.75" customHeight="1" thickBot="1">
      <c r="A42" s="122" t="s">
        <v>41</v>
      </c>
      <c r="B42" s="125"/>
      <c r="C42" s="452" t="s">
        <v>9</v>
      </c>
    </row>
    <row r="43" spans="1:3" ht="12" customHeight="1">
      <c r="A43" s="137"/>
      <c r="B43" s="253"/>
      <c r="C43" s="449"/>
    </row>
    <row r="44" spans="1:3" ht="21" customHeight="1">
      <c r="A44" s="629" t="s">
        <v>249</v>
      </c>
      <c r="B44" s="629"/>
      <c r="C44" s="629"/>
    </row>
    <row r="45" spans="1:3" ht="21" customHeight="1">
      <c r="A45" s="123" t="s">
        <v>250</v>
      </c>
      <c r="B45" s="52" t="s">
        <v>251</v>
      </c>
      <c r="C45" s="445">
        <f>'2.mell - bevétel'!H65</f>
        <v>0</v>
      </c>
    </row>
    <row r="46" spans="1:2" ht="21" customHeight="1">
      <c r="A46" s="123" t="s">
        <v>252</v>
      </c>
      <c r="B46" s="52" t="s">
        <v>253</v>
      </c>
    </row>
    <row r="47" spans="1:2" ht="21" customHeight="1">
      <c r="A47" s="123" t="s">
        <v>254</v>
      </c>
      <c r="B47" s="128" t="s">
        <v>255</v>
      </c>
    </row>
    <row r="48" spans="1:3" ht="31.5" customHeight="1">
      <c r="A48" s="123"/>
      <c r="B48" s="105" t="s">
        <v>256</v>
      </c>
      <c r="C48" s="445">
        <f>'2.mell - bevétel'!H119</f>
        <v>346850</v>
      </c>
    </row>
    <row r="49" spans="1:3" ht="21" customHeight="1">
      <c r="A49" s="123"/>
      <c r="B49" s="44" t="s">
        <v>257</v>
      </c>
      <c r="C49" s="445">
        <f>'2.mell - bevétel'!H120</f>
        <v>6000000</v>
      </c>
    </row>
    <row r="50" spans="1:5" ht="30" customHeight="1">
      <c r="A50" s="301"/>
      <c r="B50" s="302" t="s">
        <v>258</v>
      </c>
      <c r="C50" s="446">
        <f>SUM(C45:C49)</f>
        <v>6346850</v>
      </c>
      <c r="E50" s="94"/>
    </row>
    <row r="51" spans="1:3" ht="21" customHeight="1">
      <c r="A51" s="123" t="s">
        <v>259</v>
      </c>
      <c r="B51" s="52" t="s">
        <v>260</v>
      </c>
      <c r="C51" s="445">
        <f>'4.mell. - kiadás'!K45</f>
        <v>14251934</v>
      </c>
    </row>
    <row r="52" spans="1:3" ht="21" customHeight="1">
      <c r="A52" s="123" t="s">
        <v>261</v>
      </c>
      <c r="B52" s="52" t="s">
        <v>262</v>
      </c>
      <c r="C52" s="445">
        <f>'4.mell. - kiadás'!L45</f>
        <v>103818209</v>
      </c>
    </row>
    <row r="53" spans="1:2" ht="21" customHeight="1">
      <c r="A53" s="123" t="s">
        <v>263</v>
      </c>
      <c r="B53" s="128" t="s">
        <v>264</v>
      </c>
    </row>
    <row r="54" spans="1:3" ht="21" customHeight="1">
      <c r="A54" s="123"/>
      <c r="B54" s="132" t="s">
        <v>265</v>
      </c>
      <c r="C54" s="445">
        <f>'4.mell. - kiadás'!M45</f>
        <v>2000000</v>
      </c>
    </row>
    <row r="55" spans="1:2" ht="21" customHeight="1">
      <c r="A55" s="123"/>
      <c r="B55" s="132" t="s">
        <v>247</v>
      </c>
    </row>
    <row r="56" spans="1:6" s="9" customFormat="1" ht="27.75" customHeight="1" thickBot="1">
      <c r="A56" s="301"/>
      <c r="B56" s="302" t="s">
        <v>266</v>
      </c>
      <c r="C56" s="446">
        <f>SUM(C51:C55)</f>
        <v>120070143</v>
      </c>
      <c r="F56" s="133"/>
    </row>
    <row r="57" spans="1:3" s="9" customFormat="1" ht="24" customHeight="1" thickBot="1">
      <c r="A57" s="134"/>
      <c r="B57" s="135" t="s">
        <v>267</v>
      </c>
      <c r="C57" s="451">
        <f>C25+C50</f>
        <v>57654264</v>
      </c>
    </row>
    <row r="58" spans="1:6" s="9" customFormat="1" ht="22.5" customHeight="1" thickBot="1">
      <c r="A58" s="134"/>
      <c r="B58" s="135" t="s">
        <v>268</v>
      </c>
      <c r="C58" s="451">
        <f>C34+C56</f>
        <v>200434704</v>
      </c>
      <c r="F58" s="133"/>
    </row>
    <row r="59" spans="1:3" s="9" customFormat="1" ht="15.75">
      <c r="A59" s="136"/>
      <c r="B59" s="137"/>
      <c r="C59" s="450"/>
    </row>
    <row r="60" spans="1:3" s="138" customFormat="1" ht="9.75" customHeight="1">
      <c r="A60" s="256"/>
      <c r="B60" s="256"/>
      <c r="C60" s="256"/>
    </row>
    <row r="61" spans="1:3" s="138" customFormat="1" ht="9" customHeight="1">
      <c r="A61" s="137"/>
      <c r="B61" s="144"/>
      <c r="C61" s="449"/>
    </row>
    <row r="62" spans="1:3" ht="20.25" customHeight="1">
      <c r="A62" s="626" t="s">
        <v>269</v>
      </c>
      <c r="B62" s="626"/>
      <c r="C62" s="626"/>
    </row>
    <row r="63" spans="1:3" ht="6.75" customHeight="1">
      <c r="A63" s="139"/>
      <c r="B63" s="139"/>
      <c r="C63" s="139"/>
    </row>
    <row r="64" spans="1:3" ht="20.25" customHeight="1">
      <c r="A64" s="129" t="s">
        <v>270</v>
      </c>
      <c r="B64" s="140" t="s">
        <v>271</v>
      </c>
      <c r="C64" s="447">
        <f>'2.mell - bevétel'!H130</f>
        <v>25744918</v>
      </c>
    </row>
    <row r="65" spans="1:3" ht="20.25" customHeight="1">
      <c r="A65" s="129" t="s">
        <v>273</v>
      </c>
      <c r="B65" s="130" t="s">
        <v>574</v>
      </c>
      <c r="C65" s="447"/>
    </row>
    <row r="66" spans="1:3" ht="21" customHeight="1">
      <c r="A66" s="129"/>
      <c r="B66" s="130" t="s">
        <v>272</v>
      </c>
      <c r="C66" s="446">
        <f>SUM(C64:C65)</f>
        <v>25744918</v>
      </c>
    </row>
    <row r="67" spans="1:3" ht="21" customHeight="1">
      <c r="A67" s="126" t="s">
        <v>275</v>
      </c>
      <c r="B67" s="130" t="s">
        <v>452</v>
      </c>
      <c r="C67" s="448">
        <f>'4.mell. - kiadás'!R45</f>
        <v>1240566</v>
      </c>
    </row>
    <row r="68" spans="1:3" ht="15.75">
      <c r="A68" s="126" t="s">
        <v>347</v>
      </c>
      <c r="B68" s="140" t="s">
        <v>274</v>
      </c>
      <c r="C68" s="447"/>
    </row>
    <row r="69" spans="1:3" ht="15.75">
      <c r="A69" s="123" t="s">
        <v>349</v>
      </c>
      <c r="B69" s="140" t="s">
        <v>276</v>
      </c>
      <c r="C69" s="447"/>
    </row>
    <row r="70" spans="1:3" s="141" customFormat="1" ht="30" customHeight="1" thickBot="1">
      <c r="A70" s="129"/>
      <c r="B70" s="130" t="s">
        <v>277</v>
      </c>
      <c r="C70" s="446">
        <f>SUM(C67:C69)</f>
        <v>1240566</v>
      </c>
    </row>
    <row r="71" spans="1:5" s="141" customFormat="1" ht="37.5" customHeight="1" thickBot="1">
      <c r="A71" s="142"/>
      <c r="B71" s="303" t="s">
        <v>278</v>
      </c>
      <c r="C71" s="304">
        <f>C57+C66</f>
        <v>83399182</v>
      </c>
      <c r="E71" s="143"/>
    </row>
    <row r="72" spans="1:5" ht="34.5" customHeight="1" thickBot="1">
      <c r="A72" s="142"/>
      <c r="B72" s="303" t="s">
        <v>279</v>
      </c>
      <c r="C72" s="304">
        <f>C58+C70</f>
        <v>201675270</v>
      </c>
      <c r="E72" s="143"/>
    </row>
  </sheetData>
  <sheetProtection/>
  <mergeCells count="11">
    <mergeCell ref="A1:C1"/>
    <mergeCell ref="A35:C35"/>
    <mergeCell ref="A44:C44"/>
    <mergeCell ref="A3:C3"/>
    <mergeCell ref="A5:C5"/>
    <mergeCell ref="A7:C7"/>
    <mergeCell ref="A62:C62"/>
    <mergeCell ref="A8:C8"/>
    <mergeCell ref="A9:C9"/>
    <mergeCell ref="A10:C10"/>
    <mergeCell ref="A16:C1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57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5.125" style="44" customWidth="1"/>
    <col min="2" max="2" width="43.625" style="44" customWidth="1"/>
    <col min="3" max="11" width="15.375" style="384" customWidth="1"/>
    <col min="12" max="12" width="16.875" style="384" customWidth="1"/>
    <col min="13" max="13" width="16.75390625" style="384" customWidth="1"/>
    <col min="14" max="14" width="16.25390625" style="384" customWidth="1"/>
    <col min="15" max="15" width="16.625" style="384" customWidth="1"/>
    <col min="16" max="17" width="15.625" style="44" bestFit="1" customWidth="1"/>
    <col min="18" max="18" width="12.625" style="44" bestFit="1" customWidth="1"/>
    <col min="19" max="16384" width="9.125" style="44" customWidth="1"/>
  </cols>
  <sheetData>
    <row r="1" spans="1:15" ht="15.75">
      <c r="A1" s="585" t="s">
        <v>637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</row>
    <row r="3" spans="1:15" s="95" customFormat="1" ht="15.75">
      <c r="A3" s="538"/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</row>
    <row r="5" spans="2:15" ht="15.75"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</row>
    <row r="6" spans="2:15" ht="15.75"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</row>
    <row r="7" spans="2:15" ht="15.75">
      <c r="B7" s="511" t="s">
        <v>39</v>
      </c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</row>
    <row r="8" spans="2:15" ht="15.75">
      <c r="B8" s="511" t="s">
        <v>312</v>
      </c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</row>
    <row r="9" spans="2:15" ht="15.75">
      <c r="B9" s="511" t="s">
        <v>579</v>
      </c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</row>
    <row r="10" spans="3:15" ht="16.5" thickBot="1">
      <c r="C10" s="383"/>
      <c r="D10" s="383"/>
      <c r="E10" s="383"/>
      <c r="F10" s="487"/>
      <c r="G10" s="383"/>
      <c r="H10" s="383"/>
      <c r="I10" s="383"/>
      <c r="J10" s="383"/>
      <c r="O10" s="486" t="s">
        <v>460</v>
      </c>
    </row>
    <row r="11" spans="1:15" ht="15.75">
      <c r="A11" s="170" t="s">
        <v>40</v>
      </c>
      <c r="B11" s="171"/>
      <c r="C11" s="485"/>
      <c r="D11" s="484"/>
      <c r="E11" s="483"/>
      <c r="F11" s="482"/>
      <c r="G11" s="482"/>
      <c r="H11" s="482"/>
      <c r="I11" s="482"/>
      <c r="J11" s="482"/>
      <c r="K11" s="481"/>
      <c r="L11" s="481"/>
      <c r="M11" s="481"/>
      <c r="N11" s="480"/>
      <c r="O11" s="479"/>
    </row>
    <row r="12" spans="1:15" ht="15.75">
      <c r="A12" s="172"/>
      <c r="B12" s="173" t="s">
        <v>0</v>
      </c>
      <c r="C12" s="478" t="s">
        <v>313</v>
      </c>
      <c r="D12" s="477" t="s">
        <v>314</v>
      </c>
      <c r="E12" s="475" t="s">
        <v>315</v>
      </c>
      <c r="F12" s="476" t="s">
        <v>316</v>
      </c>
      <c r="G12" s="476" t="s">
        <v>317</v>
      </c>
      <c r="H12" s="476" t="s">
        <v>318</v>
      </c>
      <c r="I12" s="476" t="s">
        <v>319</v>
      </c>
      <c r="J12" s="476" t="s">
        <v>320</v>
      </c>
      <c r="K12" s="476" t="s">
        <v>321</v>
      </c>
      <c r="L12" s="476" t="s">
        <v>322</v>
      </c>
      <c r="M12" s="476" t="s">
        <v>323</v>
      </c>
      <c r="N12" s="475" t="s">
        <v>324</v>
      </c>
      <c r="O12" s="453" t="s">
        <v>304</v>
      </c>
    </row>
    <row r="13" spans="1:15" ht="16.5" thickBot="1">
      <c r="A13" s="174" t="s">
        <v>41</v>
      </c>
      <c r="B13" s="175"/>
      <c r="C13" s="471"/>
      <c r="D13" s="474"/>
      <c r="E13" s="472"/>
      <c r="F13" s="473"/>
      <c r="G13" s="473"/>
      <c r="H13" s="473"/>
      <c r="I13" s="473"/>
      <c r="J13" s="473"/>
      <c r="K13" s="473"/>
      <c r="L13" s="473"/>
      <c r="M13" s="473"/>
      <c r="N13" s="472"/>
      <c r="O13" s="471"/>
    </row>
    <row r="14" spans="1:15" ht="28.5" customHeight="1">
      <c r="A14" s="176"/>
      <c r="B14" s="177" t="s">
        <v>325</v>
      </c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3"/>
    </row>
    <row r="15" spans="1:15" ht="28.5" customHeight="1">
      <c r="A15" s="176" t="s">
        <v>42</v>
      </c>
      <c r="B15" s="177" t="s">
        <v>326</v>
      </c>
      <c r="C15" s="464"/>
      <c r="D15" s="464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3"/>
    </row>
    <row r="16" spans="1:15" ht="28.5" customHeight="1">
      <c r="A16" s="176"/>
      <c r="B16" s="177" t="s">
        <v>327</v>
      </c>
      <c r="C16" s="464">
        <f>2243614+756325-364911-92809</f>
        <v>2542219</v>
      </c>
      <c r="D16" s="464">
        <f>2953539-364910</f>
        <v>2588629</v>
      </c>
      <c r="E16" s="464">
        <f>2953539-364910</f>
        <v>2588629</v>
      </c>
      <c r="F16" s="464">
        <f>2953539-364910</f>
        <v>2588629</v>
      </c>
      <c r="G16" s="464">
        <f>2953539-364910</f>
        <v>2588629</v>
      </c>
      <c r="H16" s="464">
        <f>2953539-364910</f>
        <v>2588629</v>
      </c>
      <c r="I16" s="464">
        <f>2953539-364910+165209-110720</f>
        <v>2643118</v>
      </c>
      <c r="J16" s="464">
        <f>2953539-364910+582930+330000</f>
        <v>3501559</v>
      </c>
      <c r="K16" s="464">
        <f>2953539-364910</f>
        <v>2588629</v>
      </c>
      <c r="L16" s="464">
        <f>2953539-364910</f>
        <v>2588629</v>
      </c>
      <c r="M16" s="464">
        <f>2953539-364910</f>
        <v>2588629</v>
      </c>
      <c r="N16" s="464">
        <f>2953539-364910</f>
        <v>2588629</v>
      </c>
      <c r="O16" s="463">
        <f>SUM(C16:N16)</f>
        <v>31984557</v>
      </c>
    </row>
    <row r="17" spans="1:15" ht="28.5" customHeight="1">
      <c r="A17" s="176"/>
      <c r="B17" s="177" t="s">
        <v>328</v>
      </c>
      <c r="C17" s="464"/>
      <c r="D17" s="464"/>
      <c r="E17" s="464">
        <v>259101</v>
      </c>
      <c r="F17" s="464"/>
      <c r="G17" s="464"/>
      <c r="H17" s="464"/>
      <c r="I17" s="464">
        <f>268437+251194</f>
        <v>519631</v>
      </c>
      <c r="J17" s="464">
        <f>23200+262610</f>
        <v>285810</v>
      </c>
      <c r="K17" s="464">
        <f>216550+100000</f>
        <v>316550</v>
      </c>
      <c r="L17" s="464"/>
      <c r="M17" s="464">
        <v>23200</v>
      </c>
      <c r="N17" s="464"/>
      <c r="O17" s="463">
        <f>SUM(C17:N17)</f>
        <v>1404292</v>
      </c>
    </row>
    <row r="18" spans="1:15" ht="31.5" customHeight="1">
      <c r="A18" s="176"/>
      <c r="B18" s="177" t="s">
        <v>617</v>
      </c>
      <c r="C18" s="470">
        <v>15833638</v>
      </c>
      <c r="D18" s="464"/>
      <c r="E18" s="464"/>
      <c r="F18" s="464"/>
      <c r="G18" s="464"/>
      <c r="H18" s="464"/>
      <c r="I18" s="464"/>
      <c r="J18" s="464">
        <v>2918584</v>
      </c>
      <c r="K18" s="464"/>
      <c r="L18" s="464">
        <f>14547890+77988095+1999880+4988001</f>
        <v>99523866</v>
      </c>
      <c r="M18" s="464"/>
      <c r="N18" s="464"/>
      <c r="O18" s="463">
        <f>SUM(C18:N18)</f>
        <v>118276088</v>
      </c>
    </row>
    <row r="19" spans="1:15" ht="15.75">
      <c r="A19" s="176" t="s">
        <v>43</v>
      </c>
      <c r="B19" s="177" t="s">
        <v>329</v>
      </c>
      <c r="C19" s="464">
        <f>(12+44+32+31)*1000</f>
        <v>119000</v>
      </c>
      <c r="D19" s="464">
        <f>(19+12+118+253+31)*1000</f>
        <v>433000</v>
      </c>
      <c r="E19" s="464">
        <f>(1127+11+620+382+31)*1000</f>
        <v>2171000</v>
      </c>
      <c r="F19" s="464">
        <f>(9+12+76+34+31+200)*1000</f>
        <v>362000</v>
      </c>
      <c r="G19" s="464">
        <f>(408+12+48+35+31-200)*1000</f>
        <v>334000</v>
      </c>
      <c r="H19" s="464">
        <f>(46+12+20+19+31)*1000</f>
        <v>128000</v>
      </c>
      <c r="I19" s="464">
        <f>(12+2+2+31)*1000</f>
        <v>47000</v>
      </c>
      <c r="J19" s="464">
        <f>(12+237+346+31)*1000</f>
        <v>626000</v>
      </c>
      <c r="K19" s="464">
        <f>(1188+11+601+335+31)*1000</f>
        <v>2166000</v>
      </c>
      <c r="L19" s="464">
        <f>(10+12+27+35+31)*1000</f>
        <v>115000</v>
      </c>
      <c r="M19" s="464">
        <f>(852+11+76+12+31)*1000</f>
        <v>982000</v>
      </c>
      <c r="N19" s="464">
        <f>(241+11+34+15+29)*1000</f>
        <v>330000</v>
      </c>
      <c r="O19" s="463">
        <f>SUM(C19:N19)</f>
        <v>7813000</v>
      </c>
    </row>
    <row r="20" spans="1:18" ht="15.75">
      <c r="A20" s="176" t="s">
        <v>99</v>
      </c>
      <c r="B20" s="177" t="s">
        <v>330</v>
      </c>
      <c r="C20" s="464">
        <v>840000</v>
      </c>
      <c r="D20" s="464">
        <v>840000</v>
      </c>
      <c r="E20" s="464">
        <v>840000</v>
      </c>
      <c r="F20" s="464">
        <v>840000</v>
      </c>
      <c r="G20" s="464">
        <v>840000</v>
      </c>
      <c r="H20" s="464">
        <v>840000</v>
      </c>
      <c r="I20" s="464">
        <v>840000</v>
      </c>
      <c r="J20" s="464">
        <v>840000</v>
      </c>
      <c r="K20" s="464">
        <v>840000</v>
      </c>
      <c r="L20" s="464">
        <v>840000</v>
      </c>
      <c r="M20" s="464">
        <f>840000+17846+7719</f>
        <v>865565</v>
      </c>
      <c r="N20" s="464">
        <v>840000</v>
      </c>
      <c r="O20" s="463">
        <f>SUM(C20:N20)</f>
        <v>10105565</v>
      </c>
      <c r="Q20" s="188"/>
      <c r="R20" s="188"/>
    </row>
    <row r="21" spans="1:15" ht="15.75">
      <c r="A21" s="176" t="s">
        <v>100</v>
      </c>
      <c r="B21" s="178" t="s">
        <v>331</v>
      </c>
      <c r="C21" s="470">
        <f>15833638-15833638</f>
        <v>0</v>
      </c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63">
        <f>SUM(C21:N21)</f>
        <v>0</v>
      </c>
    </row>
    <row r="22" spans="1:15" ht="15.75">
      <c r="A22" s="176" t="s">
        <v>106</v>
      </c>
      <c r="B22" s="178" t="s">
        <v>234</v>
      </c>
      <c r="C22" s="469"/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8"/>
      <c r="O22" s="463">
        <f>SUM(C22:N22)</f>
        <v>0</v>
      </c>
    </row>
    <row r="23" spans="1:15" ht="31.5">
      <c r="A23" s="176"/>
      <c r="B23" s="177" t="s">
        <v>332</v>
      </c>
      <c r="C23" s="466"/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467"/>
      <c r="O23" s="463">
        <f>SUM(C23:N23)</f>
        <v>0</v>
      </c>
    </row>
    <row r="24" spans="1:15" ht="17.25" customHeight="1">
      <c r="A24" s="176"/>
      <c r="B24" s="177" t="s">
        <v>333</v>
      </c>
      <c r="C24" s="466"/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467"/>
      <c r="O24" s="463">
        <f>SUM(C24:N24)</f>
        <v>0</v>
      </c>
    </row>
    <row r="25" spans="1:15" ht="15.75">
      <c r="A25" s="176" t="s">
        <v>240</v>
      </c>
      <c r="B25" s="178" t="s">
        <v>334</v>
      </c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7"/>
      <c r="O25" s="463">
        <f>SUM(C25:N25)</f>
        <v>0</v>
      </c>
    </row>
    <row r="26" spans="1:15" ht="47.25">
      <c r="A26" s="176"/>
      <c r="B26" s="187" t="s">
        <v>335</v>
      </c>
      <c r="C26" s="466">
        <v>28904</v>
      </c>
      <c r="D26" s="466">
        <v>28904</v>
      </c>
      <c r="E26" s="466">
        <v>28904</v>
      </c>
      <c r="F26" s="466">
        <v>28904</v>
      </c>
      <c r="G26" s="466">
        <v>28904</v>
      </c>
      <c r="H26" s="466">
        <v>28904</v>
      </c>
      <c r="I26" s="466">
        <v>28904</v>
      </c>
      <c r="J26" s="466">
        <v>28904</v>
      </c>
      <c r="K26" s="466">
        <v>28904</v>
      </c>
      <c r="L26" s="466">
        <v>28904</v>
      </c>
      <c r="M26" s="466">
        <f>28904+2</f>
        <v>28906</v>
      </c>
      <c r="N26" s="466">
        <v>28904</v>
      </c>
      <c r="O26" s="463">
        <f>SUM(C26:N26)</f>
        <v>346850</v>
      </c>
    </row>
    <row r="27" spans="1:15" ht="15.75">
      <c r="A27" s="176"/>
      <c r="B27" s="177" t="s">
        <v>336</v>
      </c>
      <c r="C27" s="466"/>
      <c r="D27" s="466"/>
      <c r="E27" s="466"/>
      <c r="F27" s="466"/>
      <c r="G27" s="466"/>
      <c r="H27" s="466"/>
      <c r="I27" s="466"/>
      <c r="J27" s="466">
        <v>3000000</v>
      </c>
      <c r="K27" s="466"/>
      <c r="L27" s="466"/>
      <c r="M27" s="466"/>
      <c r="N27" s="467">
        <v>3000000</v>
      </c>
      <c r="O27" s="463">
        <f>SUM(C27:N27)</f>
        <v>6000000</v>
      </c>
    </row>
    <row r="28" spans="1:15" ht="15.75">
      <c r="A28" s="176" t="s">
        <v>242</v>
      </c>
      <c r="B28" s="178" t="s">
        <v>337</v>
      </c>
      <c r="C28" s="466"/>
      <c r="D28" s="466">
        <f>6216573+109982+18484786+933577</f>
        <v>25744918</v>
      </c>
      <c r="E28" s="466"/>
      <c r="F28" s="466"/>
      <c r="G28" s="466"/>
      <c r="H28" s="466"/>
      <c r="I28" s="466"/>
      <c r="J28" s="466"/>
      <c r="K28" s="466"/>
      <c r="L28" s="466"/>
      <c r="M28" s="466"/>
      <c r="N28" s="467"/>
      <c r="O28" s="463">
        <f>SUM(C28:N28)</f>
        <v>25744918</v>
      </c>
    </row>
    <row r="29" spans="1:15" ht="16.5" thickBot="1">
      <c r="A29" s="179" t="s">
        <v>244</v>
      </c>
      <c r="B29" s="180" t="s">
        <v>338</v>
      </c>
      <c r="C29" s="466"/>
      <c r="D29" s="466">
        <f>C51</f>
        <v>8056950</v>
      </c>
      <c r="E29" s="466">
        <f>D51</f>
        <v>29063611</v>
      </c>
      <c r="F29" s="466">
        <f>E51</f>
        <v>29642839</v>
      </c>
      <c r="G29" s="466">
        <f>F51</f>
        <v>29005584</v>
      </c>
      <c r="H29" s="466">
        <f>G51</f>
        <v>12207757</v>
      </c>
      <c r="I29" s="466">
        <f>H51</f>
        <v>11052603</v>
      </c>
      <c r="J29" s="466">
        <f>I51</f>
        <v>10485449</v>
      </c>
      <c r="K29" s="466">
        <f>J51</f>
        <v>16490145</v>
      </c>
      <c r="L29" s="466">
        <f>K51</f>
        <v>14956718</v>
      </c>
      <c r="M29" s="466">
        <f>L51</f>
        <v>110159069</v>
      </c>
      <c r="N29" s="466">
        <f>M51</f>
        <v>91336984</v>
      </c>
      <c r="O29" s="463"/>
    </row>
    <row r="30" spans="1:16" s="14" customFormat="1" ht="27.75" customHeight="1" thickBot="1">
      <c r="A30" s="181"/>
      <c r="B30" s="181" t="s">
        <v>339</v>
      </c>
      <c r="C30" s="462">
        <f>SUM(C16:C29)</f>
        <v>19363761</v>
      </c>
      <c r="D30" s="462">
        <f>SUM(D16:D29)</f>
        <v>37692401</v>
      </c>
      <c r="E30" s="462">
        <f>SUM(E16:E29)</f>
        <v>34951245</v>
      </c>
      <c r="F30" s="462">
        <f>SUM(F16:F29)</f>
        <v>33462372</v>
      </c>
      <c r="G30" s="462">
        <f>SUM(G16:G29)</f>
        <v>32797117</v>
      </c>
      <c r="H30" s="462">
        <f>SUM(H16:H29)</f>
        <v>15793290</v>
      </c>
      <c r="I30" s="462">
        <f>SUM(I16:I29)</f>
        <v>15131256</v>
      </c>
      <c r="J30" s="462">
        <f>SUM(J16:J29)</f>
        <v>21686306</v>
      </c>
      <c r="K30" s="462">
        <f>SUM(K16:K29)</f>
        <v>22430228</v>
      </c>
      <c r="L30" s="462">
        <f>SUM(L16:L29)</f>
        <v>118053117</v>
      </c>
      <c r="M30" s="462">
        <f>SUM(M16:M29)</f>
        <v>114647369</v>
      </c>
      <c r="N30" s="462">
        <f>SUM(N16:N29)</f>
        <v>98124517</v>
      </c>
      <c r="O30" s="461">
        <f>SUM(O15:O29)</f>
        <v>201675270</v>
      </c>
      <c r="P30" s="100"/>
    </row>
    <row r="31" spans="1:15" ht="15.75">
      <c r="A31" s="182"/>
      <c r="B31" s="183" t="s">
        <v>340</v>
      </c>
      <c r="C31" s="464"/>
      <c r="D31" s="464"/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5"/>
    </row>
    <row r="32" spans="1:17" ht="15.75">
      <c r="A32" s="176" t="s">
        <v>250</v>
      </c>
      <c r="B32" s="178" t="s">
        <v>182</v>
      </c>
      <c r="C32" s="464">
        <f>1865910+57442+59021</f>
        <v>1982373</v>
      </c>
      <c r="D32" s="464">
        <f>1865910+57442+59020</f>
        <v>1982372</v>
      </c>
      <c r="E32" s="464">
        <f>1865910+57441+59021</f>
        <v>1982372</v>
      </c>
      <c r="F32" s="464">
        <f>1865910+57442+59021</f>
        <v>1982373</v>
      </c>
      <c r="G32" s="464">
        <f>1865910+57442</f>
        <v>1923352</v>
      </c>
      <c r="H32" s="464">
        <f>1865910+57441+179195+244590</f>
        <v>2347136</v>
      </c>
      <c r="I32" s="464">
        <f>1865910+57441</f>
        <v>1923351</v>
      </c>
      <c r="J32" s="464">
        <f>1865910+57442</f>
        <v>1923352</v>
      </c>
      <c r="K32" s="464">
        <f>1865910+57441+187007</f>
        <v>2110358</v>
      </c>
      <c r="L32" s="464">
        <f>1865910+57441+437280</f>
        <v>2360631</v>
      </c>
      <c r="M32" s="464">
        <f>1865910+57441</f>
        <v>1923351</v>
      </c>
      <c r="N32" s="464">
        <f>1865910+57452</f>
        <v>1923362</v>
      </c>
      <c r="O32" s="463">
        <f>SUM(C32:N32)</f>
        <v>24364383</v>
      </c>
      <c r="P32" s="188"/>
      <c r="Q32" s="188"/>
    </row>
    <row r="33" spans="1:17" ht="31.5">
      <c r="A33" s="176" t="s">
        <v>252</v>
      </c>
      <c r="B33" s="187" t="s">
        <v>341</v>
      </c>
      <c r="C33" s="464">
        <f>373679-6782+5755</f>
        <v>372652</v>
      </c>
      <c r="D33" s="464">
        <f>373679+5754</f>
        <v>379433</v>
      </c>
      <c r="E33" s="464">
        <f>373679+5755</f>
        <v>379434</v>
      </c>
      <c r="F33" s="464">
        <f>373679+5754</f>
        <v>379433</v>
      </c>
      <c r="G33" s="464">
        <v>373679</v>
      </c>
      <c r="H33" s="464">
        <f>373679+34943</f>
        <v>408622</v>
      </c>
      <c r="I33" s="464">
        <f>23847+373679</f>
        <v>397526</v>
      </c>
      <c r="J33" s="464">
        <v>373679</v>
      </c>
      <c r="K33" s="464">
        <f>373679+29543</f>
        <v>403222</v>
      </c>
      <c r="L33" s="464">
        <f>373679+76524</f>
        <v>450203</v>
      </c>
      <c r="M33" s="464">
        <v>373679</v>
      </c>
      <c r="N33" s="464">
        <f>373679-6</f>
        <v>373673</v>
      </c>
      <c r="O33" s="463">
        <f>SUM(C33:N33)</f>
        <v>4665235</v>
      </c>
      <c r="Q33" s="188"/>
    </row>
    <row r="34" spans="1:17" ht="15.75">
      <c r="A34" s="176" t="s">
        <v>254</v>
      </c>
      <c r="B34" s="178" t="s">
        <v>184</v>
      </c>
      <c r="C34" s="464">
        <f>2391000-270000-500000-100000</f>
        <v>1521000</v>
      </c>
      <c r="D34" s="464">
        <f>1745000+200000</f>
        <v>1945000</v>
      </c>
      <c r="E34" s="464">
        <f>1745000+900000</f>
        <v>2645000</v>
      </c>
      <c r="F34" s="464">
        <f>1745000+50000</f>
        <v>1795000</v>
      </c>
      <c r="G34" s="464">
        <f>1745000+450000+89930</f>
        <v>2284930</v>
      </c>
      <c r="H34" s="464">
        <f>1745000+89929</f>
        <v>1834929</v>
      </c>
      <c r="I34" s="464">
        <f>1745000+300000+89930</f>
        <v>2134930</v>
      </c>
      <c r="J34" s="464">
        <f>1745000+250000+89930+100000</f>
        <v>2184930</v>
      </c>
      <c r="K34" s="464">
        <f>1745000+150000+89930</f>
        <v>1984930</v>
      </c>
      <c r="L34" s="464">
        <f>1745000+60000+89930</f>
        <v>1894930</v>
      </c>
      <c r="M34" s="464">
        <f>1745000+123732+89930+582930+35560</f>
        <v>2577152</v>
      </c>
      <c r="N34" s="464">
        <f>1745000+194797+89930</f>
        <v>2029727</v>
      </c>
      <c r="O34" s="463">
        <f>SUM(C34:N34)</f>
        <v>24832458</v>
      </c>
      <c r="P34" s="188"/>
      <c r="Q34" s="188"/>
    </row>
    <row r="35" spans="1:15" ht="15.75">
      <c r="A35" s="176" t="s">
        <v>259</v>
      </c>
      <c r="B35" s="178" t="s">
        <v>185</v>
      </c>
      <c r="C35" s="464">
        <f>150000</f>
        <v>150000</v>
      </c>
      <c r="D35" s="464">
        <v>150000</v>
      </c>
      <c r="E35" s="464">
        <v>150000</v>
      </c>
      <c r="F35" s="464">
        <v>150000</v>
      </c>
      <c r="G35" s="464">
        <v>150000</v>
      </c>
      <c r="H35" s="464">
        <v>150000</v>
      </c>
      <c r="I35" s="464">
        <v>150000</v>
      </c>
      <c r="J35" s="464">
        <f>150000+350000</f>
        <v>500000</v>
      </c>
      <c r="K35" s="464">
        <v>150000</v>
      </c>
      <c r="L35" s="464">
        <v>150000</v>
      </c>
      <c r="M35" s="464">
        <f>150000+61400</f>
        <v>211400</v>
      </c>
      <c r="N35" s="464">
        <v>1000000</v>
      </c>
      <c r="O35" s="463">
        <f>SUM(C35:N35)</f>
        <v>3061400</v>
      </c>
    </row>
    <row r="36" spans="1:15" ht="15.75">
      <c r="A36" s="176" t="s">
        <v>261</v>
      </c>
      <c r="B36" s="178" t="s">
        <v>342</v>
      </c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464"/>
      <c r="N36" s="464"/>
      <c r="O36" s="463"/>
    </row>
    <row r="37" spans="1:15" ht="15.75">
      <c r="A37" s="176"/>
      <c r="B37" s="178" t="s">
        <v>343</v>
      </c>
      <c r="C37" s="464">
        <v>25000</v>
      </c>
      <c r="D37" s="464"/>
      <c r="E37" s="464"/>
      <c r="F37" s="464"/>
      <c r="G37" s="464">
        <v>3000</v>
      </c>
      <c r="H37" s="464"/>
      <c r="I37" s="464"/>
      <c r="J37" s="464">
        <v>25000</v>
      </c>
      <c r="K37" s="464">
        <v>1200000</v>
      </c>
      <c r="L37" s="464">
        <v>50000</v>
      </c>
      <c r="M37" s="464"/>
      <c r="N37" s="464"/>
      <c r="O37" s="463">
        <f>SUM(C37:N37)</f>
        <v>1303000</v>
      </c>
    </row>
    <row r="38" spans="1:16" ht="15.75">
      <c r="A38" s="176"/>
      <c r="B38" s="178" t="s">
        <v>344</v>
      </c>
      <c r="C38" s="464"/>
      <c r="D38" s="464">
        <v>79850</v>
      </c>
      <c r="E38" s="464">
        <v>50000</v>
      </c>
      <c r="F38" s="464">
        <v>40000</v>
      </c>
      <c r="G38" s="464">
        <v>209100</v>
      </c>
      <c r="H38" s="464"/>
      <c r="I38" s="464">
        <v>40000</v>
      </c>
      <c r="J38" s="464">
        <f>40000+74200+75000</f>
        <v>189200</v>
      </c>
      <c r="K38" s="464">
        <v>625000</v>
      </c>
      <c r="L38" s="464">
        <v>69700</v>
      </c>
      <c r="M38" s="464">
        <v>54300</v>
      </c>
      <c r="N38" s="464">
        <v>79850</v>
      </c>
      <c r="O38" s="463">
        <f>SUM(C38:N38)</f>
        <v>1437000</v>
      </c>
      <c r="P38" s="188"/>
    </row>
    <row r="39" spans="1:15" ht="15.75">
      <c r="A39" s="176" t="s">
        <v>263</v>
      </c>
      <c r="B39" s="178" t="s">
        <v>188</v>
      </c>
      <c r="C39" s="464"/>
      <c r="D39" s="464">
        <v>51562</v>
      </c>
      <c r="E39" s="464">
        <v>101600</v>
      </c>
      <c r="F39" s="464">
        <v>109982</v>
      </c>
      <c r="G39" s="464">
        <v>1200000</v>
      </c>
      <c r="H39" s="464"/>
      <c r="I39" s="464"/>
      <c r="J39" s="464"/>
      <c r="K39" s="464"/>
      <c r="L39" s="464">
        <v>2918584</v>
      </c>
      <c r="M39" s="464">
        <f>280797-152400</f>
        <v>128397</v>
      </c>
      <c r="N39" s="464">
        <f>7741929+1999880</f>
        <v>9741809</v>
      </c>
      <c r="O39" s="463">
        <f>SUM(C39:N39)</f>
        <v>14251934</v>
      </c>
    </row>
    <row r="40" spans="1:15" ht="15.75">
      <c r="A40" s="176" t="s">
        <v>270</v>
      </c>
      <c r="B40" s="178" t="s">
        <v>73</v>
      </c>
      <c r="C40" s="464"/>
      <c r="D40" s="464">
        <v>2800007</v>
      </c>
      <c r="E40" s="464"/>
      <c r="F40" s="464"/>
      <c r="G40" s="464"/>
      <c r="H40" s="464"/>
      <c r="I40" s="464"/>
      <c r="J40" s="464"/>
      <c r="K40" s="464"/>
      <c r="L40" s="464"/>
      <c r="M40" s="464">
        <f>508000+418941+14547890+2567275</f>
        <v>18042106</v>
      </c>
      <c r="N40" s="464">
        <f>4988001+77988095</f>
        <v>82976096</v>
      </c>
      <c r="O40" s="463">
        <f>SUM(C40:N40)</f>
        <v>103818209</v>
      </c>
    </row>
    <row r="41" spans="1:15" ht="20.25" customHeight="1">
      <c r="A41" s="176" t="s">
        <v>273</v>
      </c>
      <c r="B41" s="178" t="s">
        <v>264</v>
      </c>
      <c r="C41" s="464"/>
      <c r="D41" s="464"/>
      <c r="E41" s="464"/>
      <c r="F41" s="464"/>
      <c r="G41" s="464"/>
      <c r="H41" s="464"/>
      <c r="I41" s="464"/>
      <c r="J41" s="464"/>
      <c r="K41" s="464"/>
      <c r="L41" s="464"/>
      <c r="M41" s="464"/>
      <c r="N41" s="464"/>
      <c r="O41" s="463">
        <f>SUM(C41:N41)</f>
        <v>0</v>
      </c>
    </row>
    <row r="42" spans="1:15" ht="20.25" customHeight="1">
      <c r="A42" s="176"/>
      <c r="B42" s="178" t="s">
        <v>343</v>
      </c>
      <c r="C42" s="464"/>
      <c r="D42" s="464"/>
      <c r="E42" s="464"/>
      <c r="F42" s="464"/>
      <c r="G42" s="464"/>
      <c r="H42" s="464"/>
      <c r="I42" s="464"/>
      <c r="J42" s="464"/>
      <c r="K42" s="464"/>
      <c r="L42" s="464"/>
      <c r="M42" s="464"/>
      <c r="N42" s="464"/>
      <c r="O42" s="463">
        <f>SUM(C42:N42)</f>
        <v>0</v>
      </c>
    </row>
    <row r="43" spans="1:15" ht="15.75">
      <c r="A43" s="176"/>
      <c r="B43" s="178" t="s">
        <v>344</v>
      </c>
      <c r="C43" s="464">
        <v>1000000</v>
      </c>
      <c r="D43" s="464"/>
      <c r="E43" s="464"/>
      <c r="F43" s="464"/>
      <c r="G43" s="464"/>
      <c r="H43" s="464"/>
      <c r="I43" s="464"/>
      <c r="J43" s="464"/>
      <c r="K43" s="464">
        <v>1000000</v>
      </c>
      <c r="L43" s="464"/>
      <c r="M43" s="464"/>
      <c r="N43" s="464"/>
      <c r="O43" s="463">
        <f>SUM(C43:N43)</f>
        <v>2000000</v>
      </c>
    </row>
    <row r="44" spans="1:15" ht="15.75">
      <c r="A44" s="176" t="s">
        <v>275</v>
      </c>
      <c r="B44" s="178" t="s">
        <v>181</v>
      </c>
      <c r="C44" s="464"/>
      <c r="D44" s="464"/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3">
        <f>SUM(C44:N44)</f>
        <v>0</v>
      </c>
    </row>
    <row r="45" spans="1:15" ht="15.75">
      <c r="A45" s="176"/>
      <c r="B45" s="257" t="s">
        <v>454</v>
      </c>
      <c r="C45" s="464"/>
      <c r="D45" s="464">
        <v>1240566</v>
      </c>
      <c r="E45" s="464"/>
      <c r="F45" s="464"/>
      <c r="G45" s="464"/>
      <c r="H45" s="464"/>
      <c r="I45" s="464"/>
      <c r="J45" s="464"/>
      <c r="K45" s="464"/>
      <c r="L45" s="464"/>
      <c r="M45" s="464"/>
      <c r="N45" s="464"/>
      <c r="O45" s="463">
        <f>SUM(C45:N45)</f>
        <v>1240566</v>
      </c>
    </row>
    <row r="46" spans="1:15" ht="15.75">
      <c r="A46" s="176"/>
      <c r="B46" s="178" t="s">
        <v>345</v>
      </c>
      <c r="C46" s="464"/>
      <c r="D46" s="464"/>
      <c r="E46" s="464"/>
      <c r="F46" s="464"/>
      <c r="G46" s="464"/>
      <c r="H46" s="464"/>
      <c r="I46" s="464"/>
      <c r="J46" s="464"/>
      <c r="K46" s="464"/>
      <c r="L46" s="464"/>
      <c r="M46" s="464"/>
      <c r="N46" s="464"/>
      <c r="O46" s="463">
        <f>SUM(C46:N46)</f>
        <v>0</v>
      </c>
    </row>
    <row r="47" spans="1:15" ht="15.75">
      <c r="A47" s="176"/>
      <c r="B47" s="178" t="s">
        <v>346</v>
      </c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3">
        <f>SUM(C47:N47)</f>
        <v>0</v>
      </c>
    </row>
    <row r="48" spans="1:16" ht="15.75">
      <c r="A48" s="176" t="s">
        <v>347</v>
      </c>
      <c r="B48" s="178" t="s">
        <v>348</v>
      </c>
      <c r="C48" s="464">
        <v>6255786</v>
      </c>
      <c r="D48" s="464"/>
      <c r="E48" s="464"/>
      <c r="F48" s="464"/>
      <c r="G48" s="464">
        <f>18481786-1200000+165209-110720+330000-35560-418941-149200-50000-2567275</f>
        <v>14445299</v>
      </c>
      <c r="H48" s="464"/>
      <c r="I48" s="464"/>
      <c r="J48" s="464"/>
      <c r="K48" s="464"/>
      <c r="L48" s="464"/>
      <c r="M48" s="464"/>
      <c r="N48" s="464"/>
      <c r="O48" s="463">
        <f>SUM(C48:N48)</f>
        <v>20701085</v>
      </c>
      <c r="P48" s="188"/>
    </row>
    <row r="49" spans="1:15" ht="16.5" thickBot="1">
      <c r="A49" s="179" t="s">
        <v>349</v>
      </c>
      <c r="B49" s="180" t="s">
        <v>350</v>
      </c>
      <c r="C49" s="464"/>
      <c r="D49" s="464"/>
      <c r="E49" s="464"/>
      <c r="F49" s="464"/>
      <c r="G49" s="464"/>
      <c r="H49" s="464"/>
      <c r="I49" s="464"/>
      <c r="J49" s="464"/>
      <c r="K49" s="464"/>
      <c r="L49" s="464"/>
      <c r="M49" s="464"/>
      <c r="N49" s="464"/>
      <c r="O49" s="463">
        <f>SUM(C49:N49)</f>
        <v>0</v>
      </c>
    </row>
    <row r="50" spans="1:19" s="14" customFormat="1" ht="24" customHeight="1" thickBot="1">
      <c r="A50" s="181"/>
      <c r="B50" s="181" t="s">
        <v>351</v>
      </c>
      <c r="C50" s="462">
        <f>SUM(C32:C49)</f>
        <v>11306811</v>
      </c>
      <c r="D50" s="462">
        <f>SUM(D32:D49)</f>
        <v>8628790</v>
      </c>
      <c r="E50" s="462">
        <f>SUM(E32:E49)</f>
        <v>5308406</v>
      </c>
      <c r="F50" s="462">
        <f>SUM(F32:F49)</f>
        <v>4456788</v>
      </c>
      <c r="G50" s="462">
        <f>SUM(G32:G49)</f>
        <v>20589360</v>
      </c>
      <c r="H50" s="462">
        <f>SUM(H32:H49)</f>
        <v>4740687</v>
      </c>
      <c r="I50" s="462">
        <f>SUM(I32:I49)</f>
        <v>4645807</v>
      </c>
      <c r="J50" s="462">
        <f>SUM(J32:J49)</f>
        <v>5196161</v>
      </c>
      <c r="K50" s="462">
        <f>SUM(K32:K49)</f>
        <v>7473510</v>
      </c>
      <c r="L50" s="462">
        <f>SUM(L32:L49)</f>
        <v>7894048</v>
      </c>
      <c r="M50" s="462">
        <f>SUM(M32:M49)</f>
        <v>23310385</v>
      </c>
      <c r="N50" s="462">
        <f>SUM(N32:N49)</f>
        <v>98124517</v>
      </c>
      <c r="O50" s="461">
        <f>SUM(O32:O49)</f>
        <v>201675270</v>
      </c>
      <c r="S50" s="184"/>
    </row>
    <row r="51" spans="1:15" ht="26.25" customHeight="1" thickBot="1">
      <c r="A51" s="185"/>
      <c r="B51" s="186" t="s">
        <v>352</v>
      </c>
      <c r="C51" s="460">
        <f>C30-C50</f>
        <v>8056950</v>
      </c>
      <c r="D51" s="460">
        <f>D30-D50</f>
        <v>29063611</v>
      </c>
      <c r="E51" s="460">
        <f>E30-E50</f>
        <v>29642839</v>
      </c>
      <c r="F51" s="460">
        <f>F30-F50</f>
        <v>29005584</v>
      </c>
      <c r="G51" s="460">
        <f>G30-G50</f>
        <v>12207757</v>
      </c>
      <c r="H51" s="460">
        <f>H30-H50</f>
        <v>11052603</v>
      </c>
      <c r="I51" s="460">
        <f>I30-I50</f>
        <v>10485449</v>
      </c>
      <c r="J51" s="460">
        <f>J30-J50</f>
        <v>16490145</v>
      </c>
      <c r="K51" s="460">
        <f>K30-K50</f>
        <v>14956718</v>
      </c>
      <c r="L51" s="460">
        <f>L30-L50</f>
        <v>110159069</v>
      </c>
      <c r="M51" s="460">
        <f>M30-M50</f>
        <v>91336984</v>
      </c>
      <c r="N51" s="460">
        <f>N30-N50</f>
        <v>0</v>
      </c>
      <c r="O51" s="459"/>
    </row>
    <row r="53" spans="3:15" ht="15.75"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</row>
    <row r="54" ht="15.75">
      <c r="O54" s="458"/>
    </row>
    <row r="55" ht="15.75">
      <c r="O55" s="458"/>
    </row>
    <row r="56" ht="15.75">
      <c r="O56" s="458"/>
    </row>
    <row r="57" ht="15.75">
      <c r="O57" s="458"/>
    </row>
  </sheetData>
  <sheetProtection/>
  <mergeCells count="7">
    <mergeCell ref="A1:O1"/>
    <mergeCell ref="B9:O9"/>
    <mergeCell ref="B5:O5"/>
    <mergeCell ref="B6:O6"/>
    <mergeCell ref="B7:O7"/>
    <mergeCell ref="B8:O8"/>
    <mergeCell ref="A3:O3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28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4.75390625" style="18" customWidth="1"/>
    <col min="2" max="2" width="56.25390625" style="18" customWidth="1"/>
    <col min="3" max="3" width="17.875" style="18" customWidth="1"/>
    <col min="4" max="4" width="4.875" style="18" customWidth="1"/>
    <col min="5" max="16384" width="9.125" style="18" customWidth="1"/>
  </cols>
  <sheetData>
    <row r="1" spans="1:5" ht="15.75">
      <c r="A1" s="585" t="s">
        <v>601</v>
      </c>
      <c r="B1" s="585"/>
      <c r="C1" s="585"/>
      <c r="D1" s="95"/>
      <c r="E1" s="17"/>
    </row>
    <row r="2" spans="1:5" ht="15.75">
      <c r="A2" s="19"/>
      <c r="B2" s="19"/>
      <c r="C2" s="19"/>
      <c r="D2" s="20"/>
      <c r="E2" s="17"/>
    </row>
    <row r="3" spans="1:5" ht="12.75" customHeight="1">
      <c r="A3" s="20"/>
      <c r="B3" s="20"/>
      <c r="C3" s="20"/>
      <c r="D3" s="20"/>
      <c r="E3" s="17"/>
    </row>
    <row r="4" spans="1:5" ht="15.75">
      <c r="A4" s="631" t="s">
        <v>4</v>
      </c>
      <c r="B4" s="631"/>
      <c r="C4" s="631"/>
      <c r="D4" s="631"/>
      <c r="E4" s="17"/>
    </row>
    <row r="5" spans="1:5" ht="15.75">
      <c r="A5" s="631" t="s">
        <v>23</v>
      </c>
      <c r="B5" s="631"/>
      <c r="C5" s="631"/>
      <c r="D5" s="631"/>
      <c r="E5" s="17"/>
    </row>
    <row r="6" spans="1:5" ht="15.75">
      <c r="A6" s="631" t="s">
        <v>583</v>
      </c>
      <c r="B6" s="631"/>
      <c r="C6" s="631"/>
      <c r="D6" s="631"/>
      <c r="E6" s="17"/>
    </row>
    <row r="7" spans="1:5" ht="15.75">
      <c r="A7" s="19"/>
      <c r="B7" s="19"/>
      <c r="C7" s="19"/>
      <c r="D7" s="17"/>
      <c r="E7" s="17"/>
    </row>
    <row r="8" spans="1:5" ht="15.75">
      <c r="A8" s="19"/>
      <c r="B8" s="19"/>
      <c r="C8" s="19"/>
      <c r="D8" s="17"/>
      <c r="E8" s="17"/>
    </row>
    <row r="9" spans="1:5" ht="15.75">
      <c r="A9" s="19"/>
      <c r="B9" s="19"/>
      <c r="C9" s="19"/>
      <c r="D9" s="17"/>
      <c r="E9" s="17"/>
    </row>
    <row r="10" spans="1:5" ht="15.75">
      <c r="A10" s="19"/>
      <c r="B10" s="19"/>
      <c r="C10" s="19"/>
      <c r="D10" s="17"/>
      <c r="E10" s="17"/>
    </row>
    <row r="11" spans="1:5" ht="15.75">
      <c r="A11" s="19"/>
      <c r="B11" s="21" t="s">
        <v>11</v>
      </c>
      <c r="C11" s="19"/>
      <c r="D11" s="17"/>
      <c r="E11" s="17"/>
    </row>
    <row r="12" spans="1:5" ht="10.5" customHeight="1">
      <c r="A12" s="19"/>
      <c r="B12" s="21"/>
      <c r="C12" s="19"/>
      <c r="D12" s="17"/>
      <c r="E12" s="17"/>
    </row>
    <row r="13" spans="1:5" ht="12" customHeight="1">
      <c r="A13" s="19"/>
      <c r="B13" s="21"/>
      <c r="C13" s="22"/>
      <c r="D13" s="17"/>
      <c r="E13" s="17"/>
    </row>
    <row r="14" spans="1:3" s="26" customFormat="1" ht="15">
      <c r="A14" s="23"/>
      <c r="B14" s="24" t="s">
        <v>12</v>
      </c>
      <c r="C14" s="25"/>
    </row>
    <row r="15" spans="1:5" ht="19.5" customHeight="1">
      <c r="A15" s="27"/>
      <c r="B15" s="17" t="s">
        <v>13</v>
      </c>
      <c r="C15" s="28">
        <v>1845000</v>
      </c>
      <c r="D15" s="17" t="s">
        <v>1</v>
      </c>
      <c r="E15" s="17"/>
    </row>
    <row r="16" spans="1:5" ht="19.5" customHeight="1">
      <c r="A16" s="17"/>
      <c r="B16" s="20" t="s">
        <v>14</v>
      </c>
      <c r="C16" s="29">
        <f>SUM(C15)</f>
        <v>1845000</v>
      </c>
      <c r="D16" s="20" t="s">
        <v>1</v>
      </c>
      <c r="E16" s="17"/>
    </row>
    <row r="17" spans="1:5" ht="19.5" customHeight="1">
      <c r="A17" s="17"/>
      <c r="B17" s="20"/>
      <c r="C17" s="29"/>
      <c r="D17" s="20"/>
      <c r="E17" s="17"/>
    </row>
    <row r="18" spans="1:5" ht="19.5" customHeight="1">
      <c r="A18" s="17"/>
      <c r="B18" s="20"/>
      <c r="C18" s="29"/>
      <c r="D18" s="20"/>
      <c r="E18" s="17"/>
    </row>
    <row r="19" spans="1:5" ht="10.5" customHeight="1">
      <c r="A19" s="17"/>
      <c r="B19" s="20"/>
      <c r="C19" s="29"/>
      <c r="D19" s="20"/>
      <c r="E19" s="17"/>
    </row>
    <row r="20" spans="1:5" ht="15.75">
      <c r="A20" s="17"/>
      <c r="B20" s="82"/>
      <c r="C20" s="17"/>
      <c r="D20" s="17"/>
      <c r="E20" s="17"/>
    </row>
    <row r="21" spans="1:5" ht="15.75">
      <c r="A21" s="17"/>
      <c r="B21" s="17"/>
      <c r="C21" s="17"/>
      <c r="D21" s="17"/>
      <c r="E21" s="17"/>
    </row>
    <row r="22" spans="1:5" ht="15.75">
      <c r="A22" s="17"/>
      <c r="B22" s="17"/>
      <c r="C22" s="17"/>
      <c r="D22" s="17"/>
      <c r="E22" s="17"/>
    </row>
    <row r="23" spans="1:5" ht="15.75">
      <c r="A23" s="17"/>
      <c r="B23" s="17"/>
      <c r="C23" s="17"/>
      <c r="D23" s="17"/>
      <c r="E23" s="17"/>
    </row>
    <row r="24" spans="1:5" ht="15.75">
      <c r="A24" s="17"/>
      <c r="B24" s="17"/>
      <c r="C24" s="17"/>
      <c r="D24" s="17"/>
      <c r="E24" s="17"/>
    </row>
    <row r="25" spans="1:5" ht="15.75">
      <c r="A25" s="17"/>
      <c r="B25" s="17"/>
      <c r="C25" s="17"/>
      <c r="D25" s="17"/>
      <c r="E25" s="17"/>
    </row>
    <row r="26" spans="1:5" ht="15.75">
      <c r="A26" s="17"/>
      <c r="B26" s="17"/>
      <c r="C26" s="17"/>
      <c r="D26" s="17"/>
      <c r="E26" s="17"/>
    </row>
    <row r="27" spans="1:5" ht="15.75">
      <c r="A27" s="17"/>
      <c r="B27" s="17"/>
      <c r="C27" s="17"/>
      <c r="D27" s="17"/>
      <c r="E27" s="17"/>
    </row>
    <row r="28" spans="1:5" ht="15.75">
      <c r="A28" s="17"/>
      <c r="B28" s="17"/>
      <c r="C28" s="17"/>
      <c r="D28" s="17"/>
      <c r="E28" s="17"/>
    </row>
  </sheetData>
  <sheetProtection password="AF00" sheet="1"/>
  <mergeCells count="4">
    <mergeCell ref="A6:D6"/>
    <mergeCell ref="A4:D4"/>
    <mergeCell ref="A5:D5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9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4.875" style="1" customWidth="1"/>
    <col min="2" max="2" width="45.00390625" style="1" customWidth="1"/>
    <col min="3" max="4" width="11.875" style="1" customWidth="1"/>
    <col min="5" max="5" width="12.375" style="1" customWidth="1"/>
    <col min="6" max="16384" width="9.125" style="1" customWidth="1"/>
  </cols>
  <sheetData>
    <row r="1" spans="1:5" ht="15.75">
      <c r="A1" s="95" t="s">
        <v>602</v>
      </c>
      <c r="C1" s="632"/>
      <c r="D1" s="632"/>
      <c r="E1" s="632"/>
    </row>
    <row r="3" spans="1:5" ht="12.75">
      <c r="A3" s="512"/>
      <c r="B3" s="512"/>
      <c r="C3" s="512"/>
      <c r="D3" s="512"/>
      <c r="E3" s="512"/>
    </row>
    <row r="4" spans="1:6" ht="14.25">
      <c r="A4" s="630"/>
      <c r="B4" s="630"/>
      <c r="C4" s="630"/>
      <c r="D4" s="630"/>
      <c r="E4" s="630"/>
      <c r="F4" s="60"/>
    </row>
    <row r="5" spans="1:6" ht="14.25">
      <c r="A5" s="630" t="s">
        <v>284</v>
      </c>
      <c r="B5" s="630"/>
      <c r="C5" s="630"/>
      <c r="D5" s="630"/>
      <c r="E5" s="630"/>
      <c r="F5" s="60"/>
    </row>
    <row r="6" spans="1:6" s="5" customFormat="1" ht="15.75">
      <c r="A6" s="537" t="s">
        <v>285</v>
      </c>
      <c r="B6" s="537"/>
      <c r="C6" s="537"/>
      <c r="D6" s="537"/>
      <c r="E6" s="537"/>
      <c r="F6" s="51"/>
    </row>
    <row r="7" spans="1:6" s="5" customFormat="1" ht="15.75">
      <c r="A7" s="537" t="s">
        <v>520</v>
      </c>
      <c r="B7" s="537"/>
      <c r="C7" s="537"/>
      <c r="D7" s="537"/>
      <c r="E7" s="537"/>
      <c r="F7" s="51"/>
    </row>
    <row r="8" spans="1:5" s="5" customFormat="1" ht="13.5" thickBot="1">
      <c r="A8" s="61"/>
      <c r="B8" s="61"/>
      <c r="C8" s="61"/>
      <c r="D8" s="61"/>
      <c r="E8" s="62" t="s">
        <v>5</v>
      </c>
    </row>
    <row r="9" spans="1:5" s="65" customFormat="1" ht="22.5" customHeight="1" thickTop="1">
      <c r="A9" s="63" t="s">
        <v>40</v>
      </c>
      <c r="B9" s="64"/>
      <c r="C9" s="640" t="s">
        <v>60</v>
      </c>
      <c r="D9" s="640" t="s">
        <v>61</v>
      </c>
      <c r="E9" s="635" t="s">
        <v>62</v>
      </c>
    </row>
    <row r="10" spans="1:5" s="65" customFormat="1" ht="12.75">
      <c r="A10" s="66"/>
      <c r="B10" s="67" t="s">
        <v>63</v>
      </c>
      <c r="C10" s="641"/>
      <c r="D10" s="641"/>
      <c r="E10" s="636"/>
    </row>
    <row r="11" spans="1:5" s="65" customFormat="1" ht="13.5" thickBot="1">
      <c r="A11" s="68" t="s">
        <v>41</v>
      </c>
      <c r="B11" s="69"/>
      <c r="C11" s="642"/>
      <c r="D11" s="642"/>
      <c r="E11" s="637"/>
    </row>
    <row r="12" spans="1:5" s="65" customFormat="1" ht="12.75">
      <c r="A12" s="643" t="s">
        <v>42</v>
      </c>
      <c r="B12" s="645" t="s">
        <v>64</v>
      </c>
      <c r="C12" s="638">
        <v>1887</v>
      </c>
      <c r="D12" s="638">
        <v>1887</v>
      </c>
      <c r="E12" s="633">
        <f>SUM(C12:D17)</f>
        <v>3774</v>
      </c>
    </row>
    <row r="13" spans="1:5" s="65" customFormat="1" ht="15" customHeight="1">
      <c r="A13" s="644"/>
      <c r="B13" s="646"/>
      <c r="C13" s="639"/>
      <c r="D13" s="639"/>
      <c r="E13" s="634"/>
    </row>
    <row r="14" spans="1:5" s="65" customFormat="1" ht="15" customHeight="1">
      <c r="A14" s="644"/>
      <c r="B14" s="70" t="s">
        <v>65</v>
      </c>
      <c r="C14" s="639"/>
      <c r="D14" s="639"/>
      <c r="E14" s="634"/>
    </row>
    <row r="15" spans="1:5" s="65" customFormat="1" ht="25.5">
      <c r="A15" s="644"/>
      <c r="B15" s="70" t="s">
        <v>286</v>
      </c>
      <c r="C15" s="639"/>
      <c r="D15" s="639"/>
      <c r="E15" s="634"/>
    </row>
    <row r="16" spans="1:5" s="65" customFormat="1" ht="12.75">
      <c r="A16" s="644"/>
      <c r="B16" s="71" t="s">
        <v>66</v>
      </c>
      <c r="C16" s="639"/>
      <c r="D16" s="639"/>
      <c r="E16" s="634"/>
    </row>
    <row r="17" spans="1:5" s="65" customFormat="1" ht="13.5" thickBot="1">
      <c r="A17" s="644"/>
      <c r="B17" s="72" t="s">
        <v>67</v>
      </c>
      <c r="C17" s="639"/>
      <c r="D17" s="639"/>
      <c r="E17" s="634"/>
    </row>
    <row r="18" spans="1:6" s="78" customFormat="1" ht="40.5" customHeight="1" thickBot="1" thickTop="1">
      <c r="A18" s="73"/>
      <c r="B18" s="74" t="s">
        <v>68</v>
      </c>
      <c r="C18" s="75">
        <f>SUM(C12:C17)</f>
        <v>1887</v>
      </c>
      <c r="D18" s="75">
        <f>SUM(D12:D17)</f>
        <v>1887</v>
      </c>
      <c r="E18" s="76">
        <f>SUM(E12:E17)</f>
        <v>3774</v>
      </c>
      <c r="F18" s="77"/>
    </row>
    <row r="19" spans="1:4" s="78" customFormat="1" ht="27" customHeight="1">
      <c r="A19" s="79"/>
      <c r="B19" s="80"/>
      <c r="C19" s="81"/>
      <c r="D19" s="81"/>
    </row>
  </sheetData>
  <sheetProtection password="AF00" sheet="1"/>
  <mergeCells count="14">
    <mergeCell ref="A6:E6"/>
    <mergeCell ref="A7:E7"/>
    <mergeCell ref="A5:E5"/>
    <mergeCell ref="D9:D11"/>
    <mergeCell ref="C1:E1"/>
    <mergeCell ref="E12:E17"/>
    <mergeCell ref="E9:E11"/>
    <mergeCell ref="C12:C17"/>
    <mergeCell ref="C9:C11"/>
    <mergeCell ref="D12:D17"/>
    <mergeCell ref="A3:E3"/>
    <mergeCell ref="A4:E4"/>
    <mergeCell ref="A12:A17"/>
    <mergeCell ref="B12:B13"/>
  </mergeCells>
  <printOptions/>
  <pageMargins left="1.535433070866142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P30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5.875" style="44" customWidth="1"/>
    <col min="2" max="2" width="37.375" style="44" customWidth="1"/>
    <col min="3" max="3" width="9.625" style="44" customWidth="1"/>
    <col min="4" max="15" width="15.75390625" style="44" customWidth="1"/>
    <col min="16" max="16" width="13.625" style="44" bestFit="1" customWidth="1"/>
    <col min="17" max="16384" width="9.125" style="44" customWidth="1"/>
  </cols>
  <sheetData>
    <row r="2" spans="1:15" ht="15.75">
      <c r="A2" s="688" t="s">
        <v>603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</row>
    <row r="3" spans="1:15" ht="15.75">
      <c r="A3" s="511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</row>
    <row r="4" spans="2:15" ht="15.75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5.75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</row>
    <row r="6" spans="1:15" ht="15.75">
      <c r="A6" s="511" t="s">
        <v>39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</row>
    <row r="7" spans="1:15" ht="15.75">
      <c r="A7" s="511" t="s">
        <v>360</v>
      </c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</row>
    <row r="8" spans="1:15" ht="15.75">
      <c r="A8" s="511" t="s">
        <v>584</v>
      </c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</row>
    <row r="9" spans="1:15" ht="15.75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</row>
    <row r="10" spans="1:15" ht="15.75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</row>
    <row r="11" ht="16.5" thickBot="1">
      <c r="O11" s="191" t="s">
        <v>479</v>
      </c>
    </row>
    <row r="12" spans="1:15" ht="32.25" customHeight="1" thickTop="1">
      <c r="A12" s="675" t="s">
        <v>361</v>
      </c>
      <c r="B12" s="664" t="s">
        <v>362</v>
      </c>
      <c r="C12" s="664" t="s">
        <v>363</v>
      </c>
      <c r="D12" s="667" t="s">
        <v>364</v>
      </c>
      <c r="E12" s="667"/>
      <c r="F12" s="668"/>
      <c r="G12" s="667" t="s">
        <v>365</v>
      </c>
      <c r="H12" s="667"/>
      <c r="I12" s="668"/>
      <c r="J12" s="667" t="s">
        <v>62</v>
      </c>
      <c r="K12" s="667"/>
      <c r="L12" s="668"/>
      <c r="M12" s="651" t="s">
        <v>366</v>
      </c>
      <c r="N12" s="652"/>
      <c r="O12" s="653"/>
    </row>
    <row r="13" spans="1:15" ht="16.5" thickBot="1">
      <c r="A13" s="665"/>
      <c r="B13" s="665"/>
      <c r="C13" s="665"/>
      <c r="D13" s="669"/>
      <c r="E13" s="669"/>
      <c r="F13" s="670"/>
      <c r="G13" s="669"/>
      <c r="H13" s="669"/>
      <c r="I13" s="670"/>
      <c r="J13" s="669"/>
      <c r="K13" s="669"/>
      <c r="L13" s="670"/>
      <c r="M13" s="654"/>
      <c r="N13" s="655"/>
      <c r="O13" s="650"/>
    </row>
    <row r="14" spans="1:15" ht="15.75">
      <c r="A14" s="665"/>
      <c r="B14" s="665"/>
      <c r="C14" s="665"/>
      <c r="D14" s="656" t="s">
        <v>370</v>
      </c>
      <c r="E14" s="656" t="s">
        <v>371</v>
      </c>
      <c r="F14" s="656" t="s">
        <v>510</v>
      </c>
      <c r="G14" s="656" t="s">
        <v>370</v>
      </c>
      <c r="H14" s="656" t="s">
        <v>371</v>
      </c>
      <c r="I14" s="656" t="s">
        <v>510</v>
      </c>
      <c r="J14" s="656" t="s">
        <v>370</v>
      </c>
      <c r="K14" s="656" t="s">
        <v>371</v>
      </c>
      <c r="L14" s="656" t="s">
        <v>510</v>
      </c>
      <c r="M14" s="656" t="s">
        <v>367</v>
      </c>
      <c r="N14" s="647" t="s">
        <v>365</v>
      </c>
      <c r="O14" s="649" t="s">
        <v>368</v>
      </c>
    </row>
    <row r="15" spans="1:15" ht="16.5" thickBot="1">
      <c r="A15" s="666"/>
      <c r="B15" s="666"/>
      <c r="C15" s="666"/>
      <c r="D15" s="657"/>
      <c r="E15" s="657"/>
      <c r="F15" s="657"/>
      <c r="G15" s="657"/>
      <c r="H15" s="657"/>
      <c r="I15" s="657"/>
      <c r="J15" s="657"/>
      <c r="K15" s="657"/>
      <c r="L15" s="657"/>
      <c r="M15" s="657"/>
      <c r="N15" s="648"/>
      <c r="O15" s="650"/>
    </row>
    <row r="16" spans="1:16" ht="26.25" customHeight="1">
      <c r="A16" s="698" t="s">
        <v>42</v>
      </c>
      <c r="B16" s="676" t="s">
        <v>372</v>
      </c>
      <c r="C16" s="671"/>
      <c r="D16" s="658">
        <f>12559-9743</f>
        <v>2816</v>
      </c>
      <c r="E16" s="658"/>
      <c r="F16" s="658"/>
      <c r="G16" s="658"/>
      <c r="H16" s="658">
        <v>9743</v>
      </c>
      <c r="I16" s="658"/>
      <c r="J16" s="658">
        <f>D16+G16</f>
        <v>2816</v>
      </c>
      <c r="K16" s="658">
        <f>F16+H16</f>
        <v>9743</v>
      </c>
      <c r="L16" s="658"/>
      <c r="M16" s="685">
        <f>D16+F16</f>
        <v>2816</v>
      </c>
      <c r="N16" s="682">
        <f>G16+H16</f>
        <v>9743</v>
      </c>
      <c r="O16" s="661">
        <f>J16+K16</f>
        <v>12559</v>
      </c>
      <c r="P16" s="188"/>
    </row>
    <row r="17" spans="1:15" ht="26.25" customHeight="1">
      <c r="A17" s="690"/>
      <c r="B17" s="677"/>
      <c r="C17" s="672"/>
      <c r="D17" s="659"/>
      <c r="E17" s="659"/>
      <c r="F17" s="659"/>
      <c r="G17" s="659"/>
      <c r="H17" s="659"/>
      <c r="I17" s="659"/>
      <c r="J17" s="659"/>
      <c r="K17" s="659"/>
      <c r="L17" s="659"/>
      <c r="M17" s="686"/>
      <c r="N17" s="683"/>
      <c r="O17" s="662"/>
    </row>
    <row r="18" spans="1:15" s="192" customFormat="1" ht="26.25" customHeight="1" thickBot="1">
      <c r="A18" s="699"/>
      <c r="B18" s="678"/>
      <c r="C18" s="673"/>
      <c r="D18" s="674"/>
      <c r="E18" s="674"/>
      <c r="F18" s="674"/>
      <c r="G18" s="660"/>
      <c r="H18" s="660"/>
      <c r="I18" s="660"/>
      <c r="J18" s="660"/>
      <c r="K18" s="660"/>
      <c r="L18" s="660"/>
      <c r="M18" s="687"/>
      <c r="N18" s="684"/>
      <c r="O18" s="663"/>
    </row>
    <row r="19" spans="1:15" ht="26.25" customHeight="1" thickTop="1">
      <c r="A19" s="689"/>
      <c r="B19" s="692" t="s">
        <v>369</v>
      </c>
      <c r="C19" s="695"/>
      <c r="D19" s="679">
        <f>D16</f>
        <v>2816</v>
      </c>
      <c r="E19" s="679"/>
      <c r="F19" s="679">
        <f aca="true" t="shared" si="0" ref="F19:O19">F16</f>
        <v>0</v>
      </c>
      <c r="G19" s="679">
        <f t="shared" si="0"/>
        <v>0</v>
      </c>
      <c r="H19" s="679">
        <f>H16</f>
        <v>9743</v>
      </c>
      <c r="I19" s="679">
        <f>I16</f>
        <v>0</v>
      </c>
      <c r="J19" s="679">
        <f t="shared" si="0"/>
        <v>2816</v>
      </c>
      <c r="K19" s="679">
        <f>K16</f>
        <v>9743</v>
      </c>
      <c r="L19" s="679"/>
      <c r="M19" s="679">
        <f t="shared" si="0"/>
        <v>2816</v>
      </c>
      <c r="N19" s="679">
        <f t="shared" si="0"/>
        <v>9743</v>
      </c>
      <c r="O19" s="679">
        <f t="shared" si="0"/>
        <v>12559</v>
      </c>
    </row>
    <row r="20" spans="1:15" ht="26.25" customHeight="1">
      <c r="A20" s="690"/>
      <c r="B20" s="693"/>
      <c r="C20" s="696"/>
      <c r="D20" s="680"/>
      <c r="E20" s="680"/>
      <c r="F20" s="680"/>
      <c r="G20" s="680"/>
      <c r="H20" s="680"/>
      <c r="I20" s="680"/>
      <c r="J20" s="680"/>
      <c r="K20" s="680"/>
      <c r="L20" s="680"/>
      <c r="M20" s="680"/>
      <c r="N20" s="680"/>
      <c r="O20" s="680"/>
    </row>
    <row r="21" spans="1:15" s="192" customFormat="1" ht="26.25" customHeight="1" thickBot="1">
      <c r="A21" s="691"/>
      <c r="B21" s="694"/>
      <c r="C21" s="697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</row>
    <row r="22" spans="1:15" ht="26.25" customHeight="1" thickTop="1">
      <c r="A22" s="193"/>
      <c r="B22" s="193"/>
      <c r="C22" s="193"/>
      <c r="D22" s="194"/>
      <c r="E22" s="194"/>
      <c r="F22" s="194"/>
      <c r="G22" s="195"/>
      <c r="H22" s="195"/>
      <c r="I22" s="195"/>
      <c r="J22" s="195"/>
      <c r="K22" s="195"/>
      <c r="L22" s="195"/>
      <c r="M22" s="194"/>
      <c r="N22" s="195"/>
      <c r="O22" s="194"/>
    </row>
    <row r="23" spans="1:15" ht="26.25" customHeight="1">
      <c r="A23" s="193"/>
      <c r="B23" s="193"/>
      <c r="C23" s="193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</row>
    <row r="24" spans="1:15" ht="26.25" customHeight="1">
      <c r="A24" s="193"/>
      <c r="B24" s="193"/>
      <c r="C24" s="193"/>
      <c r="D24" s="194"/>
      <c r="E24" s="194"/>
      <c r="F24" s="194"/>
      <c r="G24" s="194"/>
      <c r="H24" s="194"/>
      <c r="I24" s="194"/>
      <c r="J24" s="195"/>
      <c r="K24" s="195"/>
      <c r="L24" s="195"/>
      <c r="M24" s="194"/>
      <c r="N24" s="194"/>
      <c r="O24" s="194"/>
    </row>
    <row r="25" spans="1:15" ht="26.25" customHeight="1">
      <c r="A25" s="193"/>
      <c r="B25" s="193"/>
      <c r="C25" s="193"/>
      <c r="D25" s="194"/>
      <c r="E25" s="194"/>
      <c r="F25" s="194"/>
      <c r="G25" s="195"/>
      <c r="H25" s="195"/>
      <c r="I25" s="195"/>
      <c r="J25" s="194"/>
      <c r="K25" s="194"/>
      <c r="L25" s="194"/>
      <c r="M25" s="194"/>
      <c r="N25" s="194"/>
      <c r="O25" s="194"/>
    </row>
    <row r="26" spans="1:15" ht="26.25" customHeight="1">
      <c r="A26" s="193"/>
      <c r="B26" s="193"/>
      <c r="C26" s="193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</row>
    <row r="30" spans="7:9" ht="15.75">
      <c r="G30" s="188"/>
      <c r="H30" s="188"/>
      <c r="I30" s="188"/>
    </row>
  </sheetData>
  <sheetProtection password="AF00" sheet="1"/>
  <mergeCells count="54">
    <mergeCell ref="E16:E18"/>
    <mergeCell ref="E19:E21"/>
    <mergeCell ref="I14:I15"/>
    <mergeCell ref="I16:I18"/>
    <mergeCell ref="I19:I21"/>
    <mergeCell ref="L14:L15"/>
    <mergeCell ref="L16:L18"/>
    <mergeCell ref="L19:L21"/>
    <mergeCell ref="G19:G21"/>
    <mergeCell ref="A2:O2"/>
    <mergeCell ref="O19:O21"/>
    <mergeCell ref="G16:G18"/>
    <mergeCell ref="A19:A21"/>
    <mergeCell ref="B19:B21"/>
    <mergeCell ref="C19:C21"/>
    <mergeCell ref="D19:D21"/>
    <mergeCell ref="F19:F21"/>
    <mergeCell ref="F16:F18"/>
    <mergeCell ref="A16:A18"/>
    <mergeCell ref="B16:B18"/>
    <mergeCell ref="J19:J21"/>
    <mergeCell ref="J16:J18"/>
    <mergeCell ref="N19:N21"/>
    <mergeCell ref="N16:N18"/>
    <mergeCell ref="H19:H21"/>
    <mergeCell ref="H16:H18"/>
    <mergeCell ref="M16:M18"/>
    <mergeCell ref="K19:K21"/>
    <mergeCell ref="M19:M21"/>
    <mergeCell ref="C16:C18"/>
    <mergeCell ref="D16:D18"/>
    <mergeCell ref="A3:O3"/>
    <mergeCell ref="A6:O6"/>
    <mergeCell ref="A7:O7"/>
    <mergeCell ref="A8:O8"/>
    <mergeCell ref="A12:A15"/>
    <mergeCell ref="B12:B15"/>
    <mergeCell ref="D14:D15"/>
    <mergeCell ref="E14:E15"/>
    <mergeCell ref="C12:C15"/>
    <mergeCell ref="D12:F13"/>
    <mergeCell ref="G12:I13"/>
    <mergeCell ref="J12:L13"/>
    <mergeCell ref="H14:H15"/>
    <mergeCell ref="J14:J15"/>
    <mergeCell ref="K14:K15"/>
    <mergeCell ref="G14:G15"/>
    <mergeCell ref="F14:F15"/>
    <mergeCell ref="N14:N15"/>
    <mergeCell ref="O14:O15"/>
    <mergeCell ref="M12:O13"/>
    <mergeCell ref="M14:M15"/>
    <mergeCell ref="K16:K18"/>
    <mergeCell ref="O16:O18"/>
  </mergeCells>
  <printOptions horizontalCentered="1"/>
  <pageMargins left="0" right="0" top="0" bottom="0.15748031496062992" header="0.31496062992125984" footer="0.31496062992125984"/>
  <pageSetup fitToHeight="1" fitToWidth="1"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M95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:13" ht="19.5" customHeight="1">
      <c r="A1" s="585" t="s">
        <v>604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</row>
    <row r="2" spans="1:13" ht="12.75">
      <c r="A2" s="512"/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</row>
    <row r="4" spans="1:13" ht="20.25" customHeight="1">
      <c r="A4" s="790"/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</row>
    <row r="5" spans="1:13" s="44" customFormat="1" ht="15.75">
      <c r="A5" s="511" t="s">
        <v>39</v>
      </c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</row>
    <row r="6" spans="1:13" s="44" customFormat="1" ht="15.75">
      <c r="A6" s="511" t="s">
        <v>373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</row>
    <row r="7" spans="1:13" s="44" customFormat="1" ht="15.75">
      <c r="A7" s="511" t="s">
        <v>579</v>
      </c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</row>
    <row r="8" spans="1:13" ht="12" customHeight="1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</row>
    <row r="9" spans="1:13" s="44" customFormat="1" ht="15.75">
      <c r="A9" s="197" t="s">
        <v>374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ht="12" customHeight="1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</row>
    <row r="11" spans="1:13" ht="15.75">
      <c r="A11" s="198" t="s">
        <v>509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12" customHeight="1" thickBot="1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</row>
    <row r="13" spans="1:13" ht="16.5" thickBot="1">
      <c r="A13" s="729" t="s">
        <v>375</v>
      </c>
      <c r="B13" s="730"/>
      <c r="C13" s="730"/>
      <c r="D13" s="733" t="s">
        <v>376</v>
      </c>
      <c r="E13" s="734"/>
      <c r="F13" s="735"/>
      <c r="G13" s="733" t="s">
        <v>377</v>
      </c>
      <c r="H13" s="734"/>
      <c r="I13" s="735"/>
      <c r="J13" s="733" t="s">
        <v>378</v>
      </c>
      <c r="K13" s="734"/>
      <c r="L13" s="735"/>
      <c r="M13" s="700" t="s">
        <v>379</v>
      </c>
    </row>
    <row r="14" spans="1:13" ht="15.75">
      <c r="A14" s="731"/>
      <c r="B14" s="732"/>
      <c r="C14" s="732"/>
      <c r="D14" s="199" t="s">
        <v>380</v>
      </c>
      <c r="E14" s="200" t="s">
        <v>381</v>
      </c>
      <c r="F14" s="201" t="s">
        <v>382</v>
      </c>
      <c r="G14" s="200" t="s">
        <v>383</v>
      </c>
      <c r="H14" s="200" t="s">
        <v>381</v>
      </c>
      <c r="I14" s="201" t="s">
        <v>384</v>
      </c>
      <c r="J14" s="200" t="s">
        <v>383</v>
      </c>
      <c r="K14" s="201" t="s">
        <v>381</v>
      </c>
      <c r="L14" s="200" t="s">
        <v>384</v>
      </c>
      <c r="M14" s="701"/>
    </row>
    <row r="15" spans="1:13" ht="16.5" thickBot="1">
      <c r="A15" s="731"/>
      <c r="B15" s="732"/>
      <c r="C15" s="732"/>
      <c r="D15" s="202" t="s">
        <v>385</v>
      </c>
      <c r="E15" s="203" t="s">
        <v>386</v>
      </c>
      <c r="F15" s="204" t="s">
        <v>6</v>
      </c>
      <c r="G15" s="205" t="s">
        <v>385</v>
      </c>
      <c r="H15" s="203" t="s">
        <v>386</v>
      </c>
      <c r="I15" s="204" t="s">
        <v>6</v>
      </c>
      <c r="J15" s="205" t="s">
        <v>385</v>
      </c>
      <c r="K15" s="204" t="s">
        <v>386</v>
      </c>
      <c r="L15" s="203" t="s">
        <v>6</v>
      </c>
      <c r="M15" s="702"/>
    </row>
    <row r="16" spans="1:13" ht="7.5" customHeight="1">
      <c r="A16" s="703" t="s">
        <v>387</v>
      </c>
      <c r="B16" s="704"/>
      <c r="C16" s="705"/>
      <c r="D16" s="712"/>
      <c r="E16" s="715"/>
      <c r="F16" s="718"/>
      <c r="G16" s="721" t="s">
        <v>388</v>
      </c>
      <c r="H16" s="724"/>
      <c r="I16" s="737">
        <v>2210</v>
      </c>
      <c r="J16" s="715"/>
      <c r="K16" s="715"/>
      <c r="L16" s="715"/>
      <c r="M16" s="739">
        <f>I16</f>
        <v>2210</v>
      </c>
    </row>
    <row r="17" spans="1:13" ht="7.5" customHeight="1">
      <c r="A17" s="706"/>
      <c r="B17" s="707"/>
      <c r="C17" s="708"/>
      <c r="D17" s="713"/>
      <c r="E17" s="716"/>
      <c r="F17" s="719"/>
      <c r="G17" s="722"/>
      <c r="H17" s="725"/>
      <c r="I17" s="716"/>
      <c r="J17" s="716"/>
      <c r="K17" s="716"/>
      <c r="L17" s="716"/>
      <c r="M17" s="716"/>
    </row>
    <row r="18" spans="1:13" ht="15.75" customHeight="1" thickBot="1">
      <c r="A18" s="709"/>
      <c r="B18" s="710"/>
      <c r="C18" s="711"/>
      <c r="D18" s="714"/>
      <c r="E18" s="717"/>
      <c r="F18" s="720"/>
      <c r="G18" s="723"/>
      <c r="H18" s="726"/>
      <c r="I18" s="738"/>
      <c r="J18" s="717"/>
      <c r="K18" s="717"/>
      <c r="L18" s="717"/>
      <c r="M18" s="717"/>
    </row>
    <row r="19" spans="1:13" s="104" customFormat="1" ht="12.75" customHeight="1">
      <c r="A19" s="740" t="s">
        <v>2</v>
      </c>
      <c r="B19" s="741"/>
      <c r="C19" s="742"/>
      <c r="D19" s="727"/>
      <c r="E19" s="727"/>
      <c r="F19" s="746">
        <f>SUM(F16)</f>
        <v>0</v>
      </c>
      <c r="G19" s="727"/>
      <c r="H19" s="727"/>
      <c r="I19" s="727">
        <f>I16</f>
        <v>2210</v>
      </c>
      <c r="J19" s="727"/>
      <c r="K19" s="727"/>
      <c r="L19" s="727"/>
      <c r="M19" s="736">
        <f>M16</f>
        <v>2210</v>
      </c>
    </row>
    <row r="20" spans="1:13" s="104" customFormat="1" ht="13.5" customHeight="1" thickBot="1">
      <c r="A20" s="743"/>
      <c r="B20" s="744"/>
      <c r="C20" s="745"/>
      <c r="D20" s="728"/>
      <c r="E20" s="728"/>
      <c r="F20" s="747"/>
      <c r="G20" s="728"/>
      <c r="H20" s="728"/>
      <c r="I20" s="728"/>
      <c r="J20" s="728"/>
      <c r="K20" s="728"/>
      <c r="L20" s="728"/>
      <c r="M20" s="728"/>
    </row>
    <row r="21" spans="1:13" ht="12" customHeight="1">
      <c r="A21" s="196"/>
      <c r="B21" s="196"/>
      <c r="C21" s="196"/>
      <c r="D21" s="196"/>
      <c r="E21" s="196"/>
      <c r="F21" s="206"/>
      <c r="G21" s="196"/>
      <c r="H21" s="196"/>
      <c r="I21" s="196"/>
      <c r="J21" s="196"/>
      <c r="K21" s="196"/>
      <c r="L21" s="196"/>
      <c r="M21" s="196"/>
    </row>
    <row r="22" spans="1:6" s="198" customFormat="1" ht="12" customHeight="1">
      <c r="A22" s="198" t="s">
        <v>389</v>
      </c>
      <c r="F22" s="207"/>
    </row>
    <row r="23" spans="1:13" ht="17.25" customHeight="1">
      <c r="A23" s="208" t="s">
        <v>390</v>
      </c>
      <c r="B23" s="208"/>
      <c r="C23" s="208"/>
      <c r="D23" s="208"/>
      <c r="E23" s="208"/>
      <c r="F23" s="209"/>
      <c r="G23" s="210" t="s">
        <v>6</v>
      </c>
      <c r="H23" s="196"/>
      <c r="I23" s="196"/>
      <c r="J23" s="196"/>
      <c r="K23" s="196"/>
      <c r="L23" s="196"/>
      <c r="M23" s="196"/>
    </row>
    <row r="24" spans="1:13" ht="17.25" customHeight="1">
      <c r="A24" s="208" t="s">
        <v>391</v>
      </c>
      <c r="B24" s="208"/>
      <c r="C24" s="208"/>
      <c r="D24" s="208"/>
      <c r="E24" s="208"/>
      <c r="F24" s="209"/>
      <c r="G24" s="210" t="s">
        <v>6</v>
      </c>
      <c r="H24" s="196"/>
      <c r="I24" s="196"/>
      <c r="J24" s="196"/>
      <c r="K24" s="196"/>
      <c r="L24" s="196"/>
      <c r="M24" s="196"/>
    </row>
    <row r="25" spans="1:13" ht="15.75" customHeight="1">
      <c r="A25" s="208" t="s">
        <v>392</v>
      </c>
      <c r="B25" s="208"/>
      <c r="C25" s="208"/>
      <c r="D25" s="208"/>
      <c r="E25" s="208"/>
      <c r="F25" s="211">
        <v>41</v>
      </c>
      <c r="G25" s="212" t="s">
        <v>6</v>
      </c>
      <c r="H25" s="196"/>
      <c r="I25" s="196"/>
      <c r="J25" s="196"/>
      <c r="K25" s="196"/>
      <c r="L25" s="196"/>
      <c r="M25" s="196"/>
    </row>
    <row r="26" spans="1:13" ht="17.25" customHeight="1">
      <c r="A26" s="208" t="s">
        <v>393</v>
      </c>
      <c r="B26" s="208"/>
      <c r="C26" s="208"/>
      <c r="D26" s="208"/>
      <c r="E26" s="208"/>
      <c r="F26" s="213">
        <f>SUM(F23:F25)</f>
        <v>41</v>
      </c>
      <c r="G26" s="214" t="s">
        <v>6</v>
      </c>
      <c r="H26" s="196"/>
      <c r="I26" s="196"/>
      <c r="J26" s="196"/>
      <c r="K26" s="196"/>
      <c r="L26" s="196"/>
      <c r="M26" s="196"/>
    </row>
    <row r="27" spans="1:13" ht="13.5" customHeight="1">
      <c r="A27" s="208"/>
      <c r="B27" s="208"/>
      <c r="C27" s="208"/>
      <c r="D27" s="208"/>
      <c r="E27" s="208"/>
      <c r="F27" s="213"/>
      <c r="G27" s="214"/>
      <c r="H27" s="196"/>
      <c r="I27" s="196"/>
      <c r="J27" s="196"/>
      <c r="K27" s="196"/>
      <c r="L27" s="196"/>
      <c r="M27" s="196"/>
    </row>
    <row r="28" spans="1:13" ht="15.75">
      <c r="A28" s="198" t="s">
        <v>394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 ht="13.5" customHeight="1">
      <c r="A29" s="208"/>
      <c r="B29" s="208"/>
      <c r="C29" s="208"/>
      <c r="D29" s="208"/>
      <c r="E29" s="208"/>
      <c r="F29" s="213"/>
      <c r="G29" s="214"/>
      <c r="H29" s="196"/>
      <c r="I29" s="196"/>
      <c r="J29" s="196"/>
      <c r="K29" s="196"/>
      <c r="L29" s="196"/>
      <c r="M29" s="196"/>
    </row>
    <row r="30" spans="1:13" ht="13.5" customHeight="1" thickBot="1">
      <c r="A30" s="208"/>
      <c r="B30" s="208"/>
      <c r="C30" s="208"/>
      <c r="D30" s="208"/>
      <c r="E30" s="208"/>
      <c r="F30" s="213"/>
      <c r="G30" s="214"/>
      <c r="H30" s="196"/>
      <c r="I30" s="196"/>
      <c r="J30" s="196"/>
      <c r="K30" s="196"/>
      <c r="L30" s="196"/>
      <c r="M30" s="196"/>
    </row>
    <row r="31" spans="1:13" ht="16.5" thickBot="1">
      <c r="A31" s="729" t="s">
        <v>375</v>
      </c>
      <c r="B31" s="730"/>
      <c r="C31" s="730"/>
      <c r="D31" s="733" t="s">
        <v>376</v>
      </c>
      <c r="E31" s="734"/>
      <c r="F31" s="735"/>
      <c r="G31" s="733" t="s">
        <v>377</v>
      </c>
      <c r="H31" s="734"/>
      <c r="I31" s="735"/>
      <c r="J31" s="733" t="s">
        <v>378</v>
      </c>
      <c r="K31" s="734"/>
      <c r="L31" s="735"/>
      <c r="M31" s="700" t="s">
        <v>379</v>
      </c>
    </row>
    <row r="32" spans="1:13" ht="15.75">
      <c r="A32" s="731"/>
      <c r="B32" s="732"/>
      <c r="C32" s="732"/>
      <c r="D32" s="199" t="s">
        <v>380</v>
      </c>
      <c r="E32" s="200" t="s">
        <v>381</v>
      </c>
      <c r="F32" s="201" t="s">
        <v>382</v>
      </c>
      <c r="G32" s="200" t="s">
        <v>383</v>
      </c>
      <c r="H32" s="200" t="s">
        <v>381</v>
      </c>
      <c r="I32" s="201" t="s">
        <v>384</v>
      </c>
      <c r="J32" s="200" t="s">
        <v>383</v>
      </c>
      <c r="K32" s="201" t="s">
        <v>381</v>
      </c>
      <c r="L32" s="200" t="s">
        <v>384</v>
      </c>
      <c r="M32" s="701"/>
    </row>
    <row r="33" spans="1:13" ht="16.5" thickBot="1">
      <c r="A33" s="731"/>
      <c r="B33" s="732"/>
      <c r="C33" s="732"/>
      <c r="D33" s="202" t="s">
        <v>385</v>
      </c>
      <c r="E33" s="203" t="s">
        <v>386</v>
      </c>
      <c r="F33" s="204" t="s">
        <v>6</v>
      </c>
      <c r="G33" s="205" t="s">
        <v>385</v>
      </c>
      <c r="H33" s="203" t="s">
        <v>386</v>
      </c>
      <c r="I33" s="204" t="s">
        <v>6</v>
      </c>
      <c r="J33" s="205" t="s">
        <v>385</v>
      </c>
      <c r="K33" s="204" t="s">
        <v>386</v>
      </c>
      <c r="L33" s="203" t="s">
        <v>6</v>
      </c>
      <c r="M33" s="702"/>
    </row>
    <row r="34" spans="1:13" ht="7.5" customHeight="1">
      <c r="A34" s="749" t="s">
        <v>395</v>
      </c>
      <c r="B34" s="750"/>
      <c r="C34" s="751"/>
      <c r="D34" s="712" t="s">
        <v>396</v>
      </c>
      <c r="E34" s="715"/>
      <c r="F34" s="718">
        <v>13</v>
      </c>
      <c r="G34" s="748"/>
      <c r="H34" s="748"/>
      <c r="I34" s="748"/>
      <c r="J34" s="715"/>
      <c r="K34" s="715"/>
      <c r="L34" s="715"/>
      <c r="M34" s="739">
        <f>L34+I34+F34</f>
        <v>13</v>
      </c>
    </row>
    <row r="35" spans="1:13" ht="7.5" customHeight="1">
      <c r="A35" s="752"/>
      <c r="B35" s="753"/>
      <c r="C35" s="754"/>
      <c r="D35" s="713"/>
      <c r="E35" s="716"/>
      <c r="F35" s="719"/>
      <c r="G35" s="748"/>
      <c r="H35" s="748"/>
      <c r="I35" s="748"/>
      <c r="J35" s="716"/>
      <c r="K35" s="716"/>
      <c r="L35" s="716"/>
      <c r="M35" s="716"/>
    </row>
    <row r="36" spans="1:13" ht="7.5" customHeight="1">
      <c r="A36" s="755"/>
      <c r="B36" s="756"/>
      <c r="C36" s="757"/>
      <c r="D36" s="714"/>
      <c r="E36" s="717"/>
      <c r="F36" s="720"/>
      <c r="G36" s="748"/>
      <c r="H36" s="748"/>
      <c r="I36" s="748"/>
      <c r="J36" s="717"/>
      <c r="K36" s="717"/>
      <c r="L36" s="717"/>
      <c r="M36" s="717"/>
    </row>
    <row r="37" spans="1:13" ht="7.5" customHeight="1">
      <c r="A37" s="762" t="s">
        <v>458</v>
      </c>
      <c r="B37" s="791"/>
      <c r="C37" s="792"/>
      <c r="D37" s="712" t="s">
        <v>459</v>
      </c>
      <c r="E37" s="715"/>
      <c r="F37" s="718">
        <v>67</v>
      </c>
      <c r="G37" s="715"/>
      <c r="H37" s="715"/>
      <c r="I37" s="715"/>
      <c r="J37" s="715"/>
      <c r="K37" s="715"/>
      <c r="L37" s="715"/>
      <c r="M37" s="739">
        <f>L37+I37+F37</f>
        <v>67</v>
      </c>
    </row>
    <row r="38" spans="1:13" ht="7.5" customHeight="1">
      <c r="A38" s="793"/>
      <c r="B38" s="794"/>
      <c r="C38" s="795"/>
      <c r="D38" s="799"/>
      <c r="E38" s="759"/>
      <c r="F38" s="759"/>
      <c r="G38" s="759"/>
      <c r="H38" s="759"/>
      <c r="I38" s="759"/>
      <c r="J38" s="759"/>
      <c r="K38" s="759"/>
      <c r="L38" s="759"/>
      <c r="M38" s="716"/>
    </row>
    <row r="39" spans="1:13" ht="7.5" customHeight="1">
      <c r="A39" s="796"/>
      <c r="B39" s="797"/>
      <c r="C39" s="798"/>
      <c r="D39" s="800"/>
      <c r="E39" s="760"/>
      <c r="F39" s="760"/>
      <c r="G39" s="760"/>
      <c r="H39" s="760"/>
      <c r="I39" s="760"/>
      <c r="J39" s="760"/>
      <c r="K39" s="760"/>
      <c r="L39" s="760"/>
      <c r="M39" s="717"/>
    </row>
    <row r="40" spans="1:13" ht="19.5" customHeight="1">
      <c r="A40" s="801" t="s">
        <v>397</v>
      </c>
      <c r="B40" s="802"/>
      <c r="C40" s="803"/>
      <c r="D40" s="324"/>
      <c r="E40" s="325"/>
      <c r="F40" s="325"/>
      <c r="G40" s="326" t="s">
        <v>525</v>
      </c>
      <c r="H40" s="325"/>
      <c r="I40" s="325">
        <v>8</v>
      </c>
      <c r="J40" s="325"/>
      <c r="K40" s="325"/>
      <c r="L40" s="325"/>
      <c r="M40" s="322">
        <f>I40</f>
        <v>8</v>
      </c>
    </row>
    <row r="41" spans="1:13" ht="24.75" customHeight="1">
      <c r="A41" s="804" t="s">
        <v>397</v>
      </c>
      <c r="B41" s="805"/>
      <c r="C41" s="806"/>
      <c r="D41" s="324"/>
      <c r="E41" s="325"/>
      <c r="F41" s="325"/>
      <c r="G41" s="327" t="s">
        <v>398</v>
      </c>
      <c r="H41" s="325"/>
      <c r="I41" s="325">
        <v>250</v>
      </c>
      <c r="J41" s="325"/>
      <c r="K41" s="325"/>
      <c r="L41" s="325"/>
      <c r="M41" s="322">
        <f>I41</f>
        <v>250</v>
      </c>
    </row>
    <row r="42" spans="1:13" ht="7.5" customHeight="1">
      <c r="A42" s="762" t="s">
        <v>397</v>
      </c>
      <c r="B42" s="763"/>
      <c r="C42" s="764"/>
      <c r="D42" s="712"/>
      <c r="E42" s="715"/>
      <c r="F42" s="718"/>
      <c r="G42" s="761" t="s">
        <v>526</v>
      </c>
      <c r="H42" s="748"/>
      <c r="I42" s="758"/>
      <c r="J42" s="715"/>
      <c r="K42" s="715"/>
      <c r="L42" s="715"/>
      <c r="M42" s="739">
        <f>L42+I42+F42</f>
        <v>0</v>
      </c>
    </row>
    <row r="43" spans="1:13" ht="7.5" customHeight="1">
      <c r="A43" s="752"/>
      <c r="B43" s="753"/>
      <c r="C43" s="754"/>
      <c r="D43" s="713"/>
      <c r="E43" s="716"/>
      <c r="F43" s="719"/>
      <c r="G43" s="761"/>
      <c r="H43" s="748"/>
      <c r="I43" s="758"/>
      <c r="J43" s="716"/>
      <c r="K43" s="716"/>
      <c r="L43" s="716"/>
      <c r="M43" s="716"/>
    </row>
    <row r="44" spans="1:13" ht="7.5" customHeight="1" thickBot="1">
      <c r="A44" s="755"/>
      <c r="B44" s="756"/>
      <c r="C44" s="757"/>
      <c r="D44" s="714"/>
      <c r="E44" s="717"/>
      <c r="F44" s="720"/>
      <c r="G44" s="761"/>
      <c r="H44" s="748"/>
      <c r="I44" s="758"/>
      <c r="J44" s="717"/>
      <c r="K44" s="717"/>
      <c r="L44" s="717"/>
      <c r="M44" s="717"/>
    </row>
    <row r="45" spans="1:13" s="104" customFormat="1" ht="12.75" customHeight="1">
      <c r="A45" s="740" t="s">
        <v>2</v>
      </c>
      <c r="B45" s="741"/>
      <c r="C45" s="742"/>
      <c r="D45" s="727"/>
      <c r="E45" s="727"/>
      <c r="F45" s="746">
        <f>SUM(F34:F44)</f>
        <v>80</v>
      </c>
      <c r="G45" s="727"/>
      <c r="H45" s="727"/>
      <c r="I45" s="736">
        <f>SUM(I34:I44)</f>
        <v>258</v>
      </c>
      <c r="J45" s="727"/>
      <c r="K45" s="727"/>
      <c r="L45" s="727"/>
      <c r="M45" s="736">
        <f>SUM(M34:M44)</f>
        <v>338</v>
      </c>
    </row>
    <row r="46" spans="1:13" s="104" customFormat="1" ht="13.5" customHeight="1" thickBot="1">
      <c r="A46" s="743"/>
      <c r="B46" s="744"/>
      <c r="C46" s="745"/>
      <c r="D46" s="728"/>
      <c r="E46" s="728"/>
      <c r="F46" s="747"/>
      <c r="G46" s="728"/>
      <c r="H46" s="728"/>
      <c r="I46" s="728"/>
      <c r="J46" s="728"/>
      <c r="K46" s="728"/>
      <c r="L46" s="728"/>
      <c r="M46" s="728"/>
    </row>
    <row r="47" spans="1:13" ht="13.5" customHeight="1">
      <c r="A47" s="208"/>
      <c r="B47" s="208"/>
      <c r="C47" s="208"/>
      <c r="D47" s="208"/>
      <c r="E47" s="208"/>
      <c r="F47" s="213"/>
      <c r="G47" s="214"/>
      <c r="H47" s="196"/>
      <c r="I47" s="196"/>
      <c r="J47" s="196"/>
      <c r="K47" s="196"/>
      <c r="L47" s="196"/>
      <c r="M47" s="196"/>
    </row>
    <row r="48" spans="1:13" ht="13.5" customHeight="1">
      <c r="A48" s="208"/>
      <c r="B48" s="208"/>
      <c r="C48" s="208"/>
      <c r="D48" s="208"/>
      <c r="E48" s="208"/>
      <c r="F48" s="213"/>
      <c r="G48" s="214"/>
      <c r="H48" s="196"/>
      <c r="I48" s="196"/>
      <c r="J48" s="196"/>
      <c r="K48" s="196"/>
      <c r="L48" s="196"/>
      <c r="M48" s="196"/>
    </row>
    <row r="49" spans="1:13" ht="13.5" customHeight="1">
      <c r="A49" s="208"/>
      <c r="B49" s="208"/>
      <c r="C49" s="208"/>
      <c r="D49" s="208"/>
      <c r="E49" s="208"/>
      <c r="F49" s="213"/>
      <c r="G49" s="214"/>
      <c r="H49" s="196"/>
      <c r="I49" s="196"/>
      <c r="J49" s="196"/>
      <c r="K49" s="196"/>
      <c r="L49" s="196"/>
      <c r="M49" s="196"/>
    </row>
    <row r="50" spans="1:13" ht="13.5" customHeight="1">
      <c r="A50" s="208"/>
      <c r="B50" s="208"/>
      <c r="C50" s="208"/>
      <c r="D50" s="208"/>
      <c r="E50" s="208"/>
      <c r="F50" s="213"/>
      <c r="G50" s="214"/>
      <c r="H50" s="196"/>
      <c r="I50" s="196"/>
      <c r="J50" s="196"/>
      <c r="K50" s="196"/>
      <c r="L50" s="196"/>
      <c r="M50" s="196"/>
    </row>
    <row r="51" spans="1:13" ht="13.5" customHeight="1">
      <c r="A51" s="208"/>
      <c r="B51" s="208"/>
      <c r="C51" s="208"/>
      <c r="D51" s="208"/>
      <c r="E51" s="208"/>
      <c r="F51" s="213"/>
      <c r="G51" s="214"/>
      <c r="H51" s="196"/>
      <c r="I51" s="196"/>
      <c r="J51" s="196"/>
      <c r="K51" s="196"/>
      <c r="L51" s="196"/>
      <c r="M51" s="196"/>
    </row>
    <row r="52" spans="1:13" ht="13.5" customHeight="1">
      <c r="A52" s="208"/>
      <c r="B52" s="208"/>
      <c r="C52" s="208"/>
      <c r="D52" s="208"/>
      <c r="E52" s="208"/>
      <c r="F52" s="213"/>
      <c r="G52" s="214"/>
      <c r="H52" s="196"/>
      <c r="I52" s="196"/>
      <c r="J52" s="196"/>
      <c r="K52" s="196"/>
      <c r="L52" s="196"/>
      <c r="M52" s="196"/>
    </row>
    <row r="53" spans="1:13" ht="13.5" customHeight="1">
      <c r="A53" s="208"/>
      <c r="B53" s="208"/>
      <c r="C53" s="208"/>
      <c r="D53" s="208"/>
      <c r="E53" s="208"/>
      <c r="F53" s="213"/>
      <c r="G53" s="214"/>
      <c r="H53" s="196"/>
      <c r="I53" s="196"/>
      <c r="J53" s="196"/>
      <c r="K53" s="196"/>
      <c r="L53" s="196"/>
      <c r="M53" s="196"/>
    </row>
    <row r="54" spans="1:13" ht="13.5" customHeight="1">
      <c r="A54" s="208"/>
      <c r="B54" s="208"/>
      <c r="C54" s="208"/>
      <c r="D54" s="208"/>
      <c r="E54" s="208"/>
      <c r="F54" s="213"/>
      <c r="G54" s="214"/>
      <c r="H54" s="196"/>
      <c r="I54" s="196"/>
      <c r="J54" s="196"/>
      <c r="K54" s="196"/>
      <c r="L54" s="196"/>
      <c r="M54" s="196"/>
    </row>
    <row r="55" spans="1:13" ht="13.5" customHeight="1">
      <c r="A55" s="208"/>
      <c r="B55" s="208"/>
      <c r="C55" s="208"/>
      <c r="D55" s="208"/>
      <c r="E55" s="208"/>
      <c r="F55" s="213"/>
      <c r="G55" s="214"/>
      <c r="H55" s="196"/>
      <c r="I55" s="196"/>
      <c r="J55" s="196"/>
      <c r="K55" s="196"/>
      <c r="L55" s="196"/>
      <c r="M55" s="196"/>
    </row>
    <row r="56" spans="1:13" ht="13.5" customHeight="1">
      <c r="A56" s="208"/>
      <c r="B56" s="208"/>
      <c r="C56" s="208"/>
      <c r="D56" s="208"/>
      <c r="E56" s="208"/>
      <c r="F56" s="213"/>
      <c r="G56" s="214"/>
      <c r="H56" s="196"/>
      <c r="I56" s="196"/>
      <c r="J56" s="196"/>
      <c r="K56" s="196"/>
      <c r="L56" s="196"/>
      <c r="M56" s="196"/>
    </row>
    <row r="57" spans="1:13" ht="13.5" customHeight="1">
      <c r="A57" s="208"/>
      <c r="B57" s="208"/>
      <c r="C57" s="208"/>
      <c r="D57" s="208"/>
      <c r="E57" s="208"/>
      <c r="F57" s="213"/>
      <c r="G57" s="214"/>
      <c r="H57" s="196"/>
      <c r="I57" s="196"/>
      <c r="J57" s="196"/>
      <c r="K57" s="196"/>
      <c r="L57" s="196"/>
      <c r="M57" s="196"/>
    </row>
    <row r="58" spans="1:13" ht="13.5" customHeight="1">
      <c r="A58" s="208"/>
      <c r="B58" s="208"/>
      <c r="C58" s="208"/>
      <c r="D58" s="208"/>
      <c r="E58" s="208"/>
      <c r="F58" s="213"/>
      <c r="G58" s="214"/>
      <c r="H58" s="196"/>
      <c r="I58" s="196"/>
      <c r="J58" s="196"/>
      <c r="K58" s="196"/>
      <c r="L58" s="196"/>
      <c r="M58" s="196"/>
    </row>
    <row r="59" spans="1:13" ht="15.75">
      <c r="A59" s="7" t="s">
        <v>399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spans="1:13" ht="12" customHeight="1">
      <c r="A60" s="196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</row>
    <row r="61" spans="1:13" ht="15.75">
      <c r="A61" s="7" t="s">
        <v>400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spans="1:13" ht="12" customHeight="1" thickBot="1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</row>
    <row r="63" spans="1:11" ht="12.75" customHeight="1">
      <c r="A63" s="729" t="s">
        <v>375</v>
      </c>
      <c r="B63" s="730"/>
      <c r="C63" s="730"/>
      <c r="D63" s="729" t="s">
        <v>401</v>
      </c>
      <c r="E63" s="700"/>
      <c r="F63" s="729" t="s">
        <v>402</v>
      </c>
      <c r="G63" s="700"/>
      <c r="H63" s="729" t="s">
        <v>403</v>
      </c>
      <c r="I63" s="700"/>
      <c r="J63" s="729" t="s">
        <v>404</v>
      </c>
      <c r="K63" s="700"/>
    </row>
    <row r="64" spans="1:11" ht="12.75" customHeight="1">
      <c r="A64" s="731"/>
      <c r="B64" s="732"/>
      <c r="C64" s="732"/>
      <c r="D64" s="731"/>
      <c r="E64" s="701"/>
      <c r="F64" s="731"/>
      <c r="G64" s="701"/>
      <c r="H64" s="731"/>
      <c r="I64" s="701"/>
      <c r="J64" s="731"/>
      <c r="K64" s="701"/>
    </row>
    <row r="65" spans="1:11" ht="13.5" customHeight="1" thickBot="1">
      <c r="A65" s="766"/>
      <c r="B65" s="769"/>
      <c r="C65" s="769"/>
      <c r="D65" s="766"/>
      <c r="E65" s="702"/>
      <c r="F65" s="766"/>
      <c r="G65" s="702"/>
      <c r="H65" s="766"/>
      <c r="I65" s="702"/>
      <c r="J65" s="766"/>
      <c r="K65" s="702"/>
    </row>
    <row r="66" spans="1:12" s="44" customFormat="1" ht="25.5" customHeight="1" thickBot="1">
      <c r="A66" s="716" t="s">
        <v>405</v>
      </c>
      <c r="B66" s="716"/>
      <c r="C66" s="716"/>
      <c r="D66" s="716" t="s">
        <v>406</v>
      </c>
      <c r="E66" s="716"/>
      <c r="F66" s="767" t="s">
        <v>406</v>
      </c>
      <c r="G66" s="768"/>
      <c r="H66" s="767" t="s">
        <v>406</v>
      </c>
      <c r="I66" s="768"/>
      <c r="J66" s="716" t="s">
        <v>406</v>
      </c>
      <c r="K66" s="716"/>
      <c r="L66" s="215"/>
    </row>
    <row r="67" spans="1:13" s="104" customFormat="1" ht="12.75" customHeight="1">
      <c r="A67" s="740" t="s">
        <v>2</v>
      </c>
      <c r="B67" s="741"/>
      <c r="C67" s="742"/>
      <c r="D67" s="740"/>
      <c r="E67" s="742"/>
      <c r="F67" s="740"/>
      <c r="G67" s="742"/>
      <c r="H67" s="740"/>
      <c r="I67" s="742"/>
      <c r="J67" s="740" t="s">
        <v>406</v>
      </c>
      <c r="K67" s="742"/>
      <c r="L67" s="765"/>
      <c r="M67" s="765"/>
    </row>
    <row r="68" spans="1:13" s="104" customFormat="1" ht="13.5" customHeight="1" thickBot="1">
      <c r="A68" s="743"/>
      <c r="B68" s="744"/>
      <c r="C68" s="745"/>
      <c r="D68" s="743"/>
      <c r="E68" s="745"/>
      <c r="F68" s="743"/>
      <c r="G68" s="745"/>
      <c r="H68" s="743"/>
      <c r="I68" s="745"/>
      <c r="J68" s="743"/>
      <c r="K68" s="745"/>
      <c r="L68" s="765"/>
      <c r="M68" s="765"/>
    </row>
    <row r="70" spans="1:13" ht="15.75">
      <c r="A70" s="7" t="s">
        <v>407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ht="13.5" thickBot="1"/>
    <row r="72" spans="1:11" ht="12.75" customHeight="1">
      <c r="A72" s="729" t="s">
        <v>375</v>
      </c>
      <c r="B72" s="730"/>
      <c r="C72" s="730"/>
      <c r="D72" s="729" t="s">
        <v>401</v>
      </c>
      <c r="E72" s="700"/>
      <c r="F72" s="729" t="s">
        <v>408</v>
      </c>
      <c r="G72" s="700"/>
      <c r="H72" s="729" t="s">
        <v>403</v>
      </c>
      <c r="I72" s="700"/>
      <c r="J72" s="729" t="s">
        <v>404</v>
      </c>
      <c r="K72" s="700"/>
    </row>
    <row r="73" spans="1:11" ht="12.75" customHeight="1">
      <c r="A73" s="731"/>
      <c r="B73" s="732"/>
      <c r="C73" s="732"/>
      <c r="D73" s="731"/>
      <c r="E73" s="701"/>
      <c r="F73" s="731"/>
      <c r="G73" s="701"/>
      <c r="H73" s="731"/>
      <c r="I73" s="701"/>
      <c r="J73" s="731"/>
      <c r="K73" s="701"/>
    </row>
    <row r="74" spans="1:11" ht="13.5" customHeight="1" thickBot="1">
      <c r="A74" s="766"/>
      <c r="B74" s="769"/>
      <c r="C74" s="769"/>
      <c r="D74" s="766"/>
      <c r="E74" s="702"/>
      <c r="F74" s="766"/>
      <c r="G74" s="702"/>
      <c r="H74" s="766"/>
      <c r="I74" s="702"/>
      <c r="J74" s="766"/>
      <c r="K74" s="702"/>
    </row>
    <row r="75" spans="1:12" s="44" customFormat="1" ht="25.5" customHeight="1" thickBot="1">
      <c r="A75" s="716" t="s">
        <v>409</v>
      </c>
      <c r="B75" s="716"/>
      <c r="C75" s="716"/>
      <c r="D75" s="716" t="s">
        <v>410</v>
      </c>
      <c r="E75" s="716"/>
      <c r="F75" s="787" t="s">
        <v>406</v>
      </c>
      <c r="G75" s="788"/>
      <c r="H75" s="787"/>
      <c r="I75" s="788"/>
      <c r="J75" s="719"/>
      <c r="K75" s="719"/>
      <c r="L75" s="215"/>
    </row>
    <row r="76" spans="1:13" ht="12.75" customHeight="1">
      <c r="A76" s="770" t="s">
        <v>2</v>
      </c>
      <c r="B76" s="771"/>
      <c r="C76" s="772"/>
      <c r="D76" s="776"/>
      <c r="E76" s="777"/>
      <c r="F76" s="779">
        <f>SUM(F75)</f>
        <v>0</v>
      </c>
      <c r="G76" s="780"/>
      <c r="H76" s="783">
        <f>SUM(H75)</f>
        <v>0</v>
      </c>
      <c r="I76" s="784"/>
      <c r="J76" s="783">
        <f>SUM(J75)</f>
        <v>0</v>
      </c>
      <c r="K76" s="784"/>
      <c r="L76" s="789"/>
      <c r="M76" s="789"/>
    </row>
    <row r="77" spans="1:13" ht="13.5" customHeight="1" thickBot="1">
      <c r="A77" s="773"/>
      <c r="B77" s="774"/>
      <c r="C77" s="775"/>
      <c r="D77" s="778"/>
      <c r="E77" s="670"/>
      <c r="F77" s="781"/>
      <c r="G77" s="782"/>
      <c r="H77" s="785"/>
      <c r="I77" s="786"/>
      <c r="J77" s="785"/>
      <c r="K77" s="786"/>
      <c r="L77" s="789"/>
      <c r="M77" s="789"/>
    </row>
    <row r="79" spans="1:13" ht="15.75">
      <c r="A79" s="7" t="s">
        <v>411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ht="13.5" thickBot="1"/>
    <row r="81" spans="1:11" ht="12.75" customHeight="1">
      <c r="A81" s="729" t="s">
        <v>375</v>
      </c>
      <c r="B81" s="730"/>
      <c r="C81" s="730"/>
      <c r="D81" s="729" t="s">
        <v>401</v>
      </c>
      <c r="E81" s="700"/>
      <c r="F81" s="729" t="s">
        <v>402</v>
      </c>
      <c r="G81" s="700"/>
      <c r="H81" s="729" t="s">
        <v>403</v>
      </c>
      <c r="I81" s="700"/>
      <c r="J81" s="729" t="s">
        <v>404</v>
      </c>
      <c r="K81" s="700"/>
    </row>
    <row r="82" spans="1:11" ht="12.75" customHeight="1">
      <c r="A82" s="731"/>
      <c r="B82" s="732"/>
      <c r="C82" s="732"/>
      <c r="D82" s="731"/>
      <c r="E82" s="701"/>
      <c r="F82" s="731"/>
      <c r="G82" s="701"/>
      <c r="H82" s="731"/>
      <c r="I82" s="701"/>
      <c r="J82" s="731"/>
      <c r="K82" s="701"/>
    </row>
    <row r="83" spans="1:11" ht="13.5" customHeight="1" thickBot="1">
      <c r="A83" s="766"/>
      <c r="B83" s="769"/>
      <c r="C83" s="769"/>
      <c r="D83" s="766"/>
      <c r="E83" s="702"/>
      <c r="F83" s="766"/>
      <c r="G83" s="702"/>
      <c r="H83" s="766"/>
      <c r="I83" s="702"/>
      <c r="J83" s="766"/>
      <c r="K83" s="702"/>
    </row>
    <row r="84" spans="1:12" s="44" customFormat="1" ht="25.5" customHeight="1" thickBot="1">
      <c r="A84" s="716" t="s">
        <v>409</v>
      </c>
      <c r="B84" s="716"/>
      <c r="C84" s="716"/>
      <c r="D84" s="716" t="s">
        <v>412</v>
      </c>
      <c r="E84" s="716"/>
      <c r="F84" s="767" t="s">
        <v>406</v>
      </c>
      <c r="G84" s="768"/>
      <c r="H84" s="767"/>
      <c r="I84" s="768"/>
      <c r="J84" s="716"/>
      <c r="K84" s="716"/>
      <c r="L84" s="215"/>
    </row>
    <row r="85" spans="1:13" ht="12.75" customHeight="1">
      <c r="A85" s="770" t="s">
        <v>2</v>
      </c>
      <c r="B85" s="771"/>
      <c r="C85" s="772"/>
      <c r="D85" s="776"/>
      <c r="E85" s="777"/>
      <c r="F85" s="776"/>
      <c r="G85" s="777"/>
      <c r="H85" s="740">
        <f>SUM(H84)</f>
        <v>0</v>
      </c>
      <c r="I85" s="742"/>
      <c r="J85" s="740">
        <f>SUM(J84)</f>
        <v>0</v>
      </c>
      <c r="K85" s="742"/>
      <c r="L85" s="789"/>
      <c r="M85" s="789"/>
    </row>
    <row r="86" spans="1:13" ht="13.5" customHeight="1" thickBot="1">
      <c r="A86" s="773"/>
      <c r="B86" s="774"/>
      <c r="C86" s="775"/>
      <c r="D86" s="778"/>
      <c r="E86" s="670"/>
      <c r="F86" s="778"/>
      <c r="G86" s="670"/>
      <c r="H86" s="743"/>
      <c r="I86" s="745"/>
      <c r="J86" s="743"/>
      <c r="K86" s="745"/>
      <c r="L86" s="789"/>
      <c r="M86" s="789"/>
    </row>
    <row r="88" spans="1:13" ht="15.75">
      <c r="A88" s="7" t="s">
        <v>413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</row>
    <row r="89" ht="13.5" thickBot="1"/>
    <row r="90" spans="1:11" ht="12.75" customHeight="1">
      <c r="A90" s="729" t="s">
        <v>375</v>
      </c>
      <c r="B90" s="730"/>
      <c r="C90" s="730"/>
      <c r="D90" s="729" t="s">
        <v>401</v>
      </c>
      <c r="E90" s="700"/>
      <c r="F90" s="729" t="s">
        <v>402</v>
      </c>
      <c r="G90" s="700"/>
      <c r="H90" s="729" t="s">
        <v>403</v>
      </c>
      <c r="I90" s="700"/>
      <c r="J90" s="729" t="s">
        <v>404</v>
      </c>
      <c r="K90" s="700"/>
    </row>
    <row r="91" spans="1:11" ht="12.75" customHeight="1">
      <c r="A91" s="731"/>
      <c r="B91" s="732"/>
      <c r="C91" s="732"/>
      <c r="D91" s="731"/>
      <c r="E91" s="701"/>
      <c r="F91" s="731"/>
      <c r="G91" s="701"/>
      <c r="H91" s="731"/>
      <c r="I91" s="701"/>
      <c r="J91" s="731"/>
      <c r="K91" s="701"/>
    </row>
    <row r="92" spans="1:11" ht="13.5" customHeight="1" thickBot="1">
      <c r="A92" s="766"/>
      <c r="B92" s="769"/>
      <c r="C92" s="769"/>
      <c r="D92" s="766"/>
      <c r="E92" s="702"/>
      <c r="F92" s="766"/>
      <c r="G92" s="702"/>
      <c r="H92" s="766"/>
      <c r="I92" s="702"/>
      <c r="J92" s="766"/>
      <c r="K92" s="702"/>
    </row>
    <row r="93" spans="1:12" s="44" customFormat="1" ht="25.5" customHeight="1" thickBot="1">
      <c r="A93" s="716" t="s">
        <v>409</v>
      </c>
      <c r="B93" s="716"/>
      <c r="C93" s="716"/>
      <c r="D93" s="716"/>
      <c r="E93" s="716"/>
      <c r="F93" s="767" t="s">
        <v>406</v>
      </c>
      <c r="G93" s="768"/>
      <c r="H93" s="767"/>
      <c r="I93" s="768"/>
      <c r="J93" s="716"/>
      <c r="K93" s="716"/>
      <c r="L93" s="215"/>
    </row>
    <row r="94" spans="1:13" ht="12.75" customHeight="1">
      <c r="A94" s="770" t="s">
        <v>2</v>
      </c>
      <c r="B94" s="771"/>
      <c r="C94" s="772"/>
      <c r="D94" s="776"/>
      <c r="E94" s="777"/>
      <c r="F94" s="776"/>
      <c r="G94" s="777"/>
      <c r="H94" s="740">
        <f>SUM(H93)</f>
        <v>0</v>
      </c>
      <c r="I94" s="742"/>
      <c r="J94" s="740">
        <f>SUM(J93)</f>
        <v>0</v>
      </c>
      <c r="K94" s="742"/>
      <c r="L94" s="789"/>
      <c r="M94" s="789"/>
    </row>
    <row r="95" spans="1:13" ht="13.5" customHeight="1" thickBot="1">
      <c r="A95" s="773"/>
      <c r="B95" s="774"/>
      <c r="C95" s="775"/>
      <c r="D95" s="778"/>
      <c r="E95" s="670"/>
      <c r="F95" s="778"/>
      <c r="G95" s="670"/>
      <c r="H95" s="743"/>
      <c r="I95" s="745"/>
      <c r="J95" s="743"/>
      <c r="K95" s="745"/>
      <c r="L95" s="789"/>
      <c r="M95" s="789"/>
    </row>
  </sheetData>
  <sheetProtection password="AF00" sheet="1"/>
  <mergeCells count="152">
    <mergeCell ref="A40:C40"/>
    <mergeCell ref="A41:C41"/>
    <mergeCell ref="G37:G39"/>
    <mergeCell ref="A90:C92"/>
    <mergeCell ref="D90:E92"/>
    <mergeCell ref="F90:G92"/>
    <mergeCell ref="A85:C86"/>
    <mergeCell ref="D85:E86"/>
    <mergeCell ref="F85:G86"/>
    <mergeCell ref="A84:C84"/>
    <mergeCell ref="D84:E84"/>
    <mergeCell ref="F84:G84"/>
    <mergeCell ref="A1:M1"/>
    <mergeCell ref="A4:M4"/>
    <mergeCell ref="K37:K39"/>
    <mergeCell ref="L37:L39"/>
    <mergeCell ref="M37:M39"/>
    <mergeCell ref="A37:C39"/>
    <mergeCell ref="D37:D39"/>
    <mergeCell ref="I34:I36"/>
    <mergeCell ref="J34:J36"/>
    <mergeCell ref="L34:L36"/>
    <mergeCell ref="A94:C95"/>
    <mergeCell ref="D94:E95"/>
    <mergeCell ref="F94:G95"/>
    <mergeCell ref="A93:C93"/>
    <mergeCell ref="D93:E93"/>
    <mergeCell ref="F93:G93"/>
    <mergeCell ref="L94:L95"/>
    <mergeCell ref="L76:L77"/>
    <mergeCell ref="M94:M95"/>
    <mergeCell ref="J93:K93"/>
    <mergeCell ref="H93:I93"/>
    <mergeCell ref="H94:I95"/>
    <mergeCell ref="J94:K95"/>
    <mergeCell ref="H90:I92"/>
    <mergeCell ref="M85:M86"/>
    <mergeCell ref="J90:K92"/>
    <mergeCell ref="L85:L86"/>
    <mergeCell ref="J84:K84"/>
    <mergeCell ref="J85:K86"/>
    <mergeCell ref="H85:I86"/>
    <mergeCell ref="H84:I84"/>
    <mergeCell ref="M76:M77"/>
    <mergeCell ref="A81:C83"/>
    <mergeCell ref="D81:E83"/>
    <mergeCell ref="F81:G83"/>
    <mergeCell ref="H81:I83"/>
    <mergeCell ref="J81:K83"/>
    <mergeCell ref="J75:K75"/>
    <mergeCell ref="A76:C77"/>
    <mergeCell ref="D76:E77"/>
    <mergeCell ref="F76:G77"/>
    <mergeCell ref="H76:I77"/>
    <mergeCell ref="J76:K77"/>
    <mergeCell ref="A75:C75"/>
    <mergeCell ref="D75:E75"/>
    <mergeCell ref="F75:G75"/>
    <mergeCell ref="H75:I75"/>
    <mergeCell ref="J72:K74"/>
    <mergeCell ref="A67:C68"/>
    <mergeCell ref="D67:E68"/>
    <mergeCell ref="F67:G68"/>
    <mergeCell ref="H67:I68"/>
    <mergeCell ref="A72:C74"/>
    <mergeCell ref="D72:E74"/>
    <mergeCell ref="F72:G74"/>
    <mergeCell ref="H72:I74"/>
    <mergeCell ref="A66:C66"/>
    <mergeCell ref="D66:E66"/>
    <mergeCell ref="F66:G66"/>
    <mergeCell ref="M67:M68"/>
    <mergeCell ref="A63:C65"/>
    <mergeCell ref="D63:E65"/>
    <mergeCell ref="F63:G65"/>
    <mergeCell ref="H63:I65"/>
    <mergeCell ref="H66:I66"/>
    <mergeCell ref="K42:K44"/>
    <mergeCell ref="L42:L44"/>
    <mergeCell ref="J67:K68"/>
    <mergeCell ref="L67:L68"/>
    <mergeCell ref="J63:K65"/>
    <mergeCell ref="M42:M44"/>
    <mergeCell ref="J66:K66"/>
    <mergeCell ref="H45:H46"/>
    <mergeCell ref="I45:I46"/>
    <mergeCell ref="J45:J46"/>
    <mergeCell ref="L45:L46"/>
    <mergeCell ref="M45:M46"/>
    <mergeCell ref="K45:K46"/>
    <mergeCell ref="G45:G46"/>
    <mergeCell ref="G42:G44"/>
    <mergeCell ref="A45:C46"/>
    <mergeCell ref="D45:D46"/>
    <mergeCell ref="E45:E46"/>
    <mergeCell ref="F45:F46"/>
    <mergeCell ref="F42:F44"/>
    <mergeCell ref="A42:C44"/>
    <mergeCell ref="D42:D44"/>
    <mergeCell ref="I42:I44"/>
    <mergeCell ref="J42:J44"/>
    <mergeCell ref="E34:E36"/>
    <mergeCell ref="E42:E44"/>
    <mergeCell ref="H42:H44"/>
    <mergeCell ref="I37:I39"/>
    <mergeCell ref="J37:J39"/>
    <mergeCell ref="H37:H39"/>
    <mergeCell ref="E37:E39"/>
    <mergeCell ref="F37:F39"/>
    <mergeCell ref="M34:M36"/>
    <mergeCell ref="A31:C33"/>
    <mergeCell ref="D31:F31"/>
    <mergeCell ref="G31:I31"/>
    <mergeCell ref="J31:L31"/>
    <mergeCell ref="M31:M33"/>
    <mergeCell ref="A34:C36"/>
    <mergeCell ref="D34:D36"/>
    <mergeCell ref="H34:H36"/>
    <mergeCell ref="K34:K36"/>
    <mergeCell ref="A19:C20"/>
    <mergeCell ref="D19:D20"/>
    <mergeCell ref="E19:E20"/>
    <mergeCell ref="F19:F20"/>
    <mergeCell ref="F34:F36"/>
    <mergeCell ref="G34:G36"/>
    <mergeCell ref="H19:H20"/>
    <mergeCell ref="G19:G20"/>
    <mergeCell ref="I19:I20"/>
    <mergeCell ref="M19:M20"/>
    <mergeCell ref="I16:I18"/>
    <mergeCell ref="J16:J18"/>
    <mergeCell ref="K16:K18"/>
    <mergeCell ref="L16:L18"/>
    <mergeCell ref="M16:M18"/>
    <mergeCell ref="J19:J20"/>
    <mergeCell ref="K19:K20"/>
    <mergeCell ref="L19:L20"/>
    <mergeCell ref="A2:M2"/>
    <mergeCell ref="A5:M5"/>
    <mergeCell ref="A6:M6"/>
    <mergeCell ref="A7:M7"/>
    <mergeCell ref="A13:C15"/>
    <mergeCell ref="D13:F13"/>
    <mergeCell ref="G13:I13"/>
    <mergeCell ref="J13:L13"/>
    <mergeCell ref="M13:M15"/>
    <mergeCell ref="A16:C18"/>
    <mergeCell ref="D16:D18"/>
    <mergeCell ref="E16:E18"/>
    <mergeCell ref="F16:F18"/>
    <mergeCell ref="G16:G18"/>
    <mergeCell ref="H16:H18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5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5.75390625" style="17" customWidth="1"/>
    <col min="2" max="2" width="65.75390625" style="17" customWidth="1"/>
    <col min="3" max="5" width="15.75390625" style="17" bestFit="1" customWidth="1"/>
    <col min="6" max="6" width="18.00390625" style="17" bestFit="1" customWidth="1"/>
    <col min="7" max="7" width="11.375" style="44" bestFit="1" customWidth="1"/>
    <col min="8" max="16384" width="9.125" style="44" customWidth="1"/>
  </cols>
  <sheetData>
    <row r="1" spans="1:6" ht="15.75">
      <c r="A1" s="585" t="s">
        <v>605</v>
      </c>
      <c r="B1" s="585"/>
      <c r="C1" s="585"/>
      <c r="D1" s="585"/>
      <c r="E1" s="585"/>
      <c r="F1" s="585"/>
    </row>
    <row r="2" spans="1:6" ht="21" customHeight="1">
      <c r="A2" s="631"/>
      <c r="B2" s="631"/>
      <c r="C2" s="631"/>
      <c r="D2" s="631"/>
      <c r="E2" s="631"/>
      <c r="F2" s="631"/>
    </row>
    <row r="3" spans="1:6" ht="15.75">
      <c r="A3" s="631" t="s">
        <v>414</v>
      </c>
      <c r="B3" s="631"/>
      <c r="C3" s="631"/>
      <c r="D3" s="631"/>
      <c r="E3" s="631"/>
      <c r="F3" s="631"/>
    </row>
    <row r="4" spans="1:6" ht="15.75">
      <c r="A4" s="631" t="s">
        <v>415</v>
      </c>
      <c r="B4" s="631"/>
      <c r="C4" s="631"/>
      <c r="D4" s="631"/>
      <c r="E4" s="631"/>
      <c r="F4" s="631"/>
    </row>
    <row r="5" spans="1:6" ht="15.75">
      <c r="A5" s="631" t="s">
        <v>585</v>
      </c>
      <c r="B5" s="631"/>
      <c r="C5" s="631"/>
      <c r="D5" s="631"/>
      <c r="E5" s="631"/>
      <c r="F5" s="631"/>
    </row>
    <row r="6" spans="1:6" ht="16.5" thickBot="1">
      <c r="A6" s="19"/>
      <c r="B6" s="19"/>
      <c r="C6" s="44"/>
      <c r="D6" s="217"/>
      <c r="E6" s="44"/>
      <c r="F6" s="217" t="s">
        <v>5</v>
      </c>
    </row>
    <row r="7" spans="1:6" ht="15.75">
      <c r="A7" s="218" t="s">
        <v>40</v>
      </c>
      <c r="B7" s="807" t="s">
        <v>416</v>
      </c>
      <c r="C7" s="810" t="s">
        <v>417</v>
      </c>
      <c r="D7" s="811"/>
      <c r="E7" s="811"/>
      <c r="F7" s="807" t="s">
        <v>304</v>
      </c>
    </row>
    <row r="8" spans="1:6" ht="16.5" thickBot="1">
      <c r="A8" s="219"/>
      <c r="B8" s="808"/>
      <c r="C8" s="812"/>
      <c r="D8" s="813"/>
      <c r="E8" s="813"/>
      <c r="F8" s="808"/>
    </row>
    <row r="9" spans="1:6" ht="16.5" thickBot="1">
      <c r="A9" s="219"/>
      <c r="B9" s="808"/>
      <c r="C9" s="220" t="s">
        <v>480</v>
      </c>
      <c r="D9" s="220" t="s">
        <v>521</v>
      </c>
      <c r="E9" s="220" t="s">
        <v>586</v>
      </c>
      <c r="F9" s="808"/>
    </row>
    <row r="10" spans="1:6" ht="16.5" thickBot="1">
      <c r="A10" s="221" t="s">
        <v>41</v>
      </c>
      <c r="B10" s="809"/>
      <c r="C10" s="814" t="s">
        <v>418</v>
      </c>
      <c r="D10" s="815"/>
      <c r="E10" s="815"/>
      <c r="F10" s="809"/>
    </row>
    <row r="11" spans="1:6" ht="15.75">
      <c r="A11" s="216" t="s">
        <v>42</v>
      </c>
      <c r="B11" s="246" t="s">
        <v>424</v>
      </c>
      <c r="C11" s="222">
        <v>7733</v>
      </c>
      <c r="D11" s="222">
        <v>7733</v>
      </c>
      <c r="E11" s="222">
        <v>7733</v>
      </c>
      <c r="F11" s="222">
        <f>SUM(C11:E11)</f>
        <v>23199</v>
      </c>
    </row>
    <row r="12" spans="1:6" ht="31.5">
      <c r="A12" s="216" t="s">
        <v>25</v>
      </c>
      <c r="B12" s="247" t="s">
        <v>425</v>
      </c>
      <c r="C12" s="223"/>
      <c r="D12" s="223"/>
      <c r="E12" s="223"/>
      <c r="F12" s="222">
        <f>SUM(C12:E12)</f>
        <v>0</v>
      </c>
    </row>
    <row r="13" spans="1:2" s="194" customFormat="1" ht="15.75">
      <c r="A13" s="216" t="s">
        <v>43</v>
      </c>
      <c r="B13" s="246" t="s">
        <v>426</v>
      </c>
    </row>
    <row r="14" spans="1:6" s="194" customFormat="1" ht="31.5">
      <c r="A14" s="216" t="s">
        <v>99</v>
      </c>
      <c r="B14" s="247" t="s">
        <v>427</v>
      </c>
      <c r="C14" s="224"/>
      <c r="D14" s="224"/>
      <c r="E14" s="224"/>
      <c r="F14" s="222">
        <f>SUM(C14:E14)</f>
        <v>0</v>
      </c>
    </row>
    <row r="15" spans="1:6" s="194" customFormat="1" ht="15.75">
      <c r="A15" s="216" t="s">
        <v>100</v>
      </c>
      <c r="B15" s="246" t="s">
        <v>419</v>
      </c>
      <c r="C15" s="224">
        <v>75</v>
      </c>
      <c r="D15" s="224">
        <v>75</v>
      </c>
      <c r="E15" s="224">
        <v>75</v>
      </c>
      <c r="F15" s="222">
        <f>SUM(C15:E15)</f>
        <v>225</v>
      </c>
    </row>
    <row r="16" spans="1:6" s="194" customFormat="1" ht="15.75">
      <c r="A16" s="216" t="s">
        <v>106</v>
      </c>
      <c r="B16" s="246" t="s">
        <v>428</v>
      </c>
      <c r="C16" s="225"/>
      <c r="D16" s="225"/>
      <c r="E16" s="225"/>
      <c r="F16" s="225"/>
    </row>
    <row r="17" spans="1:6" s="229" customFormat="1" ht="15.75">
      <c r="A17" s="226" t="s">
        <v>240</v>
      </c>
      <c r="B17" s="227" t="s">
        <v>420</v>
      </c>
      <c r="C17" s="228">
        <f>SUM(C11:C16)</f>
        <v>7808</v>
      </c>
      <c r="D17" s="228">
        <f>SUM(D11:D16)</f>
        <v>7808</v>
      </c>
      <c r="E17" s="228">
        <f>SUM(E11:E16)</f>
        <v>7808</v>
      </c>
      <c r="F17" s="228">
        <f>SUM(F11:F16)</f>
        <v>23424</v>
      </c>
    </row>
    <row r="18" spans="1:6" s="234" customFormat="1" ht="18.75">
      <c r="A18" s="230" t="s">
        <v>244</v>
      </c>
      <c r="B18" s="231" t="s">
        <v>421</v>
      </c>
      <c r="C18" s="232">
        <f>C17*0.5</f>
        <v>3904</v>
      </c>
      <c r="D18" s="232">
        <f>D17*0.5</f>
        <v>3904</v>
      </c>
      <c r="E18" s="232">
        <f>E17*0.5</f>
        <v>3904</v>
      </c>
      <c r="F18" s="233">
        <f>SUM(C18:E18)</f>
        <v>11712</v>
      </c>
    </row>
    <row r="19" spans="1:6" s="194" customFormat="1" ht="31.5">
      <c r="A19" s="235" t="s">
        <v>250</v>
      </c>
      <c r="B19" s="247" t="s">
        <v>429</v>
      </c>
      <c r="C19" s="224"/>
      <c r="D19" s="224"/>
      <c r="E19" s="224"/>
      <c r="F19" s="224">
        <f>SUM(C19:E19)</f>
        <v>0</v>
      </c>
    </row>
    <row r="20" spans="1:6" s="194" customFormat="1" ht="31.5">
      <c r="A20" s="235" t="s">
        <v>252</v>
      </c>
      <c r="B20" s="247" t="s">
        <v>430</v>
      </c>
      <c r="C20" s="224"/>
      <c r="D20" s="224"/>
      <c r="E20" s="224"/>
      <c r="F20" s="224">
        <f>SUM(C20:E20)</f>
        <v>0</v>
      </c>
    </row>
    <row r="21" spans="1:6" s="194" customFormat="1" ht="15.75">
      <c r="A21" s="235" t="s">
        <v>254</v>
      </c>
      <c r="B21" s="246" t="s">
        <v>431</v>
      </c>
      <c r="C21" s="224"/>
      <c r="D21" s="224"/>
      <c r="E21" s="224"/>
      <c r="F21" s="224"/>
    </row>
    <row r="22" spans="1:6" s="194" customFormat="1" ht="31.5">
      <c r="A22" s="235" t="s">
        <v>259</v>
      </c>
      <c r="B22" s="236" t="s">
        <v>432</v>
      </c>
      <c r="C22" s="224"/>
      <c r="D22" s="224"/>
      <c r="E22" s="224"/>
      <c r="F22" s="224"/>
    </row>
    <row r="23" spans="1:6" s="194" customFormat="1" ht="47.25">
      <c r="A23" s="235" t="s">
        <v>261</v>
      </c>
      <c r="B23" s="236" t="s">
        <v>433</v>
      </c>
      <c r="C23" s="224"/>
      <c r="D23" s="224"/>
      <c r="E23" s="224"/>
      <c r="F23" s="224"/>
    </row>
    <row r="24" spans="1:6" s="194" customFormat="1" ht="31.5">
      <c r="A24" s="235" t="s">
        <v>263</v>
      </c>
      <c r="B24" s="236" t="s">
        <v>434</v>
      </c>
      <c r="C24" s="224"/>
      <c r="D24" s="224"/>
      <c r="E24" s="224"/>
      <c r="F24" s="224"/>
    </row>
    <row r="25" spans="1:6" s="194" customFormat="1" ht="31.5">
      <c r="A25" s="235" t="s">
        <v>270</v>
      </c>
      <c r="B25" s="236" t="s">
        <v>435</v>
      </c>
      <c r="C25" s="237"/>
      <c r="D25" s="237"/>
      <c r="E25" s="237"/>
      <c r="F25" s="237"/>
    </row>
    <row r="26" spans="1:6" s="229" customFormat="1" ht="15.75">
      <c r="A26" s="226" t="s">
        <v>273</v>
      </c>
      <c r="B26" s="238" t="s">
        <v>422</v>
      </c>
      <c r="C26" s="239">
        <f>SUM(C19:C24)</f>
        <v>0</v>
      </c>
      <c r="D26" s="239">
        <f>SUM(D19:D24)</f>
        <v>0</v>
      </c>
      <c r="E26" s="239">
        <f>SUM(E19:E24)</f>
        <v>0</v>
      </c>
      <c r="F26" s="239">
        <f>SUM(F19:F24)</f>
        <v>0</v>
      </c>
    </row>
    <row r="27" spans="1:6" s="242" customFormat="1" ht="37.5">
      <c r="A27" s="230" t="s">
        <v>275</v>
      </c>
      <c r="B27" s="240" t="s">
        <v>423</v>
      </c>
      <c r="C27" s="241">
        <f>C18-C26</f>
        <v>3904</v>
      </c>
      <c r="D27" s="241">
        <f>D18-D26</f>
        <v>3904</v>
      </c>
      <c r="E27" s="241">
        <f>E18-E26</f>
        <v>3904</v>
      </c>
      <c r="F27" s="241">
        <f>SUM(C27:E27)</f>
        <v>11712</v>
      </c>
    </row>
    <row r="28" spans="1:6" s="194" customFormat="1" ht="15.75">
      <c r="A28" s="243"/>
      <c r="B28" s="244"/>
      <c r="C28" s="224"/>
      <c r="D28" s="224"/>
      <c r="E28" s="224"/>
      <c r="F28" s="224"/>
    </row>
    <row r="29" spans="1:7" s="194" customFormat="1" ht="15.75">
      <c r="A29" s="243"/>
      <c r="B29" s="244"/>
      <c r="C29" s="224"/>
      <c r="D29" s="224"/>
      <c r="E29" s="224"/>
      <c r="F29" s="224"/>
      <c r="G29" s="224"/>
    </row>
    <row r="30" spans="1:6" s="194" customFormat="1" ht="15.75">
      <c r="A30" s="244"/>
      <c r="B30" s="244"/>
      <c r="C30" s="224"/>
      <c r="D30" s="224"/>
      <c r="E30" s="224"/>
      <c r="F30" s="224"/>
    </row>
    <row r="31" spans="1:6" s="194" customFormat="1" ht="15.75">
      <c r="A31" s="244"/>
      <c r="B31" s="244"/>
      <c r="C31" s="224"/>
      <c r="D31" s="224"/>
      <c r="E31" s="224"/>
      <c r="F31" s="224"/>
    </row>
    <row r="32" spans="1:6" s="194" customFormat="1" ht="15.75">
      <c r="A32" s="244"/>
      <c r="B32" s="244"/>
      <c r="C32" s="224"/>
      <c r="D32" s="224"/>
      <c r="E32" s="224"/>
      <c r="F32" s="224"/>
    </row>
    <row r="33" spans="1:6" s="194" customFormat="1" ht="15.75">
      <c r="A33" s="244"/>
      <c r="B33" s="245"/>
      <c r="C33" s="224"/>
      <c r="D33" s="224"/>
      <c r="E33" s="224"/>
      <c r="F33" s="224"/>
    </row>
    <row r="34" spans="1:6" s="194" customFormat="1" ht="15.75">
      <c r="A34" s="244"/>
      <c r="B34" s="244"/>
      <c r="C34" s="224"/>
      <c r="D34" s="224"/>
      <c r="E34" s="224"/>
      <c r="F34" s="224"/>
    </row>
    <row r="35" spans="1:6" s="194" customFormat="1" ht="15.75">
      <c r="A35" s="244"/>
      <c r="B35" s="244"/>
      <c r="C35" s="224"/>
      <c r="D35" s="224"/>
      <c r="E35" s="224"/>
      <c r="F35" s="224"/>
    </row>
  </sheetData>
  <sheetProtection password="AF00" sheet="1"/>
  <mergeCells count="9">
    <mergeCell ref="A1:F1"/>
    <mergeCell ref="A2:F2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N24"/>
  <sheetViews>
    <sheetView zoomScalePageLayoutView="0" workbookViewId="0" topLeftCell="A1">
      <selection activeCell="B1" sqref="B1:N1"/>
    </sheetView>
  </sheetViews>
  <sheetFormatPr defaultColWidth="9.00390625" defaultRowHeight="12.75"/>
  <cols>
    <col min="1" max="1" width="1.875" style="0" customWidth="1"/>
    <col min="2" max="2" width="27.625" style="0" customWidth="1"/>
    <col min="3" max="3" width="11.125" style="0" customWidth="1"/>
    <col min="4" max="4" width="15.75390625" style="0" customWidth="1"/>
    <col min="5" max="5" width="12.875" style="0" customWidth="1"/>
    <col min="6" max="6" width="12.00390625" style="0" customWidth="1"/>
    <col min="7" max="7" width="10.125" style="0" customWidth="1"/>
    <col min="8" max="8" width="11.125" style="0" customWidth="1"/>
    <col min="9" max="9" width="12.375" style="0" customWidth="1"/>
    <col min="10" max="11" width="12.00390625" style="0" customWidth="1"/>
    <col min="12" max="12" width="13.375" style="0" customWidth="1"/>
    <col min="13" max="13" width="12.75390625" style="0" customWidth="1"/>
    <col min="14" max="14" width="11.875" style="0" customWidth="1"/>
  </cols>
  <sheetData>
    <row r="1" spans="2:14" ht="12.75">
      <c r="B1" s="509" t="s">
        <v>656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</row>
    <row r="3" spans="1:4" ht="12.75">
      <c r="A3" s="515"/>
      <c r="B3" s="515"/>
      <c r="C3" s="515"/>
      <c r="D3" s="515"/>
    </row>
    <row r="5" spans="1:14" ht="18.75" customHeight="1">
      <c r="A5" s="611"/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</row>
    <row r="6" spans="1:14" ht="18" customHeight="1">
      <c r="A6" s="611" t="s">
        <v>538</v>
      </c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</row>
    <row r="7" spans="1:14" ht="16.5" customHeight="1">
      <c r="A7" s="611" t="s">
        <v>539</v>
      </c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</row>
    <row r="8" spans="1:14" ht="16.5" customHeight="1">
      <c r="A8" s="611" t="s">
        <v>579</v>
      </c>
      <c r="B8" s="611"/>
      <c r="C8" s="611"/>
      <c r="D8" s="611"/>
      <c r="E8" s="611"/>
      <c r="F8" s="611"/>
      <c r="G8" s="611"/>
      <c r="H8" s="611"/>
      <c r="I8" s="611"/>
      <c r="J8" s="611"/>
      <c r="K8" s="611"/>
      <c r="L8" s="611"/>
      <c r="M8" s="611"/>
      <c r="N8" s="611"/>
    </row>
    <row r="10" ht="13.5" thickBot="1">
      <c r="N10" s="356" t="s">
        <v>540</v>
      </c>
    </row>
    <row r="11" spans="1:14" ht="21" customHeight="1" thickBot="1">
      <c r="A11" s="820" t="s">
        <v>541</v>
      </c>
      <c r="B11" s="816" t="s">
        <v>0</v>
      </c>
      <c r="C11" s="817" t="s">
        <v>542</v>
      </c>
      <c r="D11" s="818" t="s">
        <v>543</v>
      </c>
      <c r="E11" s="818"/>
      <c r="F11" s="818"/>
      <c r="G11" s="818"/>
      <c r="H11" s="818"/>
      <c r="I11" s="819" t="s">
        <v>544</v>
      </c>
      <c r="J11" s="819"/>
      <c r="K11" s="819"/>
      <c r="L11" s="819"/>
      <c r="M11" s="819" t="s">
        <v>545</v>
      </c>
      <c r="N11" s="819"/>
    </row>
    <row r="12" spans="1:14" ht="63" customHeight="1" thickBot="1">
      <c r="A12" s="820"/>
      <c r="B12" s="816"/>
      <c r="C12" s="817"/>
      <c r="D12" s="358" t="s">
        <v>546</v>
      </c>
      <c r="E12" s="358" t="s">
        <v>547</v>
      </c>
      <c r="F12" s="358" t="s">
        <v>543</v>
      </c>
      <c r="G12" s="358" t="s">
        <v>548</v>
      </c>
      <c r="H12" s="358" t="s">
        <v>549</v>
      </c>
      <c r="I12" s="358" t="s">
        <v>550</v>
      </c>
      <c r="J12" s="358" t="s">
        <v>544</v>
      </c>
      <c r="K12" s="358" t="s">
        <v>567</v>
      </c>
      <c r="L12" s="358" t="s">
        <v>551</v>
      </c>
      <c r="M12" s="358" t="s">
        <v>552</v>
      </c>
      <c r="N12" s="358" t="s">
        <v>553</v>
      </c>
    </row>
    <row r="13" spans="1:14" ht="16.5" customHeight="1" thickBot="1">
      <c r="A13" s="359" t="s">
        <v>42</v>
      </c>
      <c r="B13" s="359" t="s">
        <v>554</v>
      </c>
      <c r="C13" s="360">
        <f>H13+M13+L13+N13</f>
        <v>185167122</v>
      </c>
      <c r="D13" s="360">
        <f>31984557+46400+100000+513804</f>
        <v>32644761</v>
      </c>
      <c r="E13" s="360">
        <v>7813000</v>
      </c>
      <c r="F13" s="360">
        <v>6687685</v>
      </c>
      <c r="G13" s="359"/>
      <c r="H13" s="360">
        <f>D13+E13+F13</f>
        <v>47145446</v>
      </c>
      <c r="I13" s="360">
        <f>15833638+2918584+77988095+1999880+4988001+14547890</f>
        <v>118276088</v>
      </c>
      <c r="J13" s="360"/>
      <c r="K13" s="360">
        <v>6346850</v>
      </c>
      <c r="L13" s="360">
        <f>I13+J13+K13</f>
        <v>124622938</v>
      </c>
      <c r="M13" s="360">
        <f>6216573+109982+3000+18481786</f>
        <v>24811341</v>
      </c>
      <c r="N13" s="360">
        <v>-11412603</v>
      </c>
    </row>
    <row r="14" spans="1:14" ht="18.75" customHeight="1" thickBot="1">
      <c r="A14" s="359" t="s">
        <v>25</v>
      </c>
      <c r="B14" s="359" t="s">
        <v>555</v>
      </c>
      <c r="C14" s="360">
        <f>H14+N14+M14</f>
        <v>16508148</v>
      </c>
      <c r="D14" s="360">
        <f>259101+268437+216550</f>
        <v>744088</v>
      </c>
      <c r="E14" s="359"/>
      <c r="F14" s="360">
        <v>3417880</v>
      </c>
      <c r="G14" s="359"/>
      <c r="H14" s="360">
        <f>D14+E14+F14</f>
        <v>4161968</v>
      </c>
      <c r="I14" s="360"/>
      <c r="J14" s="360"/>
      <c r="K14" s="360"/>
      <c r="L14" s="359"/>
      <c r="M14" s="360">
        <v>933577</v>
      </c>
      <c r="N14" s="360">
        <v>11412603</v>
      </c>
    </row>
    <row r="15" spans="1:14" ht="20.25" customHeight="1" thickBot="1">
      <c r="A15" s="359" t="s">
        <v>43</v>
      </c>
      <c r="B15" s="359" t="s">
        <v>556</v>
      </c>
      <c r="C15" s="360">
        <f>C13+C14</f>
        <v>201675270</v>
      </c>
      <c r="D15" s="360">
        <f>D13+D14</f>
        <v>33388849</v>
      </c>
      <c r="E15" s="360">
        <f>E13+E14</f>
        <v>7813000</v>
      </c>
      <c r="F15" s="360">
        <f>F13+F14</f>
        <v>10105565</v>
      </c>
      <c r="G15" s="360">
        <f>G13+G14</f>
        <v>0</v>
      </c>
      <c r="H15" s="360">
        <f>H13+H14</f>
        <v>51307414</v>
      </c>
      <c r="I15" s="360">
        <f>I13+I14</f>
        <v>118276088</v>
      </c>
      <c r="J15" s="360">
        <f>J13+J14</f>
        <v>0</v>
      </c>
      <c r="K15" s="360">
        <f>K13+K14</f>
        <v>6346850</v>
      </c>
      <c r="L15" s="360">
        <f>L13+L14</f>
        <v>124622938</v>
      </c>
      <c r="M15" s="360">
        <f>M13+M14</f>
        <v>25744918</v>
      </c>
      <c r="N15" s="360">
        <f>N13+N14</f>
        <v>0</v>
      </c>
    </row>
    <row r="24" ht="12.75">
      <c r="B24" s="361"/>
    </row>
  </sheetData>
  <sheetProtection/>
  <mergeCells count="12">
    <mergeCell ref="D11:H11"/>
    <mergeCell ref="I11:L11"/>
    <mergeCell ref="M11:N11"/>
    <mergeCell ref="B1:N1"/>
    <mergeCell ref="A11:A12"/>
    <mergeCell ref="A3:D3"/>
    <mergeCell ref="A5:N5"/>
    <mergeCell ref="A6:N6"/>
    <mergeCell ref="A7:N7"/>
    <mergeCell ref="A8:N8"/>
    <mergeCell ref="B11:B12"/>
    <mergeCell ref="C11:C12"/>
  </mergeCells>
  <printOptions/>
  <pageMargins left="0.11811023622047245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"/>
  <sheetViews>
    <sheetView zoomScalePageLayoutView="0" workbookViewId="0" topLeftCell="A1">
      <selection activeCell="H39" sqref="H39"/>
    </sheetView>
  </sheetViews>
  <sheetFormatPr defaultColWidth="9.00390625" defaultRowHeight="12.75"/>
  <cols>
    <col min="1" max="1" width="2.375" style="0" customWidth="1"/>
    <col min="2" max="2" width="29.375" style="0" customWidth="1"/>
    <col min="3" max="3" width="11.75390625" style="0" customWidth="1"/>
    <col min="4" max="4" width="11.125" style="0" customWidth="1"/>
    <col min="6" max="6" width="11.125" style="0" customWidth="1"/>
    <col min="7" max="7" width="18.25390625" style="0" customWidth="1"/>
    <col min="8" max="8" width="0.12890625" style="0" customWidth="1"/>
  </cols>
  <sheetData>
    <row r="1" spans="1:13" ht="12.75">
      <c r="A1" s="509" t="s">
        <v>606</v>
      </c>
      <c r="B1" s="509"/>
      <c r="C1" s="509"/>
      <c r="D1" s="509"/>
      <c r="E1" s="509"/>
      <c r="F1" s="509"/>
      <c r="G1" s="509"/>
      <c r="H1" s="392"/>
      <c r="I1" s="392"/>
      <c r="J1" s="392"/>
      <c r="K1" s="392"/>
      <c r="L1" s="392"/>
      <c r="M1" s="392"/>
    </row>
    <row r="6" spans="1:7" ht="15.75" customHeight="1">
      <c r="A6" s="821"/>
      <c r="B6" s="821"/>
      <c r="C6" s="821"/>
      <c r="D6" s="821"/>
      <c r="E6" s="821"/>
      <c r="F6" s="821"/>
      <c r="G6" s="821"/>
    </row>
    <row r="7" spans="1:14" ht="22.5" customHeight="1">
      <c r="A7" s="611" t="s">
        <v>39</v>
      </c>
      <c r="B7" s="611"/>
      <c r="C7" s="611"/>
      <c r="D7" s="611"/>
      <c r="E7" s="611"/>
      <c r="F7" s="611"/>
      <c r="G7" s="611"/>
      <c r="N7" s="392"/>
    </row>
    <row r="8" spans="1:7" ht="19.5" customHeight="1">
      <c r="A8" s="258" t="s">
        <v>557</v>
      </c>
      <c r="B8" s="258"/>
      <c r="C8" s="258"/>
      <c r="D8" s="258"/>
      <c r="E8" s="258"/>
      <c r="F8" s="258"/>
      <c r="G8" s="258"/>
    </row>
    <row r="9" spans="1:7" ht="21.75" customHeight="1">
      <c r="A9" s="611" t="s">
        <v>579</v>
      </c>
      <c r="B9" s="611"/>
      <c r="C9" s="611"/>
      <c r="D9" s="611"/>
      <c r="E9" s="611"/>
      <c r="F9" s="611"/>
      <c r="G9" s="611"/>
    </row>
    <row r="11" ht="16.5" customHeight="1" thickBot="1">
      <c r="G11" s="356" t="s">
        <v>558</v>
      </c>
    </row>
    <row r="12" spans="1:8" ht="93.75" customHeight="1" thickBot="1">
      <c r="A12" s="381" t="s">
        <v>541</v>
      </c>
      <c r="B12" s="434" t="s">
        <v>566</v>
      </c>
      <c r="C12" s="822" t="s">
        <v>559</v>
      </c>
      <c r="D12" s="822"/>
      <c r="E12" s="822" t="s">
        <v>560</v>
      </c>
      <c r="F12" s="822"/>
      <c r="G12" s="822" t="s">
        <v>561</v>
      </c>
      <c r="H12" s="822"/>
    </row>
    <row r="13" spans="1:8" ht="35.25" customHeight="1" thickBot="1">
      <c r="A13" s="359"/>
      <c r="B13" s="359"/>
      <c r="C13" s="357" t="s">
        <v>562</v>
      </c>
      <c r="D13" s="358" t="s">
        <v>563</v>
      </c>
      <c r="E13" s="357" t="s">
        <v>562</v>
      </c>
      <c r="F13" s="358" t="s">
        <v>564</v>
      </c>
      <c r="G13" s="505"/>
      <c r="H13" s="504"/>
    </row>
    <row r="14" spans="1:8" ht="21" customHeight="1" thickBot="1">
      <c r="A14" s="359" t="s">
        <v>42</v>
      </c>
      <c r="B14" s="359" t="s">
        <v>565</v>
      </c>
      <c r="C14" s="360">
        <f>6691748+76000-110720+330000+89209</f>
        <v>7076237</v>
      </c>
      <c r="D14" s="503">
        <f>C14/G14*100</f>
        <v>62.00370765547527</v>
      </c>
      <c r="E14" s="360">
        <f>4720855-76000+110720-330000-89209</f>
        <v>4336366</v>
      </c>
      <c r="F14" s="503">
        <f>E14/G14*100</f>
        <v>37.99629234452473</v>
      </c>
      <c r="G14" s="502">
        <f>C14+E14</f>
        <v>11412603</v>
      </c>
      <c r="H14" s="504"/>
    </row>
    <row r="15" spans="1:8" ht="20.25" customHeight="1" thickBot="1">
      <c r="A15" s="359" t="s">
        <v>25</v>
      </c>
      <c r="B15" s="359" t="s">
        <v>2</v>
      </c>
      <c r="C15" s="360">
        <f>C14</f>
        <v>7076237</v>
      </c>
      <c r="D15" s="503">
        <f>D14</f>
        <v>62.00370765547527</v>
      </c>
      <c r="E15" s="360">
        <f>E14</f>
        <v>4336366</v>
      </c>
      <c r="F15" s="503">
        <f>F14</f>
        <v>37.99629234452473</v>
      </c>
      <c r="G15" s="502">
        <v>11412603</v>
      </c>
      <c r="H15" s="501"/>
    </row>
  </sheetData>
  <sheetProtection/>
  <mergeCells count="7">
    <mergeCell ref="A1:G1"/>
    <mergeCell ref="A6:G6"/>
    <mergeCell ref="A7:G7"/>
    <mergeCell ref="A9:G9"/>
    <mergeCell ref="C12:D12"/>
    <mergeCell ref="E12:F12"/>
    <mergeCell ref="G12:H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2"/>
  <sheetViews>
    <sheetView zoomScalePageLayoutView="0" workbookViewId="0" topLeftCell="A1">
      <selection activeCell="I6" sqref="I6:I7"/>
    </sheetView>
  </sheetViews>
  <sheetFormatPr defaultColWidth="9.00390625" defaultRowHeight="12.75"/>
  <cols>
    <col min="1" max="1" width="5.625" style="4" customWidth="1"/>
    <col min="2" max="2" width="66.125" style="4" customWidth="1"/>
    <col min="3" max="3" width="14.625" style="382" customWidth="1"/>
    <col min="4" max="4" width="4.875" style="4" customWidth="1"/>
    <col min="5" max="5" width="16.375" style="382" customWidth="1"/>
    <col min="6" max="6" width="5.25390625" style="4" customWidth="1"/>
    <col min="7" max="7" width="9.125" style="4" customWidth="1"/>
    <col min="8" max="8" width="14.25390625" style="4" bestFit="1" customWidth="1"/>
    <col min="9" max="16384" width="9.125" style="4" customWidth="1"/>
  </cols>
  <sheetData>
    <row r="1" spans="1:7" ht="15">
      <c r="A1" s="508" t="s">
        <v>663</v>
      </c>
      <c r="B1" s="509"/>
      <c r="C1" s="509"/>
      <c r="D1" s="509"/>
      <c r="E1" s="509"/>
      <c r="F1" s="509"/>
      <c r="G1" s="378"/>
    </row>
    <row r="3" spans="1:6" ht="15">
      <c r="A3" s="513"/>
      <c r="B3" s="514"/>
      <c r="C3" s="514"/>
      <c r="D3" s="514"/>
      <c r="E3" s="514"/>
      <c r="F3" s="514"/>
    </row>
    <row r="4" spans="2:6" ht="15">
      <c r="B4" s="89"/>
      <c r="C4" s="89"/>
      <c r="D4" s="89"/>
      <c r="E4" s="89"/>
      <c r="F4" s="89"/>
    </row>
    <row r="5" spans="2:6" s="44" customFormat="1" ht="15.75">
      <c r="B5" s="512"/>
      <c r="C5" s="512"/>
      <c r="D5" s="512"/>
      <c r="E5" s="512"/>
      <c r="F5" s="512"/>
    </row>
    <row r="6" spans="2:6" s="44" customFormat="1" ht="15.75">
      <c r="B6" s="511" t="s">
        <v>39</v>
      </c>
      <c r="C6" s="511"/>
      <c r="D6" s="511"/>
      <c r="E6" s="511"/>
      <c r="F6" s="511"/>
    </row>
    <row r="7" spans="2:6" ht="15.75">
      <c r="B7" s="511" t="s">
        <v>154</v>
      </c>
      <c r="C7" s="511"/>
      <c r="D7" s="511"/>
      <c r="E7" s="511"/>
      <c r="F7" s="511"/>
    </row>
    <row r="8" spans="2:6" ht="12.75" customHeight="1">
      <c r="B8" s="510" t="s">
        <v>576</v>
      </c>
      <c r="C8" s="510"/>
      <c r="D8" s="510"/>
      <c r="E8" s="510"/>
      <c r="F8" s="510"/>
    </row>
    <row r="9" spans="2:6" s="1" customFormat="1" ht="15">
      <c r="B9" s="4"/>
      <c r="C9" s="382"/>
      <c r="D9" s="4"/>
      <c r="E9" s="386"/>
      <c r="F9" s="4"/>
    </row>
    <row r="10" spans="1:5" s="1" customFormat="1" ht="18.75">
      <c r="A10" s="288" t="s">
        <v>42</v>
      </c>
      <c r="B10" s="103" t="s">
        <v>155</v>
      </c>
      <c r="C10" s="385"/>
      <c r="E10" s="104"/>
    </row>
    <row r="11" spans="1:6" ht="15.75">
      <c r="A11" s="288" t="s">
        <v>482</v>
      </c>
      <c r="B11" s="7" t="s">
        <v>156</v>
      </c>
      <c r="C11" s="385"/>
      <c r="D11" s="1"/>
      <c r="E11" s="390">
        <f>C12+C13</f>
        <v>33388849</v>
      </c>
      <c r="F11" s="1" t="s">
        <v>463</v>
      </c>
    </row>
    <row r="12" spans="1:8" ht="15.75">
      <c r="A12" s="288" t="s">
        <v>483</v>
      </c>
      <c r="B12" s="105" t="s">
        <v>157</v>
      </c>
      <c r="C12" s="382">
        <f>'2.mell - bevétel'!H56</f>
        <v>31984557</v>
      </c>
      <c r="D12" s="4" t="s">
        <v>6</v>
      </c>
      <c r="E12" s="386"/>
      <c r="H12" s="83"/>
    </row>
    <row r="13" spans="1:6" s="1" customFormat="1" ht="15.75" customHeight="1">
      <c r="A13" s="288" t="s">
        <v>484</v>
      </c>
      <c r="B13" s="105" t="s">
        <v>158</v>
      </c>
      <c r="C13" s="382">
        <f>'2.mell - bevétel'!H63</f>
        <v>1404292</v>
      </c>
      <c r="D13" s="4" t="s">
        <v>6</v>
      </c>
      <c r="E13" s="386"/>
      <c r="F13" s="4"/>
    </row>
    <row r="14" spans="1:5" s="1" customFormat="1" ht="15.75">
      <c r="A14" s="288"/>
      <c r="B14" s="7"/>
      <c r="C14" s="385"/>
      <c r="E14" s="390"/>
    </row>
    <row r="15" spans="1:6" s="1" customFormat="1" ht="15.75">
      <c r="A15" s="288" t="s">
        <v>485</v>
      </c>
      <c r="B15" s="7" t="s">
        <v>159</v>
      </c>
      <c r="C15" s="385"/>
      <c r="E15" s="390">
        <f>'2.mell - bevétel'!H65</f>
        <v>0</v>
      </c>
      <c r="F15" s="1" t="s">
        <v>463</v>
      </c>
    </row>
    <row r="16" spans="1:5" s="1" customFormat="1" ht="15.75">
      <c r="A16" s="288"/>
      <c r="B16" s="7"/>
      <c r="C16" s="385"/>
      <c r="E16" s="390"/>
    </row>
    <row r="17" spans="1:6" s="1" customFormat="1" ht="15.75">
      <c r="A17" s="288" t="s">
        <v>486</v>
      </c>
      <c r="B17" s="7" t="s">
        <v>113</v>
      </c>
      <c r="C17" s="385"/>
      <c r="E17" s="390">
        <f>'2.mell - bevétel'!G89</f>
        <v>7813000</v>
      </c>
      <c r="F17" s="1" t="s">
        <v>463</v>
      </c>
    </row>
    <row r="18" spans="1:8" s="1" customFormat="1" ht="15.75">
      <c r="A18" s="288"/>
      <c r="B18" s="7"/>
      <c r="C18" s="385"/>
      <c r="E18" s="390"/>
      <c r="H18" s="84"/>
    </row>
    <row r="19" spans="1:6" s="1" customFormat="1" ht="15.75">
      <c r="A19" s="288" t="s">
        <v>487</v>
      </c>
      <c r="B19" s="7" t="s">
        <v>54</v>
      </c>
      <c r="C19" s="385"/>
      <c r="E19" s="390">
        <f>'2.mell - bevétel'!H111</f>
        <v>10105565</v>
      </c>
      <c r="F19" s="1" t="s">
        <v>463</v>
      </c>
    </row>
    <row r="20" spans="1:5" s="1" customFormat="1" ht="15.75">
      <c r="A20" s="288"/>
      <c r="B20" s="8"/>
      <c r="C20" s="389"/>
      <c r="E20" s="390"/>
    </row>
    <row r="21" spans="1:5" s="1" customFormat="1" ht="15.75">
      <c r="A21" s="288" t="s">
        <v>488</v>
      </c>
      <c r="B21" s="7" t="s">
        <v>160</v>
      </c>
      <c r="C21" s="385"/>
      <c r="E21" s="390"/>
    </row>
    <row r="22" spans="1:5" s="1" customFormat="1" ht="15.75">
      <c r="A22" s="288"/>
      <c r="B22" s="8"/>
      <c r="C22" s="385"/>
      <c r="E22" s="390"/>
    </row>
    <row r="23" spans="1:6" s="1" customFormat="1" ht="15.75">
      <c r="A23" s="288" t="s">
        <v>489</v>
      </c>
      <c r="B23" s="7" t="s">
        <v>161</v>
      </c>
      <c r="E23" s="390">
        <f>C24+C25</f>
        <v>0</v>
      </c>
      <c r="F23" s="1" t="s">
        <v>463</v>
      </c>
    </row>
    <row r="24" spans="1:8" s="6" customFormat="1" ht="32.25">
      <c r="A24" s="289" t="s">
        <v>490</v>
      </c>
      <c r="B24" s="105" t="s">
        <v>162</v>
      </c>
      <c r="C24" s="389">
        <v>0</v>
      </c>
      <c r="D24" s="1" t="s">
        <v>6</v>
      </c>
      <c r="E24" s="390"/>
      <c r="F24" s="1"/>
      <c r="G24" s="1"/>
      <c r="H24" s="85"/>
    </row>
    <row r="25" spans="1:8" ht="18.75">
      <c r="A25" s="288"/>
      <c r="B25" s="44" t="s">
        <v>163</v>
      </c>
      <c r="C25" s="385">
        <v>0</v>
      </c>
      <c r="D25" s="1" t="s">
        <v>6</v>
      </c>
      <c r="E25" s="390"/>
      <c r="F25" s="1"/>
      <c r="G25" s="6"/>
      <c r="H25" s="86"/>
    </row>
    <row r="26" spans="1:8" s="1" customFormat="1" ht="18.75">
      <c r="A26" s="288"/>
      <c r="B26" s="53"/>
      <c r="C26" s="382"/>
      <c r="D26" s="4"/>
      <c r="E26" s="391"/>
      <c r="F26" s="6"/>
      <c r="H26" s="87"/>
    </row>
    <row r="27" spans="1:6" s="1" customFormat="1" ht="15.75">
      <c r="A27" s="288" t="s">
        <v>491</v>
      </c>
      <c r="B27" s="7" t="s">
        <v>141</v>
      </c>
      <c r="C27" s="385"/>
      <c r="E27" s="390">
        <f>C28+C29</f>
        <v>6346850</v>
      </c>
      <c r="F27" s="1" t="s">
        <v>463</v>
      </c>
    </row>
    <row r="28" spans="1:5" s="1" customFormat="1" ht="31.5">
      <c r="A28" s="288" t="s">
        <v>492</v>
      </c>
      <c r="B28" s="105" t="s">
        <v>164</v>
      </c>
      <c r="C28" s="385">
        <f>'2.mell - bevétel'!H119</f>
        <v>346850</v>
      </c>
      <c r="D28" s="1" t="s">
        <v>6</v>
      </c>
      <c r="E28" s="390"/>
    </row>
    <row r="29" spans="1:5" s="1" customFormat="1" ht="15.75">
      <c r="A29" s="288" t="s">
        <v>493</v>
      </c>
      <c r="B29" s="44" t="s">
        <v>165</v>
      </c>
      <c r="C29" s="385">
        <f>'2.mell - bevétel'!H120</f>
        <v>6000000</v>
      </c>
      <c r="D29" s="1" t="s">
        <v>6</v>
      </c>
      <c r="E29" s="390"/>
    </row>
    <row r="30" spans="1:5" s="1" customFormat="1" ht="15.75">
      <c r="A30" s="288"/>
      <c r="B30" s="53"/>
      <c r="E30" s="104"/>
    </row>
    <row r="31" spans="1:6" s="1" customFormat="1" ht="15.75">
      <c r="A31" s="288" t="s">
        <v>25</v>
      </c>
      <c r="B31" s="7" t="s">
        <v>44</v>
      </c>
      <c r="E31" s="106">
        <f>SUM(E11:E30)</f>
        <v>57654264</v>
      </c>
      <c r="F31" s="1" t="s">
        <v>463</v>
      </c>
    </row>
    <row r="32" spans="1:5" s="1" customFormat="1" ht="15.75">
      <c r="A32" s="288"/>
      <c r="B32" s="44"/>
      <c r="E32" s="104"/>
    </row>
    <row r="33" spans="1:5" s="1" customFormat="1" ht="18.75">
      <c r="A33" s="288" t="s">
        <v>43</v>
      </c>
      <c r="B33" s="103" t="s">
        <v>166</v>
      </c>
      <c r="E33" s="104"/>
    </row>
    <row r="34" spans="1:6" s="1" customFormat="1" ht="15.75">
      <c r="A34" s="288" t="s">
        <v>494</v>
      </c>
      <c r="B34" s="9" t="s">
        <v>16</v>
      </c>
      <c r="C34" s="385"/>
      <c r="E34" s="390">
        <f>C36+C37+C38+C39+C40+C41</f>
        <v>80364561</v>
      </c>
      <c r="F34" s="1" t="s">
        <v>463</v>
      </c>
    </row>
    <row r="35" spans="1:5" s="1" customFormat="1" ht="15.75">
      <c r="A35" s="288"/>
      <c r="B35" s="8" t="s">
        <v>15</v>
      </c>
      <c r="C35" s="385"/>
      <c r="E35" s="390"/>
    </row>
    <row r="36" spans="1:5" s="1" customFormat="1" ht="15.75">
      <c r="A36" s="288" t="s">
        <v>495</v>
      </c>
      <c r="B36" s="44" t="s">
        <v>167</v>
      </c>
      <c r="C36" s="385">
        <f>'4.mell. - kiadás'!E45</f>
        <v>24364383</v>
      </c>
      <c r="D36" s="1" t="s">
        <v>463</v>
      </c>
      <c r="E36" s="390"/>
    </row>
    <row r="37" spans="1:5" s="1" customFormat="1" ht="15.75">
      <c r="A37" s="288" t="s">
        <v>496</v>
      </c>
      <c r="B37" s="44" t="s">
        <v>168</v>
      </c>
      <c r="C37" s="385">
        <f>'4.mell. - kiadás'!F45</f>
        <v>4665235</v>
      </c>
      <c r="D37" s="1" t="s">
        <v>463</v>
      </c>
      <c r="E37" s="390"/>
    </row>
    <row r="38" spans="1:5" s="1" customFormat="1" ht="15.75">
      <c r="A38" s="288" t="s">
        <v>497</v>
      </c>
      <c r="B38" s="44" t="s">
        <v>169</v>
      </c>
      <c r="C38" s="385">
        <f>'4.mell. - kiadás'!G45</f>
        <v>24832458</v>
      </c>
      <c r="D38" s="1" t="s">
        <v>463</v>
      </c>
      <c r="E38" s="390"/>
    </row>
    <row r="39" spans="1:5" s="1" customFormat="1" ht="15.75">
      <c r="A39" s="288" t="s">
        <v>498</v>
      </c>
      <c r="B39" s="107" t="s">
        <v>170</v>
      </c>
      <c r="C39" s="385">
        <f>'4.mell. - kiadás'!H45</f>
        <v>3061400</v>
      </c>
      <c r="D39" s="1" t="s">
        <v>463</v>
      </c>
      <c r="E39" s="390"/>
    </row>
    <row r="40" spans="1:5" s="1" customFormat="1" ht="15.75">
      <c r="A40" s="288" t="s">
        <v>505</v>
      </c>
      <c r="B40" s="44" t="s">
        <v>76</v>
      </c>
      <c r="C40" s="385">
        <f>'4.mell. - kiadás'!I45-C41</f>
        <v>2740000</v>
      </c>
      <c r="D40" s="1" t="s">
        <v>463</v>
      </c>
      <c r="E40" s="390"/>
    </row>
    <row r="41" spans="1:5" s="1" customFormat="1" ht="15.75">
      <c r="A41" s="288" t="s">
        <v>516</v>
      </c>
      <c r="B41" s="44" t="s">
        <v>515</v>
      </c>
      <c r="C41" s="389">
        <f>6255786+18481786-1200000+76000+89209-110720+330000-35560-418941-149200-50000-2567275</f>
        <v>20701085</v>
      </c>
      <c r="D41" s="1" t="s">
        <v>1</v>
      </c>
      <c r="E41" s="390"/>
    </row>
    <row r="42" spans="1:6" s="1" customFormat="1" ht="15.75">
      <c r="A42" s="288" t="s">
        <v>499</v>
      </c>
      <c r="B42" s="9" t="s">
        <v>17</v>
      </c>
      <c r="C42" s="385"/>
      <c r="E42" s="388">
        <f>C44+C45+C46</f>
        <v>120070143</v>
      </c>
      <c r="F42" s="1" t="s">
        <v>463</v>
      </c>
    </row>
    <row r="43" spans="1:5" s="1" customFormat="1" ht="15.75">
      <c r="A43" s="288"/>
      <c r="B43" s="8" t="s">
        <v>15</v>
      </c>
      <c r="C43" s="385"/>
      <c r="E43" s="390"/>
    </row>
    <row r="44" spans="1:5" s="1" customFormat="1" ht="15.75">
      <c r="A44" s="288" t="s">
        <v>506</v>
      </c>
      <c r="B44" s="44" t="s">
        <v>171</v>
      </c>
      <c r="C44" s="389">
        <f>'4.mell. - kiadás'!K45</f>
        <v>14251934</v>
      </c>
      <c r="D44" s="1" t="s">
        <v>463</v>
      </c>
      <c r="E44" s="390"/>
    </row>
    <row r="45" spans="1:5" s="1" customFormat="1" ht="15.75">
      <c r="A45" s="288" t="s">
        <v>500</v>
      </c>
      <c r="B45" s="44" t="s">
        <v>172</v>
      </c>
      <c r="C45" s="389">
        <f>'4.mell. - kiadás'!L45</f>
        <v>103818209</v>
      </c>
      <c r="D45" s="1" t="s">
        <v>463</v>
      </c>
      <c r="E45" s="390"/>
    </row>
    <row r="46" spans="1:7" ht="15.75">
      <c r="A46" s="288" t="s">
        <v>501</v>
      </c>
      <c r="B46" s="44" t="s">
        <v>77</v>
      </c>
      <c r="C46" s="389">
        <f>'4.mell. - kiadás'!M45</f>
        <v>2000000</v>
      </c>
      <c r="D46" s="1" t="s">
        <v>463</v>
      </c>
      <c r="E46" s="390"/>
      <c r="F46" s="1"/>
      <c r="G46" s="1"/>
    </row>
    <row r="47" s="1" customFormat="1" ht="7.5" customHeight="1">
      <c r="E47" s="390"/>
    </row>
    <row r="48" spans="1:6" s="1" customFormat="1" ht="15.75">
      <c r="A48" s="288" t="s">
        <v>99</v>
      </c>
      <c r="B48" s="14" t="s">
        <v>173</v>
      </c>
      <c r="C48" s="389"/>
      <c r="E48" s="390">
        <f>C49+C50+C51</f>
        <v>1240566</v>
      </c>
      <c r="F48" s="1" t="s">
        <v>463</v>
      </c>
    </row>
    <row r="49" spans="1:5" s="1" customFormat="1" ht="15.75">
      <c r="A49" s="288" t="s">
        <v>502</v>
      </c>
      <c r="B49" s="44" t="s">
        <v>174</v>
      </c>
      <c r="C49" s="385"/>
      <c r="D49" s="1" t="s">
        <v>463</v>
      </c>
      <c r="E49" s="390"/>
    </row>
    <row r="50" spans="1:7" s="6" customFormat="1" ht="18.75">
      <c r="A50" s="290" t="s">
        <v>503</v>
      </c>
      <c r="B50" s="44" t="s">
        <v>175</v>
      </c>
      <c r="C50" s="385"/>
      <c r="D50" s="1" t="s">
        <v>463</v>
      </c>
      <c r="E50" s="390"/>
      <c r="F50" s="1"/>
      <c r="G50" s="4"/>
    </row>
    <row r="51" spans="1:7" ht="15.75">
      <c r="A51" s="288" t="s">
        <v>504</v>
      </c>
      <c r="B51" s="44" t="s">
        <v>453</v>
      </c>
      <c r="C51" s="389">
        <f>'4.mell. - kiadás'!O17</f>
        <v>1240566</v>
      </c>
      <c r="D51" s="1" t="s">
        <v>463</v>
      </c>
      <c r="E51" s="390"/>
      <c r="F51" s="1"/>
      <c r="G51" s="1"/>
    </row>
    <row r="52" spans="1:7" ht="15.75">
      <c r="A52" s="288" t="s">
        <v>100</v>
      </c>
      <c r="B52" s="7" t="s">
        <v>46</v>
      </c>
      <c r="C52" s="389"/>
      <c r="D52" s="1"/>
      <c r="E52" s="386">
        <f>SUM(E34:E51)</f>
        <v>201675270</v>
      </c>
      <c r="F52" s="4" t="s">
        <v>463</v>
      </c>
      <c r="G52" s="1"/>
    </row>
    <row r="53" spans="1:7" ht="15.75">
      <c r="A53" s="288"/>
      <c r="B53" s="44"/>
      <c r="C53" s="385"/>
      <c r="D53" s="1"/>
      <c r="E53" s="388"/>
      <c r="F53" s="1"/>
      <c r="G53" s="1"/>
    </row>
    <row r="54" spans="1:7" ht="18.75">
      <c r="A54" s="288" t="s">
        <v>106</v>
      </c>
      <c r="B54" s="7" t="s">
        <v>47</v>
      </c>
      <c r="C54" s="385"/>
      <c r="D54" s="1"/>
      <c r="E54" s="386">
        <f>E31-E52</f>
        <v>-144021006</v>
      </c>
      <c r="F54" s="4" t="s">
        <v>463</v>
      </c>
      <c r="G54" s="6"/>
    </row>
    <row r="55" spans="1:5" ht="15.75">
      <c r="A55" s="288"/>
      <c r="B55" s="44"/>
      <c r="C55" s="385"/>
      <c r="D55" s="1"/>
      <c r="E55" s="386"/>
    </row>
    <row r="56" spans="1:6" ht="32.25">
      <c r="A56" s="288" t="s">
        <v>240</v>
      </c>
      <c r="B56" s="98" t="s">
        <v>591</v>
      </c>
      <c r="C56" s="387"/>
      <c r="D56" s="6"/>
      <c r="E56" s="386">
        <f>'2.mell - bevétel'!H127</f>
        <v>4976007</v>
      </c>
      <c r="F56" s="4" t="s">
        <v>463</v>
      </c>
    </row>
    <row r="57" spans="1:7" s="1" customFormat="1" ht="15.75">
      <c r="A57" s="288" t="s">
        <v>242</v>
      </c>
      <c r="B57" s="16" t="s">
        <v>588</v>
      </c>
      <c r="C57" s="382"/>
      <c r="D57" s="4"/>
      <c r="E57" s="386">
        <f>'4.mell. - kiadás'!O17</f>
        <v>1240566</v>
      </c>
      <c r="F57" s="4"/>
      <c r="G57" s="4"/>
    </row>
    <row r="58" spans="1:7" s="1" customFormat="1" ht="21.75" customHeight="1">
      <c r="A58" s="288" t="s">
        <v>244</v>
      </c>
      <c r="B58" s="16" t="s">
        <v>607</v>
      </c>
      <c r="C58" s="382"/>
      <c r="D58" s="4"/>
      <c r="E58" s="386">
        <f>109982+3000+18481786+933577</f>
        <v>19528345</v>
      </c>
      <c r="F58" s="4" t="s">
        <v>1</v>
      </c>
      <c r="G58" s="4"/>
    </row>
    <row r="59" spans="1:6" ht="15.75">
      <c r="A59" s="291" t="s">
        <v>250</v>
      </c>
      <c r="B59" s="7" t="s">
        <v>508</v>
      </c>
      <c r="E59" s="386">
        <f>E54+E56+E57+E58</f>
        <v>-118276088</v>
      </c>
      <c r="F59" s="4" t="s">
        <v>463</v>
      </c>
    </row>
    <row r="60" spans="2:5" s="1" customFormat="1" ht="10.5" customHeight="1">
      <c r="B60" s="5"/>
      <c r="C60" s="385"/>
      <c r="E60" s="384"/>
    </row>
    <row r="61" spans="2:6" ht="15.75">
      <c r="B61" s="5"/>
      <c r="C61" s="385"/>
      <c r="D61" s="1"/>
      <c r="E61" s="384"/>
      <c r="F61" s="7"/>
    </row>
    <row r="62" spans="2:6" ht="15.75">
      <c r="B62" s="7"/>
      <c r="E62" s="383"/>
      <c r="F62" s="7"/>
    </row>
  </sheetData>
  <sheetProtection/>
  <mergeCells count="6">
    <mergeCell ref="A1:F1"/>
    <mergeCell ref="B8:F8"/>
    <mergeCell ref="B6:F6"/>
    <mergeCell ref="B5:F5"/>
    <mergeCell ref="B7:F7"/>
    <mergeCell ref="A3:F3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K167"/>
  <sheetViews>
    <sheetView zoomScalePageLayoutView="0" workbookViewId="0" topLeftCell="A1">
      <selection activeCell="A3" sqref="A3:I3"/>
    </sheetView>
  </sheetViews>
  <sheetFormatPr defaultColWidth="9.00390625" defaultRowHeight="12.75"/>
  <cols>
    <col min="1" max="1" width="4.25390625" style="52" customWidth="1"/>
    <col min="2" max="5" width="3.125" style="50" customWidth="1"/>
    <col min="6" max="6" width="54.25390625" style="8" customWidth="1"/>
    <col min="7" max="7" width="13.25390625" style="8" customWidth="1"/>
    <col min="8" max="8" width="12.625" style="8" customWidth="1"/>
    <col min="9" max="9" width="9.375" style="8" customWidth="1"/>
    <col min="10" max="10" width="9.125" style="8" customWidth="1"/>
    <col min="11" max="11" width="10.125" style="8" bestFit="1" customWidth="1"/>
    <col min="12" max="16384" width="9.125" style="8" customWidth="1"/>
  </cols>
  <sheetData>
    <row r="3" spans="1:9" ht="15.75">
      <c r="A3" s="508" t="s">
        <v>662</v>
      </c>
      <c r="B3" s="509"/>
      <c r="C3" s="509"/>
      <c r="D3" s="509"/>
      <c r="E3" s="509"/>
      <c r="F3" s="509"/>
      <c r="G3" s="515"/>
      <c r="H3" s="515"/>
      <c r="I3" s="515"/>
    </row>
    <row r="4" spans="1:9" ht="15.75">
      <c r="A4" s="513"/>
      <c r="B4" s="513"/>
      <c r="C4" s="513"/>
      <c r="D4" s="513"/>
      <c r="E4" s="513"/>
      <c r="F4" s="513"/>
      <c r="G4" s="513"/>
      <c r="H4" s="513"/>
      <c r="I4" s="513"/>
    </row>
    <row r="5" spans="1:9" s="9" customFormat="1" ht="15.75">
      <c r="A5" s="537" t="s">
        <v>4</v>
      </c>
      <c r="B5" s="537"/>
      <c r="C5" s="537"/>
      <c r="D5" s="537"/>
      <c r="E5" s="537"/>
      <c r="F5" s="537"/>
      <c r="G5" s="537"/>
      <c r="H5" s="537"/>
      <c r="I5" s="537"/>
    </row>
    <row r="6" spans="1:9" s="9" customFormat="1" ht="15.75">
      <c r="A6" s="537" t="s">
        <v>36</v>
      </c>
      <c r="B6" s="537"/>
      <c r="C6" s="537"/>
      <c r="D6" s="537"/>
      <c r="E6" s="537"/>
      <c r="F6" s="537"/>
      <c r="G6" s="537"/>
      <c r="H6" s="537"/>
      <c r="I6" s="537"/>
    </row>
    <row r="7" spans="1:9" ht="15.75">
      <c r="A7" s="537" t="s">
        <v>579</v>
      </c>
      <c r="B7" s="537"/>
      <c r="C7" s="537"/>
      <c r="D7" s="537"/>
      <c r="E7" s="537"/>
      <c r="F7" s="537"/>
      <c r="G7" s="537"/>
      <c r="H7" s="537"/>
      <c r="I7" s="537"/>
    </row>
    <row r="8" ht="15.75" hidden="1"/>
    <row r="9" spans="1:9" ht="15.75">
      <c r="A9" s="527"/>
      <c r="B9" s="527"/>
      <c r="C9" s="527"/>
      <c r="D9" s="527"/>
      <c r="E9" s="527"/>
      <c r="F9" s="527"/>
      <c r="G9" s="527"/>
      <c r="H9" s="527"/>
      <c r="I9" s="527"/>
    </row>
    <row r="10" spans="8:9" ht="16.5" thickBot="1">
      <c r="H10" s="54"/>
      <c r="I10" s="55" t="s">
        <v>460</v>
      </c>
    </row>
    <row r="11" spans="1:9" ht="15.75">
      <c r="A11" s="528" t="s">
        <v>20</v>
      </c>
      <c r="B11" s="529"/>
      <c r="C11" s="529"/>
      <c r="D11" s="529"/>
      <c r="E11" s="529"/>
      <c r="F11" s="530"/>
      <c r="G11" s="56" t="s">
        <v>18</v>
      </c>
      <c r="H11" s="56" t="s">
        <v>18</v>
      </c>
      <c r="I11" s="56" t="s">
        <v>19</v>
      </c>
    </row>
    <row r="12" spans="1:9" ht="15.75">
      <c r="A12" s="531"/>
      <c r="B12" s="532"/>
      <c r="C12" s="532"/>
      <c r="D12" s="532"/>
      <c r="E12" s="532"/>
      <c r="F12" s="533"/>
      <c r="G12" s="57" t="s">
        <v>9</v>
      </c>
      <c r="H12" s="57" t="s">
        <v>9</v>
      </c>
      <c r="I12" s="57"/>
    </row>
    <row r="13" spans="1:9" ht="16.5" thickBot="1">
      <c r="A13" s="534"/>
      <c r="B13" s="535"/>
      <c r="C13" s="535"/>
      <c r="D13" s="535"/>
      <c r="E13" s="535"/>
      <c r="F13" s="536"/>
      <c r="G13" s="58" t="s">
        <v>519</v>
      </c>
      <c r="H13" s="58" t="s">
        <v>579</v>
      </c>
      <c r="I13" s="58" t="s">
        <v>21</v>
      </c>
    </row>
    <row r="14" spans="1:9" ht="6.75" customHeight="1">
      <c r="A14" s="250"/>
      <c r="B14" s="250"/>
      <c r="C14" s="250"/>
      <c r="D14" s="250"/>
      <c r="E14" s="250"/>
      <c r="F14" s="250"/>
      <c r="G14" s="250"/>
      <c r="H14" s="250"/>
      <c r="I14" s="250"/>
    </row>
    <row r="15" spans="1:9" ht="15.75">
      <c r="A15" s="14" t="s">
        <v>48</v>
      </c>
      <c r="B15" s="518" t="s">
        <v>81</v>
      </c>
      <c r="C15" s="518"/>
      <c r="D15" s="518"/>
      <c r="E15" s="518"/>
      <c r="F15" s="518"/>
      <c r="G15" s="91"/>
      <c r="H15" s="404"/>
      <c r="I15" s="91"/>
    </row>
    <row r="16" spans="1:9" ht="15.75">
      <c r="A16" s="14"/>
      <c r="B16" s="14" t="s">
        <v>48</v>
      </c>
      <c r="C16" s="14" t="s">
        <v>82</v>
      </c>
      <c r="D16" s="14"/>
      <c r="E16" s="14"/>
      <c r="F16" s="14"/>
      <c r="G16" s="405"/>
      <c r="H16" s="405"/>
      <c r="I16" s="14"/>
    </row>
    <row r="17" spans="1:9" ht="18" customHeight="1">
      <c r="A17" s="14"/>
      <c r="B17" s="14"/>
      <c r="C17" s="14" t="s">
        <v>42</v>
      </c>
      <c r="D17" s="518" t="s">
        <v>83</v>
      </c>
      <c r="E17" s="518"/>
      <c r="F17" s="518"/>
      <c r="G17" s="404"/>
      <c r="H17" s="404"/>
      <c r="I17" s="91"/>
    </row>
    <row r="18" spans="1:9" ht="21.75" customHeight="1">
      <c r="A18" s="14"/>
      <c r="B18" s="14"/>
      <c r="C18" s="14"/>
      <c r="D18" s="14" t="s">
        <v>42</v>
      </c>
      <c r="E18" s="518" t="s">
        <v>84</v>
      </c>
      <c r="F18" s="518"/>
      <c r="G18" s="404"/>
      <c r="H18" s="404"/>
      <c r="I18" s="91"/>
    </row>
    <row r="19" spans="1:9" ht="15.75">
      <c r="A19" s="16"/>
      <c r="B19" s="16"/>
      <c r="C19" s="16"/>
      <c r="D19" s="16"/>
      <c r="E19" s="16" t="s">
        <v>55</v>
      </c>
      <c r="F19" s="16" t="s">
        <v>49</v>
      </c>
      <c r="G19" s="403"/>
      <c r="H19" s="403"/>
      <c r="I19" s="92"/>
    </row>
    <row r="20" spans="1:9" ht="17.25" customHeight="1">
      <c r="A20" s="16"/>
      <c r="B20" s="16"/>
      <c r="C20" s="16"/>
      <c r="D20" s="16"/>
      <c r="E20" s="16"/>
      <c r="F20" s="16" t="s">
        <v>85</v>
      </c>
      <c r="G20" s="403"/>
      <c r="I20" s="92"/>
    </row>
    <row r="21" spans="1:9" ht="17.25" customHeight="1">
      <c r="A21" s="16"/>
      <c r="B21" s="16"/>
      <c r="C21" s="16"/>
      <c r="D21" s="16"/>
      <c r="E21" s="16" t="s">
        <v>56</v>
      </c>
      <c r="F21" s="93" t="s">
        <v>50</v>
      </c>
      <c r="G21" s="402"/>
      <c r="I21" s="92"/>
    </row>
    <row r="22" spans="1:9" ht="36.75" customHeight="1">
      <c r="A22" s="16"/>
      <c r="B22" s="16"/>
      <c r="C22" s="16"/>
      <c r="D22" s="16"/>
      <c r="E22" s="16" t="s">
        <v>86</v>
      </c>
      <c r="F22" s="93" t="s">
        <v>87</v>
      </c>
      <c r="G22" s="264">
        <f>2553350</f>
        <v>2553350</v>
      </c>
      <c r="H22" s="264">
        <v>2553350</v>
      </c>
      <c r="I22" s="92">
        <f>H22/G22*100</f>
        <v>100</v>
      </c>
    </row>
    <row r="23" spans="1:9" ht="15.75">
      <c r="A23" s="16"/>
      <c r="B23" s="16"/>
      <c r="C23" s="16"/>
      <c r="D23" s="16"/>
      <c r="E23" s="16"/>
      <c r="F23" s="16" t="s">
        <v>85</v>
      </c>
      <c r="G23" s="264"/>
      <c r="H23" s="264"/>
      <c r="I23" s="92"/>
    </row>
    <row r="24" spans="1:9" ht="15.75">
      <c r="A24" s="16"/>
      <c r="B24" s="16"/>
      <c r="C24" s="16"/>
      <c r="D24" s="16"/>
      <c r="E24" s="16" t="s">
        <v>88</v>
      </c>
      <c r="F24" s="93" t="s">
        <v>89</v>
      </c>
      <c r="G24" s="264">
        <v>3040000</v>
      </c>
      <c r="H24" s="264">
        <v>3072000</v>
      </c>
      <c r="I24" s="92">
        <f>H24/G24*100</f>
        <v>101.05263157894737</v>
      </c>
    </row>
    <row r="25" spans="1:9" ht="15.75">
      <c r="A25" s="16"/>
      <c r="B25" s="16"/>
      <c r="C25" s="16"/>
      <c r="D25" s="16"/>
      <c r="E25" s="16"/>
      <c r="F25" s="16" t="s">
        <v>85</v>
      </c>
      <c r="G25" s="264"/>
      <c r="H25" s="264"/>
      <c r="I25" s="92"/>
    </row>
    <row r="26" spans="1:9" ht="17.25" customHeight="1">
      <c r="A26" s="16"/>
      <c r="B26" s="16"/>
      <c r="C26" s="16"/>
      <c r="D26" s="16"/>
      <c r="E26" s="16" t="s">
        <v>90</v>
      </c>
      <c r="F26" s="93" t="s">
        <v>91</v>
      </c>
      <c r="G26" s="264">
        <v>100000</v>
      </c>
      <c r="H26" s="264">
        <v>100000</v>
      </c>
      <c r="I26" s="92">
        <f>H26/G26*100</f>
        <v>100</v>
      </c>
    </row>
    <row r="27" spans="1:9" ht="15.75">
      <c r="A27" s="16"/>
      <c r="B27" s="16"/>
      <c r="C27" s="16"/>
      <c r="D27" s="16"/>
      <c r="E27" s="16"/>
      <c r="F27" s="16" t="s">
        <v>85</v>
      </c>
      <c r="G27" s="264"/>
      <c r="H27" s="264"/>
      <c r="I27" s="92"/>
    </row>
    <row r="28" spans="1:9" ht="15.75">
      <c r="A28" s="16"/>
      <c r="B28" s="16"/>
      <c r="C28" s="16"/>
      <c r="D28" s="16"/>
      <c r="E28" s="16" t="s">
        <v>92</v>
      </c>
      <c r="F28" s="93" t="s">
        <v>93</v>
      </c>
      <c r="G28" s="264">
        <v>7506890</v>
      </c>
      <c r="H28" s="264">
        <v>7506890</v>
      </c>
      <c r="I28" s="92">
        <f>H28/G28*100</f>
        <v>100</v>
      </c>
    </row>
    <row r="29" spans="1:9" s="45" customFormat="1" ht="15.75">
      <c r="A29" s="16"/>
      <c r="B29" s="16"/>
      <c r="C29" s="16"/>
      <c r="D29" s="16"/>
      <c r="E29" s="16"/>
      <c r="F29" s="16" t="s">
        <v>85</v>
      </c>
      <c r="G29" s="265"/>
      <c r="H29" s="265"/>
      <c r="I29" s="92"/>
    </row>
    <row r="30" spans="1:9" ht="15.75">
      <c r="A30" s="16"/>
      <c r="B30" s="16"/>
      <c r="C30" s="16"/>
      <c r="D30" s="16" t="s">
        <v>57</v>
      </c>
      <c r="E30" s="16" t="s">
        <v>94</v>
      </c>
      <c r="F30" s="16"/>
      <c r="G30" s="264">
        <v>5000000</v>
      </c>
      <c r="H30" s="264">
        <v>5000000</v>
      </c>
      <c r="I30" s="92">
        <f>H30/G30*100</f>
        <v>100</v>
      </c>
    </row>
    <row r="31" spans="1:9" ht="15.75">
      <c r="A31" s="16"/>
      <c r="B31" s="16"/>
      <c r="C31" s="16"/>
      <c r="D31" s="16"/>
      <c r="E31" s="16"/>
      <c r="F31" s="16" t="s">
        <v>85</v>
      </c>
      <c r="G31" s="264"/>
      <c r="H31" s="264"/>
      <c r="I31" s="92"/>
    </row>
    <row r="32" spans="1:9" ht="15.75">
      <c r="A32" s="16"/>
      <c r="B32" s="16"/>
      <c r="C32" s="16"/>
      <c r="D32" s="16"/>
      <c r="E32" s="16" t="s">
        <v>462</v>
      </c>
      <c r="F32" s="16"/>
      <c r="G32" s="264">
        <v>3664298</v>
      </c>
      <c r="H32" s="264"/>
      <c r="I32" s="92"/>
    </row>
    <row r="33" spans="1:9" ht="15.75">
      <c r="A33" s="16"/>
      <c r="B33" s="16"/>
      <c r="C33" s="16"/>
      <c r="D33" s="16" t="s">
        <v>58</v>
      </c>
      <c r="E33" s="16" t="s">
        <v>149</v>
      </c>
      <c r="F33" s="16"/>
      <c r="G33" s="264">
        <v>17850</v>
      </c>
      <c r="H33" s="264">
        <v>17850</v>
      </c>
      <c r="I33" s="92">
        <f>H33/G33*100</f>
        <v>100</v>
      </c>
    </row>
    <row r="34" spans="1:9" ht="15.75">
      <c r="A34" s="16"/>
      <c r="B34" s="16"/>
      <c r="C34" s="16"/>
      <c r="D34" s="16" t="s">
        <v>150</v>
      </c>
      <c r="E34" s="16" t="s">
        <v>107</v>
      </c>
      <c r="F34" s="16"/>
      <c r="G34" s="264">
        <v>103400</v>
      </c>
      <c r="H34" s="264">
        <v>423800</v>
      </c>
      <c r="I34" s="92">
        <f>H34/G34*100</f>
        <v>409.8646034816247</v>
      </c>
    </row>
    <row r="35" spans="1:9" ht="15.75">
      <c r="A35" s="16"/>
      <c r="B35" s="16"/>
      <c r="C35" s="16" t="s">
        <v>25</v>
      </c>
      <c r="D35" s="520" t="s">
        <v>95</v>
      </c>
      <c r="E35" s="520"/>
      <c r="F35" s="520"/>
      <c r="G35" s="264">
        <v>3000</v>
      </c>
      <c r="H35" s="264">
        <v>3000</v>
      </c>
      <c r="I35" s="92">
        <f>H35/G35*100</f>
        <v>100</v>
      </c>
    </row>
    <row r="36" spans="1:9" ht="15.75">
      <c r="A36" s="16"/>
      <c r="B36" s="16"/>
      <c r="C36" s="16" t="s">
        <v>100</v>
      </c>
      <c r="D36" s="16" t="s">
        <v>461</v>
      </c>
      <c r="E36" s="16"/>
      <c r="F36" s="16"/>
      <c r="G36" s="264"/>
      <c r="H36" s="264"/>
      <c r="I36" s="92"/>
    </row>
    <row r="37" spans="1:9" ht="16.5" customHeight="1">
      <c r="A37" s="16"/>
      <c r="B37" s="16"/>
      <c r="C37" s="16" t="s">
        <v>106</v>
      </c>
      <c r="D37" s="16" t="s">
        <v>522</v>
      </c>
      <c r="E37" s="16"/>
      <c r="F37" s="16"/>
      <c r="G37" s="264">
        <v>1170400</v>
      </c>
      <c r="H37" s="264">
        <v>1120500</v>
      </c>
      <c r="I37" s="92">
        <f>H37/G37*100</f>
        <v>95.7365003417635</v>
      </c>
    </row>
    <row r="38" spans="1:9" ht="21" customHeight="1">
      <c r="A38" s="95"/>
      <c r="B38" s="95"/>
      <c r="C38" s="96"/>
      <c r="D38" s="526" t="s">
        <v>96</v>
      </c>
      <c r="E38" s="526"/>
      <c r="F38" s="526"/>
      <c r="G38" s="401">
        <f>SUM(G19:G37)</f>
        <v>23159188</v>
      </c>
      <c r="H38" s="401">
        <f>SUM(H19:H37)</f>
        <v>19797390</v>
      </c>
      <c r="I38" s="92">
        <f>H38/G38*100</f>
        <v>85.48395565509465</v>
      </c>
    </row>
    <row r="39" spans="1:9" ht="33" customHeight="1">
      <c r="A39" s="16"/>
      <c r="B39" s="14" t="s">
        <v>52</v>
      </c>
      <c r="C39" s="14" t="s">
        <v>43</v>
      </c>
      <c r="D39" s="518" t="s">
        <v>97</v>
      </c>
      <c r="E39" s="518"/>
      <c r="F39" s="518"/>
      <c r="G39" s="264"/>
      <c r="H39" s="264"/>
      <c r="I39" s="92"/>
    </row>
    <row r="40" spans="1:9" ht="15.75">
      <c r="A40" s="16"/>
      <c r="B40" s="16"/>
      <c r="C40" s="16"/>
      <c r="D40" s="16" t="s">
        <v>42</v>
      </c>
      <c r="E40" s="16" t="s">
        <v>151</v>
      </c>
      <c r="F40" s="16"/>
      <c r="G40" s="264"/>
      <c r="H40" s="264"/>
      <c r="I40" s="92"/>
    </row>
    <row r="41" spans="1:9" ht="30.75" customHeight="1">
      <c r="A41" s="16"/>
      <c r="B41" s="16"/>
      <c r="C41" s="16"/>
      <c r="D41" s="16" t="s">
        <v>25</v>
      </c>
      <c r="E41" s="520" t="s">
        <v>152</v>
      </c>
      <c r="F41" s="520"/>
      <c r="G41" s="264">
        <v>4111000</v>
      </c>
      <c r="H41" s="264">
        <v>2728000</v>
      </c>
      <c r="I41" s="92">
        <f>H41/G41*100</f>
        <v>66.35855023108734</v>
      </c>
    </row>
    <row r="42" spans="1:9" ht="15.75">
      <c r="A42" s="16"/>
      <c r="B42" s="16"/>
      <c r="C42" s="16"/>
      <c r="D42" s="16" t="s">
        <v>43</v>
      </c>
      <c r="E42" s="16" t="s">
        <v>98</v>
      </c>
      <c r="F42" s="16"/>
      <c r="G42" s="264">
        <v>830400</v>
      </c>
      <c r="H42" s="264">
        <f>719680-110720+130000</f>
        <v>738960</v>
      </c>
      <c r="I42" s="92">
        <f>H42/G42*100</f>
        <v>88.98843930635837</v>
      </c>
    </row>
    <row r="43" spans="1:9" ht="15.75">
      <c r="A43" s="16"/>
      <c r="B43" s="16"/>
      <c r="C43" s="16"/>
      <c r="D43" s="16" t="s">
        <v>100</v>
      </c>
      <c r="E43" s="16" t="s">
        <v>101</v>
      </c>
      <c r="F43" s="16"/>
      <c r="G43" s="264"/>
      <c r="H43" s="264"/>
      <c r="I43" s="92"/>
    </row>
    <row r="44" spans="1:9" ht="31.5">
      <c r="A44" s="16"/>
      <c r="B44" s="16"/>
      <c r="C44" s="16"/>
      <c r="D44" s="16"/>
      <c r="E44" s="16" t="s">
        <v>55</v>
      </c>
      <c r="F44" s="93" t="s">
        <v>523</v>
      </c>
      <c r="G44" s="264">
        <v>1672000</v>
      </c>
      <c r="H44" s="264">
        <f>1900000+76000+200000</f>
        <v>2176000</v>
      </c>
      <c r="I44" s="92">
        <f>H44/G44*100</f>
        <v>130.14354066985646</v>
      </c>
    </row>
    <row r="45" spans="1:9" ht="15.75">
      <c r="A45" s="16"/>
      <c r="B45" s="16"/>
      <c r="C45" s="16"/>
      <c r="D45" s="16"/>
      <c r="E45" s="16" t="s">
        <v>56</v>
      </c>
      <c r="F45" s="16" t="s">
        <v>524</v>
      </c>
      <c r="G45" s="264">
        <v>3869880</v>
      </c>
      <c r="H45" s="264">
        <f>4072068+89209</f>
        <v>4161277</v>
      </c>
      <c r="I45" s="92">
        <f>H45/G45*100</f>
        <v>107.5298717272887</v>
      </c>
    </row>
    <row r="46" spans="1:9" ht="33.75" customHeight="1">
      <c r="A46" s="95"/>
      <c r="B46" s="95"/>
      <c r="C46" s="526" t="s">
        <v>102</v>
      </c>
      <c r="D46" s="526"/>
      <c r="E46" s="526"/>
      <c r="F46" s="526"/>
      <c r="G46" s="400">
        <f>SUM(G40:G45)</f>
        <v>10483280</v>
      </c>
      <c r="H46" s="400">
        <f>SUM(H40:H45)</f>
        <v>9804237</v>
      </c>
      <c r="I46" s="92">
        <f>H46/G46*100</f>
        <v>93.52260933600934</v>
      </c>
    </row>
    <row r="47" spans="1:9" ht="3" customHeight="1">
      <c r="A47" s="95"/>
      <c r="B47" s="95"/>
      <c r="C47" s="248"/>
      <c r="D47" s="248"/>
      <c r="E47" s="248"/>
      <c r="F47" s="248"/>
      <c r="G47" s="400"/>
      <c r="H47" s="264"/>
      <c r="I47" s="92"/>
    </row>
    <row r="48" spans="1:9" ht="14.25" customHeight="1">
      <c r="A48" s="16"/>
      <c r="B48" s="16"/>
      <c r="C48" s="14" t="s">
        <v>99</v>
      </c>
      <c r="D48" s="518" t="s">
        <v>103</v>
      </c>
      <c r="E48" s="518"/>
      <c r="F48" s="518"/>
      <c r="G48" s="399"/>
      <c r="H48" s="264"/>
      <c r="I48" s="92"/>
    </row>
    <row r="49" spans="1:9" ht="15.75">
      <c r="A49" s="16"/>
      <c r="B49" s="16"/>
      <c r="C49" s="16"/>
      <c r="D49" s="16" t="s">
        <v>42</v>
      </c>
      <c r="E49" s="520" t="s">
        <v>53</v>
      </c>
      <c r="F49" s="520"/>
      <c r="G49" s="394"/>
      <c r="H49" s="264"/>
      <c r="I49" s="92"/>
    </row>
    <row r="50" spans="1:9" ht="31.5">
      <c r="A50" s="16"/>
      <c r="B50" s="16"/>
      <c r="C50" s="16"/>
      <c r="D50" s="16"/>
      <c r="E50" s="16" t="s">
        <v>58</v>
      </c>
      <c r="F50" s="93" t="s">
        <v>104</v>
      </c>
      <c r="G50" s="394">
        <v>1800000</v>
      </c>
      <c r="H50" s="264">
        <v>1800000</v>
      </c>
      <c r="I50" s="92">
        <f>H50/G50*100</f>
        <v>100</v>
      </c>
    </row>
    <row r="51" spans="1:9" ht="30" customHeight="1">
      <c r="A51" s="95"/>
      <c r="B51" s="95"/>
      <c r="C51" s="525" t="s">
        <v>105</v>
      </c>
      <c r="D51" s="525"/>
      <c r="E51" s="525"/>
      <c r="F51" s="525"/>
      <c r="G51" s="400">
        <f>SUM(G50:G50)</f>
        <v>1800000</v>
      </c>
      <c r="H51" s="400">
        <f>SUM(H50:H50)</f>
        <v>1800000</v>
      </c>
      <c r="I51" s="92">
        <f>H51/G51*100</f>
        <v>100</v>
      </c>
    </row>
    <row r="52" spans="1:9" ht="17.25" customHeight="1">
      <c r="A52" s="95"/>
      <c r="B52" s="95"/>
      <c r="C52" s="379" t="s">
        <v>100</v>
      </c>
      <c r="D52" s="525" t="s">
        <v>624</v>
      </c>
      <c r="E52" s="517"/>
      <c r="F52" s="517"/>
      <c r="G52" s="400"/>
      <c r="H52" s="400"/>
      <c r="I52" s="92"/>
    </row>
    <row r="53" spans="1:9" ht="15.75" customHeight="1">
      <c r="A53" s="95"/>
      <c r="B53" s="95"/>
      <c r="C53" s="379"/>
      <c r="D53" s="379"/>
      <c r="E53" s="98" t="s">
        <v>623</v>
      </c>
      <c r="F53" s="98" t="s">
        <v>622</v>
      </c>
      <c r="G53" s="400"/>
      <c r="H53" s="393">
        <v>582930</v>
      </c>
      <c r="I53" s="92"/>
    </row>
    <row r="54" spans="1:9" ht="16.5" customHeight="1">
      <c r="A54" s="95"/>
      <c r="B54" s="95"/>
      <c r="C54" s="525" t="s">
        <v>621</v>
      </c>
      <c r="D54" s="517"/>
      <c r="E54" s="517"/>
      <c r="F54" s="517"/>
      <c r="G54" s="400"/>
      <c r="H54" s="400">
        <f>H53</f>
        <v>582930</v>
      </c>
      <c r="I54" s="92"/>
    </row>
    <row r="55" spans="1:9" ht="16.5" customHeight="1">
      <c r="A55" s="95"/>
      <c r="B55" s="95"/>
      <c r="C55" s="379"/>
      <c r="D55" s="379"/>
      <c r="E55" s="379"/>
      <c r="F55" s="379"/>
      <c r="G55" s="400"/>
      <c r="H55" s="400"/>
      <c r="I55" s="92"/>
    </row>
    <row r="56" spans="1:9" ht="15.75">
      <c r="A56" s="97"/>
      <c r="B56" s="518" t="s">
        <v>108</v>
      </c>
      <c r="C56" s="518"/>
      <c r="D56" s="518"/>
      <c r="E56" s="518"/>
      <c r="F56" s="518"/>
      <c r="G56" s="398">
        <f>G38+G46+G51</f>
        <v>35442468</v>
      </c>
      <c r="H56" s="398">
        <f>H38+H46+H51+H54</f>
        <v>31984557</v>
      </c>
      <c r="I56" s="488">
        <f>H56/G56*100</f>
        <v>90.24359421020004</v>
      </c>
    </row>
    <row r="57" spans="1:9" ht="12" customHeight="1">
      <c r="A57" s="16"/>
      <c r="B57" s="16"/>
      <c r="C57" s="16"/>
      <c r="D57" s="16"/>
      <c r="E57" s="16"/>
      <c r="F57" s="16"/>
      <c r="G57" s="393"/>
      <c r="H57" s="264"/>
      <c r="I57" s="92"/>
    </row>
    <row r="58" spans="1:9" ht="15.75">
      <c r="A58" s="97"/>
      <c r="B58" s="14" t="s">
        <v>51</v>
      </c>
      <c r="C58" s="518" t="s">
        <v>109</v>
      </c>
      <c r="D58" s="518"/>
      <c r="E58" s="518"/>
      <c r="F58" s="518"/>
      <c r="G58" s="399"/>
      <c r="H58" s="264"/>
      <c r="I58" s="92"/>
    </row>
    <row r="59" spans="1:9" ht="30" customHeight="1">
      <c r="A59" s="16"/>
      <c r="B59" s="16"/>
      <c r="C59" s="16" t="s">
        <v>42</v>
      </c>
      <c r="D59" s="524" t="s">
        <v>599</v>
      </c>
      <c r="E59" s="524"/>
      <c r="F59" s="524"/>
      <c r="G59" s="393">
        <v>46400</v>
      </c>
      <c r="H59" s="264">
        <v>46400</v>
      </c>
      <c r="I59" s="92">
        <f>H59/G59*100</f>
        <v>100</v>
      </c>
    </row>
    <row r="60" spans="1:9" ht="21" customHeight="1">
      <c r="A60" s="16"/>
      <c r="B60" s="16"/>
      <c r="C60" s="16" t="s">
        <v>25</v>
      </c>
      <c r="D60" s="16" t="s">
        <v>610</v>
      </c>
      <c r="E60" s="16"/>
      <c r="F60" s="16"/>
      <c r="G60" s="393"/>
      <c r="H60" s="264">
        <f>259101+268437+216550</f>
        <v>744088</v>
      </c>
      <c r="I60" s="92"/>
    </row>
    <row r="61" spans="1:9" ht="21" customHeight="1">
      <c r="A61" s="16"/>
      <c r="B61" s="16"/>
      <c r="C61" s="16" t="s">
        <v>642</v>
      </c>
      <c r="D61" s="16"/>
      <c r="E61" s="16"/>
      <c r="F61" s="16"/>
      <c r="G61" s="393"/>
      <c r="H61" s="264">
        <v>513804</v>
      </c>
      <c r="I61" s="92"/>
    </row>
    <row r="62" spans="1:9" ht="21" customHeight="1">
      <c r="A62" s="16"/>
      <c r="B62" s="16"/>
      <c r="C62" s="16" t="s">
        <v>641</v>
      </c>
      <c r="D62" s="16"/>
      <c r="E62" s="16"/>
      <c r="F62" s="16"/>
      <c r="G62" s="393"/>
      <c r="H62" s="264">
        <v>100000</v>
      </c>
      <c r="I62" s="92"/>
    </row>
    <row r="63" spans="1:9" ht="15.75" customHeight="1">
      <c r="A63" s="97"/>
      <c r="B63" s="518" t="s">
        <v>110</v>
      </c>
      <c r="C63" s="518"/>
      <c r="D63" s="518"/>
      <c r="E63" s="518"/>
      <c r="F63" s="518"/>
      <c r="G63" s="398">
        <f>SUM(G59:G60)</f>
        <v>46400</v>
      </c>
      <c r="H63" s="398">
        <f>SUM(H59:H62)</f>
        <v>1404292</v>
      </c>
      <c r="I63" s="488">
        <f>H63/G63*100</f>
        <v>3026.491379310345</v>
      </c>
    </row>
    <row r="64" spans="1:9" ht="36" customHeight="1">
      <c r="A64" s="518" t="s">
        <v>111</v>
      </c>
      <c r="B64" s="518"/>
      <c r="C64" s="518"/>
      <c r="D64" s="518"/>
      <c r="E64" s="518"/>
      <c r="F64" s="518"/>
      <c r="G64" s="266">
        <f>G63+G56</f>
        <v>35488868</v>
      </c>
      <c r="H64" s="266">
        <f>H63+H56</f>
        <v>33388849</v>
      </c>
      <c r="I64" s="488">
        <f>H64/G64*100</f>
        <v>94.08259795719604</v>
      </c>
    </row>
    <row r="65" spans="1:9" s="59" customFormat="1" ht="32.25" customHeight="1">
      <c r="A65" s="14" t="s">
        <v>51</v>
      </c>
      <c r="B65" s="518" t="s">
        <v>112</v>
      </c>
      <c r="C65" s="518"/>
      <c r="D65" s="518"/>
      <c r="E65" s="518"/>
      <c r="F65" s="518"/>
      <c r="G65" s="266"/>
      <c r="H65" s="399"/>
      <c r="I65" s="92"/>
    </row>
    <row r="66" spans="1:9" ht="20.25" customHeight="1">
      <c r="A66" s="98"/>
      <c r="B66" s="98"/>
      <c r="C66" s="98" t="s">
        <v>42</v>
      </c>
      <c r="D66" s="520" t="s">
        <v>620</v>
      </c>
      <c r="E66" s="523"/>
      <c r="F66" s="523"/>
      <c r="G66" s="489"/>
      <c r="H66" s="489">
        <v>15833638</v>
      </c>
      <c r="I66" s="92"/>
    </row>
    <row r="67" spans="1:9" ht="20.25" customHeight="1">
      <c r="A67" s="98"/>
      <c r="B67" s="98"/>
      <c r="C67" s="98" t="s">
        <v>589</v>
      </c>
      <c r="D67" s="520" t="s">
        <v>640</v>
      </c>
      <c r="E67" s="517"/>
      <c r="F67" s="517"/>
      <c r="G67" s="489"/>
      <c r="H67" s="489">
        <v>14547890</v>
      </c>
      <c r="I67" s="92"/>
    </row>
    <row r="68" spans="1:9" ht="20.25" customHeight="1">
      <c r="A68" s="98"/>
      <c r="B68" s="98"/>
      <c r="C68" s="98" t="s">
        <v>609</v>
      </c>
      <c r="D68" s="520" t="s">
        <v>619</v>
      </c>
      <c r="E68" s="517"/>
      <c r="F68" s="517"/>
      <c r="G68" s="489"/>
      <c r="H68" s="489">
        <v>2918584</v>
      </c>
      <c r="I68" s="92"/>
    </row>
    <row r="69" spans="1:9" ht="20.25" customHeight="1">
      <c r="A69" s="98"/>
      <c r="B69" s="98"/>
      <c r="C69" s="98" t="s">
        <v>99</v>
      </c>
      <c r="D69" s="520" t="s">
        <v>639</v>
      </c>
      <c r="E69" s="517"/>
      <c r="F69" s="517"/>
      <c r="G69" s="489"/>
      <c r="H69" s="489">
        <v>4988001</v>
      </c>
      <c r="I69" s="92"/>
    </row>
    <row r="70" spans="1:9" ht="20.25" customHeight="1">
      <c r="A70" s="98"/>
      <c r="B70" s="98"/>
      <c r="C70" s="98" t="s">
        <v>100</v>
      </c>
      <c r="D70" s="520" t="s">
        <v>638</v>
      </c>
      <c r="E70" s="517"/>
      <c r="F70" s="517"/>
      <c r="G70" s="489"/>
      <c r="H70" s="489">
        <f>77988095+1999880</f>
        <v>79987975</v>
      </c>
      <c r="I70" s="92"/>
    </row>
    <row r="71" spans="1:9" ht="35.25" customHeight="1">
      <c r="A71" s="518" t="s">
        <v>112</v>
      </c>
      <c r="B71" s="518"/>
      <c r="C71" s="518"/>
      <c r="D71" s="518"/>
      <c r="E71" s="518"/>
      <c r="F71" s="517"/>
      <c r="G71" s="489"/>
      <c r="H71" s="398">
        <f>SUM(H66:H70)</f>
        <v>118276088</v>
      </c>
      <c r="I71" s="92"/>
    </row>
    <row r="72" spans="1:9" ht="15.75">
      <c r="A72" s="14" t="s">
        <v>52</v>
      </c>
      <c r="B72" s="14" t="s">
        <v>113</v>
      </c>
      <c r="C72" s="14"/>
      <c r="D72" s="14"/>
      <c r="E72" s="14"/>
      <c r="F72" s="14"/>
      <c r="G72" s="267"/>
      <c r="H72" s="396"/>
      <c r="I72" s="92"/>
    </row>
    <row r="73" spans="1:9" ht="12" customHeight="1">
      <c r="A73" s="16"/>
      <c r="B73" s="16"/>
      <c r="C73" s="16"/>
      <c r="D73" s="16"/>
      <c r="E73" s="16"/>
      <c r="F73" s="16"/>
      <c r="G73" s="393"/>
      <c r="H73" s="393"/>
      <c r="I73" s="92"/>
    </row>
    <row r="74" spans="1:9" ht="15.75">
      <c r="A74" s="16"/>
      <c r="B74" s="16" t="s">
        <v>42</v>
      </c>
      <c r="C74" s="16" t="s">
        <v>114</v>
      </c>
      <c r="D74" s="16"/>
      <c r="E74" s="16"/>
      <c r="F74" s="16"/>
      <c r="G74" s="268"/>
      <c r="H74" s="393"/>
      <c r="I74" s="92"/>
    </row>
    <row r="75" spans="1:9" ht="15.75">
      <c r="A75" s="16"/>
      <c r="B75" s="16"/>
      <c r="C75" s="16" t="s">
        <v>42</v>
      </c>
      <c r="D75" s="16" t="s">
        <v>115</v>
      </c>
      <c r="E75" s="16"/>
      <c r="F75" s="16"/>
      <c r="G75" s="393">
        <v>1500000</v>
      </c>
      <c r="H75" s="264">
        <v>1500000</v>
      </c>
      <c r="I75" s="92">
        <f>H75/G75*100</f>
        <v>100</v>
      </c>
    </row>
    <row r="76" spans="1:9" ht="15.75">
      <c r="A76" s="14"/>
      <c r="B76" s="14" t="s">
        <v>25</v>
      </c>
      <c r="C76" s="14" t="s">
        <v>116</v>
      </c>
      <c r="D76" s="14"/>
      <c r="E76" s="14"/>
      <c r="F76" s="14"/>
      <c r="G76" s="396"/>
      <c r="H76" s="264"/>
      <c r="I76" s="92"/>
    </row>
    <row r="77" spans="1:9" s="9" customFormat="1" ht="15.75">
      <c r="A77" s="16"/>
      <c r="B77" s="16"/>
      <c r="C77" s="16" t="s">
        <v>42</v>
      </c>
      <c r="D77" s="16" t="s">
        <v>117</v>
      </c>
      <c r="E77" s="16"/>
      <c r="F77" s="16"/>
      <c r="G77" s="393">
        <v>3900000</v>
      </c>
      <c r="H77" s="375">
        <v>3900000</v>
      </c>
      <c r="I77" s="92">
        <f>H77/G77*100</f>
        <v>100</v>
      </c>
    </row>
    <row r="78" spans="1:9" ht="15.75">
      <c r="A78" s="14"/>
      <c r="B78" s="14" t="s">
        <v>43</v>
      </c>
      <c r="C78" s="14" t="s">
        <v>118</v>
      </c>
      <c r="D78" s="14"/>
      <c r="E78" s="14"/>
      <c r="F78" s="14"/>
      <c r="G78" s="396"/>
      <c r="H78" s="264"/>
      <c r="I78" s="92"/>
    </row>
    <row r="79" spans="1:9" ht="15.75">
      <c r="A79" s="16"/>
      <c r="B79" s="16"/>
      <c r="C79" s="16" t="s">
        <v>42</v>
      </c>
      <c r="D79" s="16" t="s">
        <v>119</v>
      </c>
      <c r="E79" s="16"/>
      <c r="F79" s="16"/>
      <c r="G79" s="393">
        <v>1913000</v>
      </c>
      <c r="H79" s="264">
        <v>1913000</v>
      </c>
      <c r="I79" s="92">
        <f>H79/G79*100</f>
        <v>100</v>
      </c>
    </row>
    <row r="80" spans="1:9" ht="15.75">
      <c r="A80" s="16"/>
      <c r="B80" s="14" t="s">
        <v>99</v>
      </c>
      <c r="C80" s="14" t="s">
        <v>120</v>
      </c>
      <c r="D80" s="16"/>
      <c r="E80" s="16"/>
      <c r="F80" s="16"/>
      <c r="G80" s="393"/>
      <c r="H80" s="264"/>
      <c r="I80" s="92"/>
    </row>
    <row r="81" spans="1:9" ht="15.75">
      <c r="A81" s="16"/>
      <c r="B81" s="16"/>
      <c r="C81" s="16" t="s">
        <v>42</v>
      </c>
      <c r="D81" s="16" t="s">
        <v>121</v>
      </c>
      <c r="E81" s="16"/>
      <c r="F81" s="16"/>
      <c r="G81" s="393">
        <v>140000</v>
      </c>
      <c r="H81" s="264">
        <v>140000</v>
      </c>
      <c r="I81" s="92">
        <f>H81/G81*100</f>
        <v>100</v>
      </c>
    </row>
    <row r="82" spans="1:9" ht="15.75">
      <c r="A82" s="16"/>
      <c r="B82" s="16"/>
      <c r="C82" s="16"/>
      <c r="D82" s="16"/>
      <c r="E82" s="16"/>
      <c r="F82" s="16"/>
      <c r="G82" s="393"/>
      <c r="H82" s="264"/>
      <c r="I82" s="92"/>
    </row>
    <row r="83" spans="1:9" ht="15.75">
      <c r="A83" s="16"/>
      <c r="B83" s="16"/>
      <c r="C83" s="14" t="s">
        <v>25</v>
      </c>
      <c r="D83" s="16" t="s">
        <v>80</v>
      </c>
      <c r="E83" s="16"/>
      <c r="F83" s="16"/>
      <c r="G83" s="393">
        <v>280000</v>
      </c>
      <c r="H83" s="264">
        <v>280000</v>
      </c>
      <c r="I83" s="92">
        <f>H83/G83*100</f>
        <v>100</v>
      </c>
    </row>
    <row r="84" spans="1:9" ht="15.75">
      <c r="A84" s="14"/>
      <c r="B84" s="14" t="s">
        <v>100</v>
      </c>
      <c r="C84" s="14" t="s">
        <v>122</v>
      </c>
      <c r="D84" s="14"/>
      <c r="E84" s="14"/>
      <c r="F84" s="14"/>
      <c r="G84" s="396"/>
      <c r="H84" s="264"/>
      <c r="I84" s="92"/>
    </row>
    <row r="85" spans="1:9" ht="15.75">
      <c r="A85" s="16"/>
      <c r="B85" s="16"/>
      <c r="C85" s="14" t="s">
        <v>42</v>
      </c>
      <c r="D85" s="16" t="s">
        <v>123</v>
      </c>
      <c r="E85" s="16"/>
      <c r="F85" s="16"/>
      <c r="G85" s="393">
        <v>5000</v>
      </c>
      <c r="H85" s="264">
        <v>5000</v>
      </c>
      <c r="I85" s="92">
        <f>H85/G85*100</f>
        <v>100</v>
      </c>
    </row>
    <row r="86" spans="1:9" ht="15.75" customHeight="1">
      <c r="A86" s="97"/>
      <c r="B86" s="97"/>
      <c r="C86" s="97" t="s">
        <v>43</v>
      </c>
      <c r="D86" s="99" t="s">
        <v>122</v>
      </c>
      <c r="E86" s="97"/>
      <c r="F86" s="97"/>
      <c r="G86" s="395"/>
      <c r="H86" s="264"/>
      <c r="I86" s="92"/>
    </row>
    <row r="87" spans="1:9" ht="15.75">
      <c r="A87" s="16"/>
      <c r="B87" s="16"/>
      <c r="C87" s="14" t="s">
        <v>99</v>
      </c>
      <c r="D87" s="16" t="s">
        <v>124</v>
      </c>
      <c r="E87" s="16"/>
      <c r="F87" s="16"/>
      <c r="G87" s="393">
        <v>75000</v>
      </c>
      <c r="H87" s="264">
        <v>75000</v>
      </c>
      <c r="I87" s="92">
        <f>H87/G87*100</f>
        <v>100</v>
      </c>
    </row>
    <row r="88" spans="1:9" ht="9" customHeight="1">
      <c r="A88" s="97"/>
      <c r="B88" s="97"/>
      <c r="C88" s="97"/>
      <c r="D88" s="97"/>
      <c r="E88" s="97"/>
      <c r="F88" s="97"/>
      <c r="G88" s="395"/>
      <c r="H88" s="264"/>
      <c r="I88" s="92"/>
    </row>
    <row r="89" spans="1:9" s="9" customFormat="1" ht="15.75">
      <c r="A89" s="14" t="s">
        <v>69</v>
      </c>
      <c r="B89" s="97"/>
      <c r="C89" s="97"/>
      <c r="D89" s="97"/>
      <c r="E89" s="97"/>
      <c r="F89" s="97"/>
      <c r="G89" s="398">
        <f>G75+G77+G79+G81+G83+G85+G86+G87</f>
        <v>7813000</v>
      </c>
      <c r="H89" s="398">
        <f>H75+H77+H79+H81+H83+H85+H86+H87</f>
        <v>7813000</v>
      </c>
      <c r="I89" s="488">
        <f>H89/G89*100</f>
        <v>100</v>
      </c>
    </row>
    <row r="90" spans="1:9" ht="12.75" customHeight="1">
      <c r="A90" s="97"/>
      <c r="B90" s="97"/>
      <c r="C90" s="97"/>
      <c r="D90" s="97"/>
      <c r="E90" s="97"/>
      <c r="F90" s="97"/>
      <c r="G90" s="395"/>
      <c r="H90" s="395"/>
      <c r="I90" s="92"/>
    </row>
    <row r="91" spans="1:9" ht="15.75">
      <c r="A91" s="14" t="s">
        <v>125</v>
      </c>
      <c r="B91" s="14" t="s">
        <v>54</v>
      </c>
      <c r="C91" s="14"/>
      <c r="D91" s="14"/>
      <c r="E91" s="14"/>
      <c r="F91" s="14"/>
      <c r="G91" s="267"/>
      <c r="H91" s="396"/>
      <c r="I91" s="92"/>
    </row>
    <row r="92" spans="1:9" ht="15.75">
      <c r="A92" s="97"/>
      <c r="B92" s="97" t="s">
        <v>42</v>
      </c>
      <c r="C92" s="522" t="s">
        <v>126</v>
      </c>
      <c r="D92" s="522"/>
      <c r="E92" s="522"/>
      <c r="F92" s="522"/>
      <c r="G92" s="395"/>
      <c r="H92" s="395"/>
      <c r="I92" s="92"/>
    </row>
    <row r="93" spans="1:9" ht="15.75">
      <c r="A93" s="97"/>
      <c r="B93" s="97"/>
      <c r="C93" s="97" t="s">
        <v>42</v>
      </c>
      <c r="D93" s="99" t="s">
        <v>137</v>
      </c>
      <c r="E93" s="99"/>
      <c r="F93" s="99"/>
      <c r="G93" s="395">
        <v>82942</v>
      </c>
      <c r="H93" s="264">
        <v>282128</v>
      </c>
      <c r="I93" s="92">
        <f>H93/G93*100</f>
        <v>340.150948855827</v>
      </c>
    </row>
    <row r="94" spans="1:9" ht="15.75">
      <c r="A94" s="97"/>
      <c r="B94" s="97"/>
      <c r="C94" s="97" t="s">
        <v>25</v>
      </c>
      <c r="D94" s="99" t="s">
        <v>129</v>
      </c>
      <c r="E94" s="99"/>
      <c r="F94" s="99"/>
      <c r="G94" s="395"/>
      <c r="H94" s="323"/>
      <c r="I94" s="92"/>
    </row>
    <row r="95" spans="1:9" ht="15.75">
      <c r="A95" s="97"/>
      <c r="B95" s="97"/>
      <c r="C95" s="97"/>
      <c r="D95" s="99" t="s">
        <v>42</v>
      </c>
      <c r="E95" s="99" t="s">
        <v>130</v>
      </c>
      <c r="F95" s="99"/>
      <c r="G95" s="395">
        <v>20000</v>
      </c>
      <c r="H95" s="264">
        <v>20000</v>
      </c>
      <c r="I95" s="92">
        <f>H95/G95*100</f>
        <v>100</v>
      </c>
    </row>
    <row r="96" spans="1:9" ht="15.75">
      <c r="A96" s="97"/>
      <c r="B96" s="97"/>
      <c r="C96" s="97"/>
      <c r="D96" s="99" t="s">
        <v>25</v>
      </c>
      <c r="E96" s="99" t="s">
        <v>131</v>
      </c>
      <c r="F96" s="99"/>
      <c r="G96" s="395">
        <v>820000</v>
      </c>
      <c r="H96" s="264">
        <v>64680</v>
      </c>
      <c r="I96" s="92">
        <f>H96/G96*100</f>
        <v>7.88780487804878</v>
      </c>
    </row>
    <row r="97" spans="1:9" ht="15.75">
      <c r="A97" s="97"/>
      <c r="B97" s="97"/>
      <c r="C97" s="97"/>
      <c r="D97" s="99" t="s">
        <v>43</v>
      </c>
      <c r="E97" s="99" t="s">
        <v>132</v>
      </c>
      <c r="F97" s="99"/>
      <c r="G97" s="395">
        <v>2000</v>
      </c>
      <c r="H97" s="264">
        <v>2000</v>
      </c>
      <c r="I97" s="92">
        <f>H97/G97*100</f>
        <v>100</v>
      </c>
    </row>
    <row r="98" spans="1:9" ht="15.75">
      <c r="A98" s="97"/>
      <c r="B98" s="97"/>
      <c r="C98" s="97"/>
      <c r="D98" s="99" t="s">
        <v>99</v>
      </c>
      <c r="E98" s="99" t="s">
        <v>133</v>
      </c>
      <c r="F98" s="99"/>
      <c r="G98" s="395">
        <v>85179</v>
      </c>
      <c r="H98" s="264">
        <v>203028</v>
      </c>
      <c r="I98" s="92">
        <f>H98/G98*100</f>
        <v>238.35452400239495</v>
      </c>
    </row>
    <row r="99" spans="1:9" ht="15.75">
      <c r="A99" s="97"/>
      <c r="B99" s="97"/>
      <c r="C99" s="97" t="s">
        <v>43</v>
      </c>
      <c r="D99" s="99" t="s">
        <v>153</v>
      </c>
      <c r="E99" s="99"/>
      <c r="F99" s="99"/>
      <c r="G99" s="395"/>
      <c r="H99" s="323"/>
      <c r="I99" s="92"/>
    </row>
    <row r="100" spans="1:9" ht="15.75">
      <c r="A100" s="97"/>
      <c r="B100" s="97"/>
      <c r="D100" s="97" t="s">
        <v>42</v>
      </c>
      <c r="E100" s="99" t="s">
        <v>127</v>
      </c>
      <c r="F100" s="97"/>
      <c r="G100" s="395">
        <v>41000</v>
      </c>
      <c r="H100" s="264">
        <v>41000</v>
      </c>
      <c r="I100" s="92">
        <f>H100/G100*100</f>
        <v>100</v>
      </c>
    </row>
    <row r="101" spans="1:9" ht="15.75">
      <c r="A101" s="97"/>
      <c r="B101" s="97"/>
      <c r="D101" s="97" t="s">
        <v>25</v>
      </c>
      <c r="E101" s="99" t="s">
        <v>128</v>
      </c>
      <c r="F101" s="99"/>
      <c r="G101" s="395">
        <v>274498</v>
      </c>
      <c r="H101" s="264">
        <v>411746</v>
      </c>
      <c r="I101" s="92">
        <f>H101/G101*100</f>
        <v>149.99963569862075</v>
      </c>
    </row>
    <row r="102" spans="4:9" ht="15.75">
      <c r="D102" s="50" t="s">
        <v>43</v>
      </c>
      <c r="E102" s="99" t="s">
        <v>70</v>
      </c>
      <c r="G102" s="395">
        <v>521023</v>
      </c>
      <c r="H102" s="264">
        <v>521023</v>
      </c>
      <c r="I102" s="92">
        <f>H102/G102*100</f>
        <v>100</v>
      </c>
    </row>
    <row r="103" spans="1:9" ht="15.75">
      <c r="A103" s="97"/>
      <c r="B103" s="97" t="s">
        <v>25</v>
      </c>
      <c r="C103" s="99" t="s">
        <v>134</v>
      </c>
      <c r="D103" s="99"/>
      <c r="E103" s="99"/>
      <c r="F103" s="99"/>
      <c r="G103" s="395"/>
      <c r="H103" s="323"/>
      <c r="I103" s="92"/>
    </row>
    <row r="104" spans="1:9" ht="15.75">
      <c r="A104" s="97"/>
      <c r="B104" s="97"/>
      <c r="C104" s="97" t="s">
        <v>42</v>
      </c>
      <c r="D104" s="99" t="s">
        <v>135</v>
      </c>
      <c r="E104" s="99"/>
      <c r="F104" s="99"/>
      <c r="G104" s="395">
        <v>4099152</v>
      </c>
      <c r="H104" s="264">
        <v>4156873</v>
      </c>
      <c r="I104" s="92">
        <f>H104/G104*100</f>
        <v>101.4081205088272</v>
      </c>
    </row>
    <row r="105" spans="1:9" ht="15.75">
      <c r="A105" s="97"/>
      <c r="B105" s="97" t="s">
        <v>43</v>
      </c>
      <c r="C105" s="99" t="s">
        <v>136</v>
      </c>
      <c r="D105" s="99"/>
      <c r="E105" s="99"/>
      <c r="F105" s="99"/>
      <c r="G105" s="395"/>
      <c r="H105" s="323"/>
      <c r="I105" s="92"/>
    </row>
    <row r="106" spans="1:9" ht="15.75">
      <c r="A106" s="97"/>
      <c r="B106" s="97"/>
      <c r="C106" s="97" t="s">
        <v>42</v>
      </c>
      <c r="D106" s="99" t="s">
        <v>78</v>
      </c>
      <c r="E106" s="99"/>
      <c r="F106" s="99"/>
      <c r="G106" s="395">
        <v>1267352</v>
      </c>
      <c r="H106" s="264">
        <v>1098372</v>
      </c>
      <c r="I106" s="92">
        <f>H106/G106*100</f>
        <v>86.66668770791382</v>
      </c>
    </row>
    <row r="107" spans="1:9" ht="15.75">
      <c r="A107" s="97"/>
      <c r="B107" s="97" t="s">
        <v>99</v>
      </c>
      <c r="C107" s="99" t="s">
        <v>138</v>
      </c>
      <c r="D107" s="97"/>
      <c r="E107" s="97"/>
      <c r="F107" s="97"/>
      <c r="G107" s="395">
        <v>1725879</v>
      </c>
      <c r="H107" s="264">
        <f>1818765-270</f>
        <v>1818495</v>
      </c>
      <c r="I107" s="92">
        <f>H107/G107*100</f>
        <v>105.36630899385182</v>
      </c>
    </row>
    <row r="108" spans="1:9" ht="15.75">
      <c r="A108" s="97"/>
      <c r="B108" s="97" t="s">
        <v>100</v>
      </c>
      <c r="C108" s="99" t="s">
        <v>139</v>
      </c>
      <c r="D108" s="97"/>
      <c r="E108" s="97"/>
      <c r="F108" s="97"/>
      <c r="G108" s="395">
        <v>1156821</v>
      </c>
      <c r="H108" s="264">
        <f>1004191+480029</f>
        <v>1484220</v>
      </c>
      <c r="I108" s="92">
        <f>H108/G108*100</f>
        <v>128.30161278192566</v>
      </c>
    </row>
    <row r="109" spans="1:9" ht="24.75" customHeight="1">
      <c r="A109" s="97"/>
      <c r="B109" s="97" t="s">
        <v>106</v>
      </c>
      <c r="C109" s="99" t="s">
        <v>140</v>
      </c>
      <c r="D109" s="97"/>
      <c r="E109" s="97"/>
      <c r="F109" s="97"/>
      <c r="G109" s="395">
        <v>2000</v>
      </c>
      <c r="H109" s="264">
        <v>2000</v>
      </c>
      <c r="I109" s="92">
        <f>H109/G109*100</f>
        <v>100</v>
      </c>
    </row>
    <row r="110" spans="1:9" ht="19.5" customHeight="1">
      <c r="A110" s="97"/>
      <c r="B110" s="285" t="s">
        <v>240</v>
      </c>
      <c r="C110" s="522" t="s">
        <v>470</v>
      </c>
      <c r="D110" s="522"/>
      <c r="E110" s="522"/>
      <c r="F110" s="522"/>
      <c r="G110" s="395"/>
      <c r="H110" s="264"/>
      <c r="I110" s="92"/>
    </row>
    <row r="111" spans="1:11" ht="15.75">
      <c r="A111" s="14" t="s">
        <v>22</v>
      </c>
      <c r="B111" s="97"/>
      <c r="C111" s="97"/>
      <c r="D111" s="97"/>
      <c r="E111" s="97"/>
      <c r="F111" s="97"/>
      <c r="G111" s="398">
        <f>SUM(G92:G110)</f>
        <v>10097846</v>
      </c>
      <c r="H111" s="397">
        <f>SUM(H92:H110)</f>
        <v>10105565</v>
      </c>
      <c r="I111" s="488">
        <f>H111/G111*100</f>
        <v>100.07644204516488</v>
      </c>
      <c r="K111" s="263"/>
    </row>
    <row r="112" spans="1:9" ht="1.5" customHeight="1">
      <c r="A112" s="97"/>
      <c r="B112" s="97"/>
      <c r="C112" s="97"/>
      <c r="D112" s="97"/>
      <c r="E112" s="97"/>
      <c r="F112" s="97"/>
      <c r="G112" s="395"/>
      <c r="H112" s="323"/>
      <c r="I112" s="92"/>
    </row>
    <row r="113" spans="1:9" ht="1.5" customHeight="1">
      <c r="A113" s="97"/>
      <c r="B113" s="97"/>
      <c r="C113" s="97"/>
      <c r="D113" s="97"/>
      <c r="E113" s="97"/>
      <c r="F113" s="97"/>
      <c r="G113" s="395"/>
      <c r="H113" s="323"/>
      <c r="I113" s="92"/>
    </row>
    <row r="114" spans="1:9" ht="1.5" customHeight="1">
      <c r="A114" s="97"/>
      <c r="B114" s="97"/>
      <c r="C114" s="97"/>
      <c r="D114" s="97"/>
      <c r="E114" s="97"/>
      <c r="F114" s="97"/>
      <c r="G114" s="395"/>
      <c r="H114" s="323"/>
      <c r="I114" s="92"/>
    </row>
    <row r="115" spans="1:9" ht="3.75" customHeight="1">
      <c r="A115" s="97"/>
      <c r="B115" s="97"/>
      <c r="C115" s="97"/>
      <c r="D115" s="97"/>
      <c r="E115" s="97"/>
      <c r="F115" s="97"/>
      <c r="G115" s="395"/>
      <c r="H115" s="323"/>
      <c r="I115" s="92"/>
    </row>
    <row r="116" spans="1:9" ht="15.75">
      <c r="A116" s="14" t="s">
        <v>59</v>
      </c>
      <c r="B116" s="14" t="s">
        <v>141</v>
      </c>
      <c r="C116" s="14"/>
      <c r="D116" s="14"/>
      <c r="E116" s="14"/>
      <c r="F116" s="14"/>
      <c r="G116" s="396"/>
      <c r="H116" s="323"/>
      <c r="I116" s="92"/>
    </row>
    <row r="117" spans="1:9" ht="15.75">
      <c r="A117" s="14"/>
      <c r="B117" s="14"/>
      <c r="C117" s="14"/>
      <c r="D117" s="14"/>
      <c r="E117" s="14"/>
      <c r="F117" s="14"/>
      <c r="G117" s="396"/>
      <c r="H117" s="323"/>
      <c r="I117" s="92"/>
    </row>
    <row r="118" spans="1:9" ht="59.25" customHeight="1">
      <c r="A118" s="16"/>
      <c r="B118" s="16" t="s">
        <v>42</v>
      </c>
      <c r="C118" s="520" t="s">
        <v>587</v>
      </c>
      <c r="D118" s="520"/>
      <c r="E118" s="520"/>
      <c r="F118" s="520"/>
      <c r="G118" s="394"/>
      <c r="H118" s="264"/>
      <c r="I118" s="92"/>
    </row>
    <row r="119" spans="1:9" ht="35.25" customHeight="1">
      <c r="A119" s="16"/>
      <c r="B119" s="16"/>
      <c r="C119" s="98" t="s">
        <v>42</v>
      </c>
      <c r="D119" s="520" t="s">
        <v>142</v>
      </c>
      <c r="E119" s="520"/>
      <c r="F119" s="520"/>
      <c r="G119" s="394">
        <v>121800</v>
      </c>
      <c r="H119" s="264">
        <v>346850</v>
      </c>
      <c r="I119" s="92">
        <f>H119/G119*100</f>
        <v>284.7701149425288</v>
      </c>
    </row>
    <row r="120" spans="1:9" ht="39.75" customHeight="1">
      <c r="A120" s="97"/>
      <c r="B120" s="97" t="s">
        <v>589</v>
      </c>
      <c r="C120" s="519" t="s">
        <v>590</v>
      </c>
      <c r="D120" s="517"/>
      <c r="E120" s="517"/>
      <c r="F120" s="517"/>
      <c r="G120" s="395"/>
      <c r="H120" s="264">
        <v>6000000</v>
      </c>
      <c r="I120" s="92"/>
    </row>
    <row r="121" spans="1:9" ht="15.75">
      <c r="A121" s="521" t="s">
        <v>143</v>
      </c>
      <c r="B121" s="521"/>
      <c r="C121" s="521"/>
      <c r="D121" s="521"/>
      <c r="E121" s="521"/>
      <c r="F121" s="521"/>
      <c r="G121" s="267">
        <f>SUM(G119:G120)</f>
        <v>121800</v>
      </c>
      <c r="H121" s="267">
        <f>SUM(H118:H120)</f>
        <v>6346850</v>
      </c>
      <c r="I121" s="488">
        <f>H121/G121*100</f>
        <v>5210.878489326766</v>
      </c>
    </row>
    <row r="122" spans="1:9" ht="14.25" customHeight="1">
      <c r="A122" s="97"/>
      <c r="B122" s="97"/>
      <c r="C122" s="97"/>
      <c r="D122" s="97"/>
      <c r="E122" s="97"/>
      <c r="F122" s="97"/>
      <c r="G122" s="395"/>
      <c r="H122" s="264"/>
      <c r="I122" s="92"/>
    </row>
    <row r="123" spans="1:9" ht="16.5">
      <c r="A123" s="101" t="s">
        <v>144</v>
      </c>
      <c r="B123" s="101"/>
      <c r="C123" s="101"/>
      <c r="D123" s="101"/>
      <c r="E123" s="101"/>
      <c r="F123" s="101"/>
      <c r="G123" s="267">
        <f>G121+G111+G89+G64</f>
        <v>53521514</v>
      </c>
      <c r="H123" s="267">
        <f>H121+H111+H89+H64+H65+H71</f>
        <v>175930352</v>
      </c>
      <c r="I123" s="488">
        <f>H123/G123*100</f>
        <v>328.7095951732606</v>
      </c>
    </row>
    <row r="124" spans="1:9" ht="16.5">
      <c r="A124" s="101"/>
      <c r="B124" s="101"/>
      <c r="C124" s="101"/>
      <c r="D124" s="101"/>
      <c r="E124" s="101"/>
      <c r="F124" s="101"/>
      <c r="G124" s="269"/>
      <c r="H124" s="264"/>
      <c r="I124" s="92"/>
    </row>
    <row r="125" spans="1:9" ht="15.75">
      <c r="A125" s="102" t="s">
        <v>145</v>
      </c>
      <c r="B125" s="518" t="s">
        <v>146</v>
      </c>
      <c r="C125" s="518"/>
      <c r="D125" s="518"/>
      <c r="E125" s="518"/>
      <c r="F125" s="518"/>
      <c r="G125" s="394"/>
      <c r="H125" s="264"/>
      <c r="I125" s="92"/>
    </row>
    <row r="126" spans="1:9" ht="15.75">
      <c r="A126" s="14"/>
      <c r="B126" s="90" t="s">
        <v>42</v>
      </c>
      <c r="C126" s="518" t="s">
        <v>147</v>
      </c>
      <c r="D126" s="518"/>
      <c r="E126" s="518"/>
      <c r="F126" s="518"/>
      <c r="G126" s="394"/>
      <c r="H126" s="264"/>
      <c r="I126" s="92"/>
    </row>
    <row r="127" spans="1:9" ht="36" customHeight="1">
      <c r="A127" s="14"/>
      <c r="B127" s="90"/>
      <c r="C127" s="98" t="s">
        <v>42</v>
      </c>
      <c r="D127" s="520" t="s">
        <v>573</v>
      </c>
      <c r="E127" s="520"/>
      <c r="F127" s="520"/>
      <c r="G127" s="394">
        <v>58277607</v>
      </c>
      <c r="H127" s="264">
        <v>4976007</v>
      </c>
      <c r="I127" s="92">
        <f>H127/G127*100</f>
        <v>8.538454573126176</v>
      </c>
    </row>
    <row r="128" spans="1:9" ht="16.5" customHeight="1">
      <c r="A128" s="16"/>
      <c r="B128" s="16"/>
      <c r="C128" s="16" t="s">
        <v>25</v>
      </c>
      <c r="D128" s="516" t="s">
        <v>481</v>
      </c>
      <c r="E128" s="516"/>
      <c r="F128" s="516"/>
      <c r="G128" s="393">
        <v>1417579</v>
      </c>
      <c r="H128" s="366">
        <v>1240566</v>
      </c>
      <c r="I128" s="92">
        <f>H128/G128*100</f>
        <v>87.51300632980595</v>
      </c>
    </row>
    <row r="129" spans="1:9" ht="16.5" customHeight="1">
      <c r="A129" s="16"/>
      <c r="B129" s="16"/>
      <c r="C129" s="16" t="s">
        <v>609</v>
      </c>
      <c r="D129" s="516" t="s">
        <v>608</v>
      </c>
      <c r="E129" s="517"/>
      <c r="F129" s="517"/>
      <c r="G129" s="393">
        <v>45351285</v>
      </c>
      <c r="H129" s="366">
        <f>109982+3000+18481786+933577</f>
        <v>19528345</v>
      </c>
      <c r="I129" s="92">
        <f>H129/G129*100</f>
        <v>43.06018010294526</v>
      </c>
    </row>
    <row r="130" spans="1:9" ht="16.5">
      <c r="A130" s="101" t="s">
        <v>146</v>
      </c>
      <c r="B130" s="101"/>
      <c r="C130" s="101"/>
      <c r="D130" s="101"/>
      <c r="E130" s="101"/>
      <c r="F130" s="101"/>
      <c r="G130" s="267">
        <f>G127+G128+G129</f>
        <v>105046471</v>
      </c>
      <c r="H130" s="267">
        <f>SUM(H127:H129)</f>
        <v>25744918</v>
      </c>
      <c r="I130" s="488">
        <f>H130/G130*100</f>
        <v>24.50812269552587</v>
      </c>
    </row>
    <row r="131" spans="1:9" ht="15" customHeight="1">
      <c r="A131" s="16"/>
      <c r="B131" s="16"/>
      <c r="C131" s="16"/>
      <c r="D131" s="16"/>
      <c r="E131" s="16"/>
      <c r="F131" s="16"/>
      <c r="G131" s="270"/>
      <c r="H131" s="268"/>
      <c r="I131" s="92"/>
    </row>
    <row r="132" spans="1:9" ht="18.75">
      <c r="A132" s="15" t="s">
        <v>148</v>
      </c>
      <c r="B132" s="15"/>
      <c r="C132" s="15"/>
      <c r="D132" s="15"/>
      <c r="E132" s="15"/>
      <c r="F132" s="15"/>
      <c r="G132" s="267">
        <f>G123+G130</f>
        <v>158567985</v>
      </c>
      <c r="H132" s="267">
        <f>H123+H130</f>
        <v>201675270</v>
      </c>
      <c r="I132" s="488">
        <f>H132/G132*100</f>
        <v>127.1853646875818</v>
      </c>
    </row>
    <row r="133" spans="7:9" ht="15.75">
      <c r="G133" s="263"/>
      <c r="H133" s="263"/>
      <c r="I133" s="92"/>
    </row>
    <row r="134" spans="7:9" ht="15.75">
      <c r="G134" s="263"/>
      <c r="H134" s="263"/>
      <c r="I134" s="92"/>
    </row>
    <row r="135" spans="7:8" ht="15.75">
      <c r="G135" s="263"/>
      <c r="H135" s="263"/>
    </row>
    <row r="136" spans="7:8" ht="15.75">
      <c r="G136" s="263"/>
      <c r="H136" s="263"/>
    </row>
    <row r="137" spans="7:8" ht="15.75">
      <c r="G137" s="263"/>
      <c r="H137" s="263"/>
    </row>
    <row r="138" spans="7:8" ht="15.75">
      <c r="G138" s="263"/>
      <c r="H138" s="263"/>
    </row>
    <row r="139" spans="7:8" ht="15.75">
      <c r="G139" s="263"/>
      <c r="H139" s="263"/>
    </row>
    <row r="140" spans="7:8" ht="15.75">
      <c r="G140" s="263"/>
      <c r="H140" s="263"/>
    </row>
    <row r="141" spans="7:8" ht="15.75">
      <c r="G141" s="263"/>
      <c r="H141" s="263"/>
    </row>
    <row r="142" spans="7:8" ht="15.75">
      <c r="G142" s="263"/>
      <c r="H142" s="263"/>
    </row>
    <row r="143" spans="7:8" ht="15.75">
      <c r="G143" s="263"/>
      <c r="H143" s="263"/>
    </row>
    <row r="144" spans="7:8" ht="15.75">
      <c r="G144" s="263"/>
      <c r="H144" s="263"/>
    </row>
    <row r="145" spans="7:8" ht="15.75">
      <c r="G145" s="263"/>
      <c r="H145" s="263"/>
    </row>
    <row r="146" spans="7:8" ht="15.75">
      <c r="G146" s="263"/>
      <c r="H146" s="263"/>
    </row>
    <row r="147" spans="7:8" ht="15.75">
      <c r="G147" s="263"/>
      <c r="H147" s="263"/>
    </row>
    <row r="148" spans="7:8" ht="15.75">
      <c r="G148" s="263"/>
      <c r="H148" s="263"/>
    </row>
    <row r="149" spans="7:8" ht="15.75">
      <c r="G149" s="263"/>
      <c r="H149" s="263"/>
    </row>
    <row r="150" spans="7:8" ht="15.75">
      <c r="G150" s="263"/>
      <c r="H150" s="263"/>
    </row>
    <row r="151" spans="7:8" ht="15.75">
      <c r="G151" s="263"/>
      <c r="H151" s="263"/>
    </row>
    <row r="152" spans="7:8" ht="15.75">
      <c r="G152" s="263"/>
      <c r="H152" s="263"/>
    </row>
    <row r="153" spans="7:8" ht="15.75">
      <c r="G153" s="263"/>
      <c r="H153" s="263"/>
    </row>
    <row r="154" spans="7:8" ht="15.75">
      <c r="G154" s="263"/>
      <c r="H154" s="263"/>
    </row>
    <row r="155" spans="7:8" ht="15.75">
      <c r="G155" s="263"/>
      <c r="H155" s="263"/>
    </row>
    <row r="156" spans="7:8" ht="15.75">
      <c r="G156" s="263"/>
      <c r="H156" s="263"/>
    </row>
    <row r="157" spans="7:8" ht="15.75">
      <c r="G157" s="263"/>
      <c r="H157" s="263"/>
    </row>
    <row r="158" spans="7:8" ht="15.75">
      <c r="G158" s="263"/>
      <c r="H158" s="263"/>
    </row>
    <row r="159" spans="7:8" ht="15.75">
      <c r="G159" s="263"/>
      <c r="H159" s="263"/>
    </row>
    <row r="160" spans="7:8" ht="15.75">
      <c r="G160" s="263"/>
      <c r="H160" s="263"/>
    </row>
    <row r="161" spans="7:8" ht="15.75">
      <c r="G161" s="263"/>
      <c r="H161" s="263"/>
    </row>
    <row r="162" spans="7:8" ht="15.75">
      <c r="G162" s="263"/>
      <c r="H162" s="263"/>
    </row>
    <row r="163" spans="7:8" ht="15.75">
      <c r="G163" s="263"/>
      <c r="H163" s="263"/>
    </row>
    <row r="164" spans="7:8" ht="15.75">
      <c r="G164" s="263"/>
      <c r="H164" s="263"/>
    </row>
    <row r="165" spans="7:8" ht="15.75">
      <c r="G165" s="263"/>
      <c r="H165" s="263"/>
    </row>
    <row r="166" spans="7:8" ht="15.75">
      <c r="G166" s="263"/>
      <c r="H166" s="263"/>
    </row>
    <row r="167" spans="7:8" ht="15.75">
      <c r="G167" s="263"/>
      <c r="H167" s="263"/>
    </row>
  </sheetData>
  <sheetProtection/>
  <mergeCells count="43">
    <mergeCell ref="D17:F17"/>
    <mergeCell ref="A9:I9"/>
    <mergeCell ref="B15:F15"/>
    <mergeCell ref="A11:F13"/>
    <mergeCell ref="A5:I5"/>
    <mergeCell ref="A6:I6"/>
    <mergeCell ref="A7:I7"/>
    <mergeCell ref="E18:F18"/>
    <mergeCell ref="D35:F35"/>
    <mergeCell ref="D38:F38"/>
    <mergeCell ref="D39:F39"/>
    <mergeCell ref="E41:F41"/>
    <mergeCell ref="A71:F71"/>
    <mergeCell ref="C46:F46"/>
    <mergeCell ref="D48:F48"/>
    <mergeCell ref="D67:F67"/>
    <mergeCell ref="D68:F68"/>
    <mergeCell ref="C58:F58"/>
    <mergeCell ref="D59:F59"/>
    <mergeCell ref="B63:F63"/>
    <mergeCell ref="E49:F49"/>
    <mergeCell ref="C51:F51"/>
    <mergeCell ref="D52:F52"/>
    <mergeCell ref="C54:F54"/>
    <mergeCell ref="D127:F127"/>
    <mergeCell ref="D119:F119"/>
    <mergeCell ref="A121:F121"/>
    <mergeCell ref="B125:F125"/>
    <mergeCell ref="A64:F64"/>
    <mergeCell ref="C92:F92"/>
    <mergeCell ref="B65:F65"/>
    <mergeCell ref="C110:F110"/>
    <mergeCell ref="D66:F66"/>
    <mergeCell ref="D69:F69"/>
    <mergeCell ref="D70:F70"/>
    <mergeCell ref="A4:I4"/>
    <mergeCell ref="A3:I3"/>
    <mergeCell ref="D129:F129"/>
    <mergeCell ref="B56:F56"/>
    <mergeCell ref="C120:F120"/>
    <mergeCell ref="D128:F128"/>
    <mergeCell ref="C118:F118"/>
    <mergeCell ref="C126:F126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5"/>
  <sheetViews>
    <sheetView zoomScalePageLayoutView="0" workbookViewId="0" topLeftCell="A1">
      <selection activeCell="C4" sqref="C4:G4"/>
    </sheetView>
  </sheetViews>
  <sheetFormatPr defaultColWidth="9.00390625" defaultRowHeight="12.75"/>
  <cols>
    <col min="1" max="1" width="3.875" style="154" customWidth="1"/>
    <col min="2" max="2" width="9.125" style="154" customWidth="1"/>
    <col min="3" max="3" width="61.125" style="154" customWidth="1"/>
    <col min="4" max="7" width="26.25390625" style="154" customWidth="1"/>
    <col min="8" max="16384" width="9.125" style="154" customWidth="1"/>
  </cols>
  <sheetData>
    <row r="1" spans="1:7" ht="15">
      <c r="A1" s="508" t="s">
        <v>661</v>
      </c>
      <c r="B1" s="509"/>
      <c r="C1" s="509"/>
      <c r="D1" s="509"/>
      <c r="E1" s="509"/>
      <c r="F1" s="509"/>
      <c r="G1" s="515"/>
    </row>
    <row r="2" spans="1:6" ht="15">
      <c r="A2" s="376"/>
      <c r="B2" s="356"/>
      <c r="C2" s="356"/>
      <c r="D2" s="356"/>
      <c r="E2" s="356"/>
      <c r="F2" s="356"/>
    </row>
    <row r="3" spans="1:7" s="149" customFormat="1" ht="15.75">
      <c r="A3" s="538"/>
      <c r="B3" s="514"/>
      <c r="C3" s="514"/>
      <c r="D3" s="514"/>
      <c r="E3" s="514"/>
      <c r="F3" s="514"/>
      <c r="G3" s="514"/>
    </row>
    <row r="4" spans="3:7" s="65" customFormat="1" ht="15" customHeight="1">
      <c r="C4" s="539"/>
      <c r="D4" s="539"/>
      <c r="E4" s="539"/>
      <c r="F4" s="539"/>
      <c r="G4" s="539"/>
    </row>
    <row r="5" spans="2:7" s="151" customFormat="1" ht="15" customHeight="1">
      <c r="B5" s="540"/>
      <c r="C5" s="540"/>
      <c r="D5" s="540"/>
      <c r="E5" s="540"/>
      <c r="F5" s="540"/>
      <c r="G5" s="540"/>
    </row>
    <row r="6" spans="2:7" s="116" customFormat="1" ht="15" customHeight="1">
      <c r="B6" s="540" t="s">
        <v>39</v>
      </c>
      <c r="C6" s="540"/>
      <c r="D6" s="540"/>
      <c r="E6" s="540"/>
      <c r="F6" s="540"/>
      <c r="G6" s="540"/>
    </row>
    <row r="7" spans="2:7" s="116" customFormat="1" ht="15.75" customHeight="1">
      <c r="B7" s="541" t="s">
        <v>287</v>
      </c>
      <c r="C7" s="541"/>
      <c r="D7" s="541"/>
      <c r="E7" s="541"/>
      <c r="F7" s="541"/>
      <c r="G7" s="541"/>
    </row>
    <row r="8" spans="3:7" s="116" customFormat="1" ht="15" customHeight="1">
      <c r="C8" s="540" t="s">
        <v>579</v>
      </c>
      <c r="D8" s="540"/>
      <c r="E8" s="540"/>
      <c r="F8" s="540"/>
      <c r="G8" s="540"/>
    </row>
    <row r="9" spans="3:7" s="149" customFormat="1" ht="12" customHeight="1" thickBot="1">
      <c r="C9" s="150"/>
      <c r="D9" s="153"/>
      <c r="E9" s="417"/>
      <c r="F9" s="417"/>
      <c r="G9" s="416"/>
    </row>
    <row r="10" spans="1:7" s="149" customFormat="1" ht="23.25" customHeight="1" thickBot="1">
      <c r="A10" s="542" t="s">
        <v>464</v>
      </c>
      <c r="B10" s="545" t="s">
        <v>177</v>
      </c>
      <c r="C10" s="548" t="s">
        <v>178</v>
      </c>
      <c r="D10" s="551" t="s">
        <v>288</v>
      </c>
      <c r="E10" s="554" t="s">
        <v>289</v>
      </c>
      <c r="F10" s="554"/>
      <c r="G10" s="555"/>
    </row>
    <row r="11" spans="1:7" s="149" customFormat="1" ht="39.75" customHeight="1" thickBot="1">
      <c r="A11" s="543"/>
      <c r="B11" s="546"/>
      <c r="C11" s="549"/>
      <c r="D11" s="552"/>
      <c r="E11" s="413" t="s">
        <v>290</v>
      </c>
      <c r="F11" s="415" t="s">
        <v>291</v>
      </c>
      <c r="G11" s="414" t="s">
        <v>292</v>
      </c>
    </row>
    <row r="12" spans="1:7" s="149" customFormat="1" ht="22.5" customHeight="1">
      <c r="A12" s="543"/>
      <c r="B12" s="546"/>
      <c r="C12" s="549"/>
      <c r="D12" s="552"/>
      <c r="E12" s="556" t="s">
        <v>293</v>
      </c>
      <c r="F12" s="557"/>
      <c r="G12" s="558"/>
    </row>
    <row r="13" spans="1:7" ht="21.75" customHeight="1" thickBot="1">
      <c r="A13" s="544"/>
      <c r="B13" s="547"/>
      <c r="C13" s="550"/>
      <c r="D13" s="553"/>
      <c r="E13" s="559"/>
      <c r="F13" s="560"/>
      <c r="G13" s="561"/>
    </row>
    <row r="14" spans="1:7" ht="30">
      <c r="A14" s="275" t="s">
        <v>42</v>
      </c>
      <c r="B14" s="271" t="s">
        <v>194</v>
      </c>
      <c r="C14" s="155" t="s">
        <v>195</v>
      </c>
      <c r="D14" s="412">
        <f>SUM(E14:G14)</f>
        <v>867654</v>
      </c>
      <c r="E14" s="412">
        <f>7000+262610+251194</f>
        <v>520804</v>
      </c>
      <c r="F14" s="412">
        <v>346850</v>
      </c>
      <c r="G14" s="411"/>
    </row>
    <row r="15" spans="1:7" ht="15">
      <c r="A15" s="274" t="s">
        <v>25</v>
      </c>
      <c r="B15" s="272" t="s">
        <v>196</v>
      </c>
      <c r="C15" s="111" t="s">
        <v>34</v>
      </c>
      <c r="D15" s="409">
        <f>SUM(E15:G15)</f>
        <v>51800</v>
      </c>
      <c r="E15" s="409">
        <v>51800</v>
      </c>
      <c r="F15" s="409"/>
      <c r="G15" s="408"/>
    </row>
    <row r="16" spans="1:7" ht="15">
      <c r="A16" s="274" t="s">
        <v>43</v>
      </c>
      <c r="B16" s="272" t="s">
        <v>197</v>
      </c>
      <c r="C16" s="111" t="s">
        <v>198</v>
      </c>
      <c r="D16" s="409">
        <f>SUM(E16:G16)</f>
        <v>350466</v>
      </c>
      <c r="E16" s="409">
        <v>64680</v>
      </c>
      <c r="F16" s="409">
        <v>285786</v>
      </c>
      <c r="G16" s="408"/>
    </row>
    <row r="17" spans="1:7" ht="15">
      <c r="A17" s="274" t="s">
        <v>99</v>
      </c>
      <c r="B17" s="272" t="s">
        <v>294</v>
      </c>
      <c r="C17" s="111" t="s">
        <v>295</v>
      </c>
      <c r="D17" s="409">
        <f>SUM(E17:G17)</f>
        <v>147342061</v>
      </c>
      <c r="E17" s="409">
        <f>31017138+76000-110720+330000+582930+89209+15833638+14547890+4988001+79987975</f>
        <v>147342061</v>
      </c>
      <c r="F17" s="409"/>
      <c r="G17" s="408"/>
    </row>
    <row r="18" spans="1:7" ht="15">
      <c r="A18" s="274" t="s">
        <v>100</v>
      </c>
      <c r="B18" s="272" t="s">
        <v>466</v>
      </c>
      <c r="C18" s="111" t="s">
        <v>467</v>
      </c>
      <c r="D18" s="409">
        <f>SUM(E18:G18)</f>
        <v>24811341</v>
      </c>
      <c r="E18" s="409">
        <v>24811341</v>
      </c>
      <c r="F18" s="409"/>
      <c r="G18" s="408"/>
    </row>
    <row r="19" spans="1:7" ht="15">
      <c r="A19" s="274" t="s">
        <v>106</v>
      </c>
      <c r="B19" s="272" t="s">
        <v>468</v>
      </c>
      <c r="C19" s="111" t="s">
        <v>469</v>
      </c>
      <c r="D19" s="409">
        <f>SUM(E19:G19)</f>
        <v>0</v>
      </c>
      <c r="E19" s="409">
        <f>15833638-15833638</f>
        <v>0</v>
      </c>
      <c r="F19" s="409"/>
      <c r="G19" s="408"/>
    </row>
    <row r="20" spans="1:7" ht="15">
      <c r="A20" s="274" t="s">
        <v>240</v>
      </c>
      <c r="B20" s="272" t="s">
        <v>201</v>
      </c>
      <c r="C20" s="111" t="s">
        <v>202</v>
      </c>
      <c r="D20" s="409">
        <f>SUM(E20:G20)</f>
        <v>6283419</v>
      </c>
      <c r="E20" s="409">
        <v>6283419</v>
      </c>
      <c r="F20" s="409"/>
      <c r="G20" s="408"/>
    </row>
    <row r="21" spans="1:7" ht="15">
      <c r="A21" s="274" t="s">
        <v>242</v>
      </c>
      <c r="B21" s="272" t="s">
        <v>209</v>
      </c>
      <c r="C21" s="111" t="s">
        <v>210</v>
      </c>
      <c r="D21" s="409">
        <f>SUM(E21:G21)</f>
        <v>6000000</v>
      </c>
      <c r="E21" s="409">
        <v>6000000</v>
      </c>
      <c r="F21" s="409"/>
      <c r="G21" s="408"/>
    </row>
    <row r="22" spans="1:7" ht="15">
      <c r="A22" s="274" t="s">
        <v>244</v>
      </c>
      <c r="B22" s="272" t="s">
        <v>211</v>
      </c>
      <c r="C22" s="111" t="s">
        <v>32</v>
      </c>
      <c r="D22" s="409">
        <f>SUM(E22:G22)</f>
        <v>2918584</v>
      </c>
      <c r="E22" s="409">
        <v>2918584</v>
      </c>
      <c r="F22" s="409"/>
      <c r="G22" s="408"/>
    </row>
    <row r="23" spans="1:7" ht="18" customHeight="1">
      <c r="A23" s="274" t="s">
        <v>250</v>
      </c>
      <c r="B23" s="272" t="s">
        <v>439</v>
      </c>
      <c r="C23" s="111" t="s">
        <v>440</v>
      </c>
      <c r="D23" s="409">
        <f>SUM(E23:G23)</f>
        <v>100000</v>
      </c>
      <c r="E23" s="409">
        <v>100000</v>
      </c>
      <c r="F23" s="409"/>
      <c r="G23" s="408"/>
    </row>
    <row r="24" spans="1:7" ht="15">
      <c r="A24" s="274" t="s">
        <v>252</v>
      </c>
      <c r="B24" s="273">
        <v>104051</v>
      </c>
      <c r="C24" s="111" t="s">
        <v>355</v>
      </c>
      <c r="D24" s="409">
        <f>SUM(E24:G24)</f>
        <v>46400</v>
      </c>
      <c r="E24" s="409"/>
      <c r="F24" s="409"/>
      <c r="G24" s="408">
        <v>46400</v>
      </c>
    </row>
    <row r="25" spans="1:7" ht="30.75" thickBot="1">
      <c r="A25" s="823" t="s">
        <v>254</v>
      </c>
      <c r="B25" s="273">
        <v>900020</v>
      </c>
      <c r="C25" s="111" t="s">
        <v>300</v>
      </c>
      <c r="D25" s="409">
        <f>SUM(E25:G25)</f>
        <v>7808000</v>
      </c>
      <c r="E25" s="409">
        <v>7808000</v>
      </c>
      <c r="F25" s="409"/>
      <c r="G25" s="408"/>
    </row>
    <row r="26" spans="1:7" ht="30" customHeight="1" thickBot="1">
      <c r="A26" s="362" t="s">
        <v>259</v>
      </c>
      <c r="B26" s="363"/>
      <c r="C26" s="354" t="s">
        <v>529</v>
      </c>
      <c r="D26" s="410">
        <f>SUM(D14:D25)</f>
        <v>196579725</v>
      </c>
      <c r="E26" s="410">
        <f>SUM(E14:E25)</f>
        <v>195900689</v>
      </c>
      <c r="F26" s="410">
        <f>SUM(F14:F25)</f>
        <v>632636</v>
      </c>
      <c r="G26" s="410">
        <f>SUM(G14:G25)</f>
        <v>46400</v>
      </c>
    </row>
    <row r="28" spans="1:7" ht="15">
      <c r="A28" s="274" t="s">
        <v>261</v>
      </c>
      <c r="B28" s="272" t="s">
        <v>466</v>
      </c>
      <c r="C28" s="111" t="s">
        <v>467</v>
      </c>
      <c r="D28" s="409">
        <f>SUM(E28:G28)</f>
        <v>933577</v>
      </c>
      <c r="E28" s="409">
        <v>933577</v>
      </c>
      <c r="F28" s="409"/>
      <c r="G28" s="408"/>
    </row>
    <row r="29" spans="1:7" ht="15">
      <c r="A29" s="274" t="s">
        <v>263</v>
      </c>
      <c r="B29" s="272" t="s">
        <v>527</v>
      </c>
      <c r="C29" s="111" t="s">
        <v>528</v>
      </c>
      <c r="D29" s="409">
        <f>SUM(E29:G29)</f>
        <v>744088</v>
      </c>
      <c r="E29" s="409">
        <f>259101+268437+216550</f>
        <v>744088</v>
      </c>
      <c r="F29" s="409"/>
      <c r="G29" s="408"/>
    </row>
    <row r="30" spans="1:7" ht="15">
      <c r="A30" s="352" t="s">
        <v>270</v>
      </c>
      <c r="B30" s="272" t="s">
        <v>296</v>
      </c>
      <c r="C30" s="111" t="s">
        <v>297</v>
      </c>
      <c r="D30" s="409">
        <f>SUM(E30:G30)</f>
        <v>634090</v>
      </c>
      <c r="E30" s="409">
        <v>634090</v>
      </c>
      <c r="F30" s="409"/>
      <c r="G30" s="408"/>
    </row>
    <row r="31" spans="1:7" ht="15">
      <c r="A31" s="352" t="s">
        <v>273</v>
      </c>
      <c r="B31" s="272" t="s">
        <v>298</v>
      </c>
      <c r="C31" s="111" t="s">
        <v>299</v>
      </c>
      <c r="D31" s="409">
        <f>SUM(E31:G31)</f>
        <v>435147</v>
      </c>
      <c r="E31" s="409"/>
      <c r="F31" s="409">
        <v>435147</v>
      </c>
      <c r="G31" s="408"/>
    </row>
    <row r="32" spans="1:7" ht="15.75" thickBot="1">
      <c r="A32" s="352" t="s">
        <v>275</v>
      </c>
      <c r="B32" s="272" t="s">
        <v>298</v>
      </c>
      <c r="C32" s="113" t="s">
        <v>437</v>
      </c>
      <c r="D32" s="409">
        <f>SUM(E32:G32)</f>
        <v>746229</v>
      </c>
      <c r="E32" s="409"/>
      <c r="F32" s="409">
        <v>746229</v>
      </c>
      <c r="G32" s="408"/>
    </row>
    <row r="33" spans="1:7" ht="15.75" thickBot="1">
      <c r="A33" s="156" t="s">
        <v>347</v>
      </c>
      <c r="B33" s="273" t="s">
        <v>218</v>
      </c>
      <c r="C33" s="332" t="s">
        <v>353</v>
      </c>
      <c r="D33" s="407">
        <f>SUM(E33:G33)</f>
        <v>1602414</v>
      </c>
      <c r="E33" s="407">
        <v>1602414</v>
      </c>
      <c r="F33" s="407"/>
      <c r="G33" s="406"/>
    </row>
    <row r="34" spans="1:7" ht="15" thickBot="1">
      <c r="A34" s="156" t="s">
        <v>349</v>
      </c>
      <c r="B34" s="156"/>
      <c r="C34" s="345" t="s">
        <v>532</v>
      </c>
      <c r="D34" s="364">
        <f>D28+D31+D32+D33+D30+D29</f>
        <v>5095545</v>
      </c>
      <c r="E34" s="364">
        <f>E29+E30+E31+E32+E33+E28</f>
        <v>3914169</v>
      </c>
      <c r="F34" s="364">
        <f>F28+F31+F32+F33+F29+F30</f>
        <v>1181376</v>
      </c>
      <c r="G34" s="364"/>
    </row>
    <row r="35" spans="1:7" ht="16.5" thickBot="1">
      <c r="A35" s="367" t="s">
        <v>471</v>
      </c>
      <c r="B35" s="156"/>
      <c r="C35" s="346" t="s">
        <v>533</v>
      </c>
      <c r="D35" s="364">
        <f>D26+D34</f>
        <v>201675270</v>
      </c>
      <c r="E35" s="364">
        <f>E26+E34</f>
        <v>199814858</v>
      </c>
      <c r="F35" s="364">
        <f>F26+F34</f>
        <v>1814012</v>
      </c>
      <c r="G35" s="364">
        <f>G26+G34</f>
        <v>46400</v>
      </c>
    </row>
  </sheetData>
  <sheetProtection/>
  <mergeCells count="13">
    <mergeCell ref="A10:A13"/>
    <mergeCell ref="B10:B13"/>
    <mergeCell ref="C10:C13"/>
    <mergeCell ref="D10:D13"/>
    <mergeCell ref="E10:G10"/>
    <mergeCell ref="E12:G13"/>
    <mergeCell ref="A3:G3"/>
    <mergeCell ref="A1:G1"/>
    <mergeCell ref="C4:G4"/>
    <mergeCell ref="C8:G8"/>
    <mergeCell ref="B5:G5"/>
    <mergeCell ref="B6:G6"/>
    <mergeCell ref="B7:G7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48"/>
  <sheetViews>
    <sheetView zoomScalePageLayoutView="0" workbookViewId="0" topLeftCell="A1">
      <selection activeCell="B6" sqref="B6:T6"/>
    </sheetView>
  </sheetViews>
  <sheetFormatPr defaultColWidth="9.00390625" defaultRowHeight="12.75"/>
  <cols>
    <col min="1" max="1" width="4.75390625" style="10" customWidth="1"/>
    <col min="2" max="2" width="9.125" style="10" customWidth="1"/>
    <col min="3" max="3" width="44.125" style="10" customWidth="1"/>
    <col min="4" max="4" width="13.00390625" style="10" customWidth="1"/>
    <col min="5" max="5" width="11.75390625" style="10" customWidth="1"/>
    <col min="6" max="6" width="10.375" style="10" customWidth="1"/>
    <col min="7" max="7" width="12.625" style="10" customWidth="1"/>
    <col min="8" max="8" width="10.375" style="10" customWidth="1"/>
    <col min="9" max="9" width="12.00390625" style="10" customWidth="1"/>
    <col min="10" max="10" width="12.25390625" style="10" customWidth="1"/>
    <col min="11" max="11" width="11.125" style="10" customWidth="1"/>
    <col min="12" max="12" width="12.25390625" style="10" customWidth="1"/>
    <col min="13" max="13" width="11.125" style="10" customWidth="1"/>
    <col min="14" max="14" width="13.375" style="10" customWidth="1"/>
    <col min="15" max="15" width="15.25390625" style="10" customWidth="1"/>
    <col min="16" max="16" width="9.875" style="10" customWidth="1"/>
    <col min="17" max="17" width="10.625" style="10" customWidth="1"/>
    <col min="18" max="18" width="11.00390625" style="10" customWidth="1"/>
    <col min="19" max="16384" width="9.125" style="10" customWidth="1"/>
  </cols>
  <sheetData>
    <row r="1" spans="2:20" ht="15.75">
      <c r="B1" s="585" t="s">
        <v>660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</row>
    <row r="2" spans="1:19" ht="15.75" customHeight="1">
      <c r="A2" s="538"/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</row>
    <row r="3" spans="2:20" s="109" customFormat="1" ht="15.75" customHeight="1"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</row>
    <row r="4" spans="2:17" s="109" customFormat="1" ht="15.75" customHeight="1"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2:20" s="109" customFormat="1" ht="15.75" customHeight="1">
      <c r="B5" s="586" t="s">
        <v>39</v>
      </c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</row>
    <row r="6" spans="2:20" s="109" customFormat="1" ht="15.75" customHeight="1">
      <c r="B6" s="586" t="s">
        <v>176</v>
      </c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</row>
    <row r="7" spans="2:20" s="109" customFormat="1" ht="15.75" customHeight="1">
      <c r="B7" s="586" t="s">
        <v>576</v>
      </c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</row>
    <row r="8" spans="19:20" s="109" customFormat="1" ht="15.75" thickBot="1">
      <c r="S8" s="593" t="s">
        <v>465</v>
      </c>
      <c r="T8" s="593"/>
    </row>
    <row r="9" spans="1:20" s="110" customFormat="1" ht="20.25" customHeight="1" thickBot="1">
      <c r="A9" s="576" t="s">
        <v>464</v>
      </c>
      <c r="B9" s="573" t="s">
        <v>177</v>
      </c>
      <c r="C9" s="570" t="s">
        <v>178</v>
      </c>
      <c r="D9" s="564" t="s">
        <v>179</v>
      </c>
      <c r="E9" s="582" t="s">
        <v>180</v>
      </c>
      <c r="F9" s="583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4"/>
      <c r="S9" s="602" t="s">
        <v>3</v>
      </c>
      <c r="T9" s="603"/>
    </row>
    <row r="10" spans="1:20" s="110" customFormat="1" ht="38.25" customHeight="1" thickBot="1">
      <c r="A10" s="577"/>
      <c r="B10" s="574"/>
      <c r="C10" s="571"/>
      <c r="D10" s="565"/>
      <c r="E10" s="597" t="s">
        <v>71</v>
      </c>
      <c r="F10" s="598"/>
      <c r="G10" s="598"/>
      <c r="H10" s="598"/>
      <c r="I10" s="598"/>
      <c r="J10" s="599"/>
      <c r="K10" s="590" t="s">
        <v>72</v>
      </c>
      <c r="L10" s="591"/>
      <c r="M10" s="591"/>
      <c r="N10" s="592"/>
      <c r="O10" s="594" t="s">
        <v>181</v>
      </c>
      <c r="P10" s="595"/>
      <c r="Q10" s="595"/>
      <c r="R10" s="596"/>
      <c r="S10" s="562" t="s">
        <v>7</v>
      </c>
      <c r="T10" s="563"/>
    </row>
    <row r="11" spans="1:20" s="110" customFormat="1" ht="21" customHeight="1" thickBot="1">
      <c r="A11" s="577"/>
      <c r="B11" s="574"/>
      <c r="C11" s="571"/>
      <c r="D11" s="565"/>
      <c r="E11" s="564" t="s">
        <v>182</v>
      </c>
      <c r="F11" s="564" t="s">
        <v>183</v>
      </c>
      <c r="G11" s="564" t="s">
        <v>184</v>
      </c>
      <c r="H11" s="564" t="s">
        <v>185</v>
      </c>
      <c r="I11" s="564" t="s">
        <v>186</v>
      </c>
      <c r="J11" s="587" t="s">
        <v>187</v>
      </c>
      <c r="K11" s="579" t="s">
        <v>188</v>
      </c>
      <c r="L11" s="579" t="s">
        <v>73</v>
      </c>
      <c r="M11" s="564" t="s">
        <v>301</v>
      </c>
      <c r="N11" s="567" t="s">
        <v>302</v>
      </c>
      <c r="O11" s="564" t="s">
        <v>438</v>
      </c>
      <c r="P11" s="564" t="s">
        <v>189</v>
      </c>
      <c r="Q11" s="564" t="s">
        <v>190</v>
      </c>
      <c r="R11" s="567" t="s">
        <v>303</v>
      </c>
      <c r="S11" s="147" t="s">
        <v>191</v>
      </c>
      <c r="T11" s="148" t="s">
        <v>192</v>
      </c>
    </row>
    <row r="12" spans="1:20" s="110" customFormat="1" ht="18.75" customHeight="1">
      <c r="A12" s="577"/>
      <c r="B12" s="574"/>
      <c r="C12" s="571"/>
      <c r="D12" s="565"/>
      <c r="E12" s="565"/>
      <c r="F12" s="565"/>
      <c r="G12" s="565"/>
      <c r="H12" s="565"/>
      <c r="I12" s="565"/>
      <c r="J12" s="588"/>
      <c r="K12" s="580"/>
      <c r="L12" s="580"/>
      <c r="M12" s="565"/>
      <c r="N12" s="568"/>
      <c r="O12" s="565"/>
      <c r="P12" s="565"/>
      <c r="Q12" s="565"/>
      <c r="R12" s="568"/>
      <c r="S12" s="600" t="s">
        <v>193</v>
      </c>
      <c r="T12" s="601"/>
    </row>
    <row r="13" spans="1:20" s="110" customFormat="1" ht="20.25" customHeight="1" thickBot="1">
      <c r="A13" s="578"/>
      <c r="B13" s="575"/>
      <c r="C13" s="572"/>
      <c r="D13" s="566"/>
      <c r="E13" s="566"/>
      <c r="F13" s="566"/>
      <c r="G13" s="566"/>
      <c r="H13" s="566"/>
      <c r="I13" s="566"/>
      <c r="J13" s="589"/>
      <c r="K13" s="581"/>
      <c r="L13" s="581"/>
      <c r="M13" s="566"/>
      <c r="N13" s="569"/>
      <c r="O13" s="566"/>
      <c r="P13" s="566"/>
      <c r="Q13" s="566"/>
      <c r="R13" s="569"/>
      <c r="S13" s="562"/>
      <c r="T13" s="563"/>
    </row>
    <row r="14" spans="1:20" s="109" customFormat="1" ht="30">
      <c r="A14" s="311" t="s">
        <v>42</v>
      </c>
      <c r="B14" s="309" t="s">
        <v>194</v>
      </c>
      <c r="C14" s="111" t="s">
        <v>195</v>
      </c>
      <c r="D14" s="284">
        <f>J14+N14+P14+Q14</f>
        <v>40017948</v>
      </c>
      <c r="E14" s="276">
        <f>12211918+223498+213782</f>
        <v>12649198</v>
      </c>
      <c r="F14" s="277">
        <f>2546152+39112+37412</f>
        <v>2622676</v>
      </c>
      <c r="G14" s="277">
        <v>3576389</v>
      </c>
      <c r="H14" s="277"/>
      <c r="I14" s="277">
        <f>6548586-1200000+18481786+76000-110720-35560-418941-75000-74200+74200+330000+89209-2567275-50000</f>
        <v>21068085</v>
      </c>
      <c r="J14" s="278">
        <f>SUM(E14:I14)</f>
        <v>39916348</v>
      </c>
      <c r="K14" s="279">
        <v>101600</v>
      </c>
      <c r="L14" s="279"/>
      <c r="M14" s="279"/>
      <c r="N14" s="280">
        <f>SUM(K14:M14)</f>
        <v>101600</v>
      </c>
      <c r="O14" s="280"/>
      <c r="P14" s="281"/>
      <c r="Q14" s="282"/>
      <c r="R14" s="282"/>
      <c r="S14" s="316">
        <f>0.5+0.1+0.2-0.3</f>
        <v>0.5</v>
      </c>
      <c r="T14" s="317">
        <v>0.5</v>
      </c>
    </row>
    <row r="15" spans="1:20" s="109" customFormat="1" ht="15">
      <c r="A15" s="311" t="s">
        <v>25</v>
      </c>
      <c r="B15" s="272" t="s">
        <v>196</v>
      </c>
      <c r="C15" s="111" t="s">
        <v>34</v>
      </c>
      <c r="D15" s="284">
        <f>J15+N15+P15+Q15</f>
        <v>68150</v>
      </c>
      <c r="E15" s="276"/>
      <c r="F15" s="277"/>
      <c r="G15" s="277">
        <v>68150</v>
      </c>
      <c r="H15" s="277"/>
      <c r="I15" s="277"/>
      <c r="J15" s="278">
        <f>SUM(E15:I15)</f>
        <v>68150</v>
      </c>
      <c r="K15" s="279"/>
      <c r="L15" s="279"/>
      <c r="M15" s="279"/>
      <c r="N15" s="280"/>
      <c r="O15" s="280"/>
      <c r="P15" s="281"/>
      <c r="Q15" s="282"/>
      <c r="R15" s="282"/>
      <c r="S15" s="318"/>
      <c r="T15" s="319"/>
    </row>
    <row r="16" spans="1:20" s="109" customFormat="1" ht="29.25" customHeight="1">
      <c r="A16" s="311" t="s">
        <v>43</v>
      </c>
      <c r="B16" s="272" t="s">
        <v>197</v>
      </c>
      <c r="C16" s="111" t="s">
        <v>198</v>
      </c>
      <c r="D16" s="284">
        <f>J16+N16+R16</f>
        <v>1482890</v>
      </c>
      <c r="E16" s="276"/>
      <c r="F16" s="277"/>
      <c r="G16" s="277">
        <v>282890</v>
      </c>
      <c r="H16" s="277"/>
      <c r="I16" s="277"/>
      <c r="J16" s="278">
        <f>SUM(E16:I16)</f>
        <v>282890</v>
      </c>
      <c r="K16" s="279">
        <v>1200000</v>
      </c>
      <c r="L16" s="279"/>
      <c r="M16" s="279"/>
      <c r="N16" s="280">
        <f>SUM(K16:M16)</f>
        <v>1200000</v>
      </c>
      <c r="O16" s="280"/>
      <c r="P16" s="281"/>
      <c r="Q16" s="282"/>
      <c r="R16" s="282"/>
      <c r="S16" s="320"/>
      <c r="T16" s="319"/>
    </row>
    <row r="17" spans="1:20" s="109" customFormat="1" ht="30" customHeight="1">
      <c r="A17" s="311" t="s">
        <v>99</v>
      </c>
      <c r="B17" s="272" t="s">
        <v>294</v>
      </c>
      <c r="C17" s="111" t="s">
        <v>295</v>
      </c>
      <c r="D17" s="284">
        <f>J17+N17+R17</f>
        <v>1243566</v>
      </c>
      <c r="E17" s="276"/>
      <c r="F17" s="277"/>
      <c r="G17" s="277"/>
      <c r="H17" s="277"/>
      <c r="I17" s="277">
        <v>3000</v>
      </c>
      <c r="J17" s="278">
        <f>SUM(E17:I17)</f>
        <v>3000</v>
      </c>
      <c r="K17" s="279"/>
      <c r="L17" s="279"/>
      <c r="M17" s="279"/>
      <c r="N17" s="280">
        <f>SUM(K17:M17)</f>
        <v>0</v>
      </c>
      <c r="O17" s="280">
        <v>1240566</v>
      </c>
      <c r="P17" s="281"/>
      <c r="Q17" s="282"/>
      <c r="R17" s="282">
        <f>O17+P17+Q17</f>
        <v>1240566</v>
      </c>
      <c r="S17" s="316"/>
      <c r="T17" s="319"/>
    </row>
    <row r="18" spans="1:20" s="109" customFormat="1" ht="18.75" customHeight="1">
      <c r="A18" s="311" t="s">
        <v>100</v>
      </c>
      <c r="B18" s="272" t="s">
        <v>527</v>
      </c>
      <c r="C18" s="111" t="s">
        <v>528</v>
      </c>
      <c r="D18" s="284">
        <f>J18+N18+R18</f>
        <v>0</v>
      </c>
      <c r="E18" s="276"/>
      <c r="F18" s="277"/>
      <c r="G18" s="277"/>
      <c r="H18" s="277"/>
      <c r="I18" s="277"/>
      <c r="J18" s="278">
        <f>SUM(E18:I18)</f>
        <v>0</v>
      </c>
      <c r="K18" s="279"/>
      <c r="L18" s="279"/>
      <c r="M18" s="279"/>
      <c r="N18" s="280"/>
      <c r="O18" s="280"/>
      <c r="P18" s="281"/>
      <c r="Q18" s="282"/>
      <c r="R18" s="282"/>
      <c r="S18" s="316"/>
      <c r="T18" s="319"/>
    </row>
    <row r="19" spans="1:20" s="109" customFormat="1" ht="30" customHeight="1">
      <c r="A19" s="311" t="s">
        <v>106</v>
      </c>
      <c r="B19" s="272" t="s">
        <v>468</v>
      </c>
      <c r="C19" s="111" t="s">
        <v>469</v>
      </c>
      <c r="D19" s="284">
        <f>J19+N19+R19</f>
        <v>20042172</v>
      </c>
      <c r="E19" s="276"/>
      <c r="F19" s="277"/>
      <c r="G19" s="277">
        <v>127000</v>
      </c>
      <c r="H19" s="277"/>
      <c r="I19" s="277"/>
      <c r="J19" s="278">
        <f>SUM(E19:I19)</f>
        <v>127000</v>
      </c>
      <c r="K19" s="279"/>
      <c r="L19" s="279">
        <f>2800007+11455031+3092859+2567275</f>
        <v>19915172</v>
      </c>
      <c r="M19" s="279"/>
      <c r="N19" s="280">
        <f>SUM(K19:M19)</f>
        <v>19915172</v>
      </c>
      <c r="O19" s="280"/>
      <c r="P19" s="281"/>
      <c r="Q19" s="282"/>
      <c r="R19" s="282"/>
      <c r="S19" s="316"/>
      <c r="T19" s="319"/>
    </row>
    <row r="20" spans="1:20" s="109" customFormat="1" ht="30">
      <c r="A20" s="311" t="s">
        <v>240</v>
      </c>
      <c r="B20" s="272" t="s">
        <v>199</v>
      </c>
      <c r="C20" s="111" t="s">
        <v>200</v>
      </c>
      <c r="D20" s="284">
        <f>J20+N20+P20+Q20</f>
        <v>26670</v>
      </c>
      <c r="E20" s="276"/>
      <c r="F20" s="277"/>
      <c r="G20" s="277">
        <v>26670</v>
      </c>
      <c r="H20" s="277"/>
      <c r="I20" s="277"/>
      <c r="J20" s="278">
        <f>SUM(E20:I20)</f>
        <v>26670</v>
      </c>
      <c r="K20" s="279"/>
      <c r="L20" s="279"/>
      <c r="M20" s="279"/>
      <c r="N20" s="280">
        <f>SUM(K20:M20)</f>
        <v>0</v>
      </c>
      <c r="O20" s="280"/>
      <c r="P20" s="281"/>
      <c r="Q20" s="282"/>
      <c r="R20" s="282"/>
      <c r="S20" s="316"/>
      <c r="T20" s="319"/>
    </row>
    <row r="21" spans="1:20" s="109" customFormat="1" ht="15">
      <c r="A21" s="311" t="s">
        <v>242</v>
      </c>
      <c r="B21" s="272" t="s">
        <v>444</v>
      </c>
      <c r="C21" s="111" t="s">
        <v>445</v>
      </c>
      <c r="D21" s="284">
        <f>J21+N21+P21+Q21</f>
        <v>54864</v>
      </c>
      <c r="E21" s="276"/>
      <c r="F21" s="277"/>
      <c r="G21" s="277">
        <v>54864</v>
      </c>
      <c r="H21" s="277"/>
      <c r="I21" s="277"/>
      <c r="J21" s="278">
        <f>SUM(E21:I21)</f>
        <v>54864</v>
      </c>
      <c r="K21" s="279"/>
      <c r="L21" s="279"/>
      <c r="M21" s="279"/>
      <c r="N21" s="280">
        <f>SUM(K21:M21)</f>
        <v>0</v>
      </c>
      <c r="O21" s="280"/>
      <c r="P21" s="281"/>
      <c r="Q21" s="282"/>
      <c r="R21" s="282"/>
      <c r="S21" s="316"/>
      <c r="T21" s="319"/>
    </row>
    <row r="22" spans="1:20" s="109" customFormat="1" ht="30">
      <c r="A22" s="311" t="s">
        <v>244</v>
      </c>
      <c r="B22" s="272" t="s">
        <v>201</v>
      </c>
      <c r="C22" s="111" t="s">
        <v>202</v>
      </c>
      <c r="D22" s="284">
        <f>J22+N22+P22+Q22</f>
        <v>6702360</v>
      </c>
      <c r="E22" s="276"/>
      <c r="F22" s="277"/>
      <c r="G22" s="277">
        <v>5775419</v>
      </c>
      <c r="H22" s="277"/>
      <c r="I22" s="277"/>
      <c r="J22" s="278">
        <f>SUM(E22:I22)</f>
        <v>5775419</v>
      </c>
      <c r="K22" s="279"/>
      <c r="L22" s="279">
        <f>508000+418941</f>
        <v>926941</v>
      </c>
      <c r="M22" s="279"/>
      <c r="N22" s="280">
        <f>SUM(K22:M22)</f>
        <v>926941</v>
      </c>
      <c r="O22" s="280"/>
      <c r="P22" s="281"/>
      <c r="Q22" s="282"/>
      <c r="R22" s="282"/>
      <c r="S22" s="320"/>
      <c r="T22" s="319"/>
    </row>
    <row r="23" spans="1:20" s="109" customFormat="1" ht="15">
      <c r="A23" s="311" t="s">
        <v>250</v>
      </c>
      <c r="B23" s="272" t="s">
        <v>203</v>
      </c>
      <c r="C23" s="111" t="s">
        <v>204</v>
      </c>
      <c r="D23" s="284">
        <f>J23+N23+P23+Q23</f>
        <v>2000000</v>
      </c>
      <c r="E23" s="276"/>
      <c r="F23" s="277"/>
      <c r="G23" s="277"/>
      <c r="H23" s="277"/>
      <c r="I23" s="277"/>
      <c r="J23" s="278"/>
      <c r="K23" s="279"/>
      <c r="L23" s="279"/>
      <c r="M23" s="279">
        <v>2000000</v>
      </c>
      <c r="N23" s="280">
        <f>SUM(K23:M23)</f>
        <v>2000000</v>
      </c>
      <c r="O23" s="280"/>
      <c r="P23" s="281"/>
      <c r="Q23" s="282"/>
      <c r="R23" s="282"/>
      <c r="S23" s="320"/>
      <c r="T23" s="319"/>
    </row>
    <row r="24" spans="1:20" s="109" customFormat="1" ht="15">
      <c r="A24" s="311" t="s">
        <v>252</v>
      </c>
      <c r="B24" s="272" t="s">
        <v>205</v>
      </c>
      <c r="C24" s="111" t="s">
        <v>206</v>
      </c>
      <c r="D24" s="284">
        <f>J24+N24+P24+Q24</f>
        <v>1910715</v>
      </c>
      <c r="E24" s="276"/>
      <c r="F24" s="277"/>
      <c r="G24" s="277">
        <v>1910715</v>
      </c>
      <c r="H24" s="279"/>
      <c r="I24" s="277"/>
      <c r="J24" s="278">
        <f>SUM(E24:I24)</f>
        <v>1910715</v>
      </c>
      <c r="K24" s="279"/>
      <c r="L24" s="279"/>
      <c r="M24" s="279"/>
      <c r="N24" s="280"/>
      <c r="O24" s="280"/>
      <c r="P24" s="281"/>
      <c r="Q24" s="282"/>
      <c r="R24" s="282"/>
      <c r="S24" s="320"/>
      <c r="T24" s="319"/>
    </row>
    <row r="25" spans="1:20" s="109" customFormat="1" ht="15">
      <c r="A25" s="311" t="s">
        <v>254</v>
      </c>
      <c r="B25" s="272" t="s">
        <v>207</v>
      </c>
      <c r="C25" s="111" t="s">
        <v>208</v>
      </c>
      <c r="D25" s="284">
        <f>J25+N25+P25+Q25</f>
        <v>381000</v>
      </c>
      <c r="E25" s="276"/>
      <c r="F25" s="277"/>
      <c r="G25" s="277">
        <v>381000</v>
      </c>
      <c r="H25" s="279"/>
      <c r="I25" s="277"/>
      <c r="J25" s="278">
        <f>SUM(E25:I25)</f>
        <v>381000</v>
      </c>
      <c r="K25" s="279"/>
      <c r="L25" s="279"/>
      <c r="M25" s="279"/>
      <c r="N25" s="280"/>
      <c r="O25" s="280"/>
      <c r="P25" s="281"/>
      <c r="Q25" s="282"/>
      <c r="R25" s="282"/>
      <c r="S25" s="320"/>
      <c r="T25" s="319"/>
    </row>
    <row r="26" spans="1:20" s="109" customFormat="1" ht="22.5" customHeight="1">
      <c r="A26" s="311" t="s">
        <v>259</v>
      </c>
      <c r="B26" s="272" t="s">
        <v>209</v>
      </c>
      <c r="C26" s="111" t="s">
        <v>210</v>
      </c>
      <c r="D26" s="284">
        <f>J26+N26+P26+Q26</f>
        <v>96752187</v>
      </c>
      <c r="E26" s="276">
        <v>2371000</v>
      </c>
      <c r="F26" s="277">
        <v>470445</v>
      </c>
      <c r="G26" s="277">
        <v>1082855</v>
      </c>
      <c r="H26" s="279"/>
      <c r="I26" s="277"/>
      <c r="J26" s="278">
        <f>SUM(E26:I26)</f>
        <v>3924300</v>
      </c>
      <c r="K26" s="279">
        <f>7741929+109982+1999880</f>
        <v>9851791</v>
      </c>
      <c r="L26" s="279">
        <f>4988001+77988095</f>
        <v>82976096</v>
      </c>
      <c r="M26" s="279"/>
      <c r="N26" s="280">
        <f>SUM(K26:M26)</f>
        <v>92827887</v>
      </c>
      <c r="O26" s="280"/>
      <c r="P26" s="281"/>
      <c r="Q26" s="282"/>
      <c r="R26" s="282"/>
      <c r="S26" s="320">
        <v>1</v>
      </c>
      <c r="T26" s="319">
        <v>1</v>
      </c>
    </row>
    <row r="27" spans="1:20" s="109" customFormat="1" ht="15">
      <c r="A27" s="311" t="s">
        <v>261</v>
      </c>
      <c r="B27" s="272" t="s">
        <v>211</v>
      </c>
      <c r="C27" s="111" t="s">
        <v>32</v>
      </c>
      <c r="D27" s="284">
        <f>J27+N27+P27+Q27</f>
        <v>3044314</v>
      </c>
      <c r="E27" s="276"/>
      <c r="F27" s="277"/>
      <c r="G27" s="277">
        <v>125730</v>
      </c>
      <c r="H27" s="279"/>
      <c r="I27" s="277"/>
      <c r="J27" s="278">
        <f>SUM(E27:I27)</f>
        <v>125730</v>
      </c>
      <c r="K27" s="279">
        <v>2918584</v>
      </c>
      <c r="L27" s="279"/>
      <c r="M27" s="279"/>
      <c r="N27" s="280">
        <f>SUM(K27:M27)</f>
        <v>2918584</v>
      </c>
      <c r="O27" s="280"/>
      <c r="P27" s="281"/>
      <c r="Q27" s="282"/>
      <c r="R27" s="282"/>
      <c r="S27" s="320"/>
      <c r="T27" s="319"/>
    </row>
    <row r="28" spans="1:20" s="109" customFormat="1" ht="31.5" customHeight="1">
      <c r="A28" s="311" t="s">
        <v>263</v>
      </c>
      <c r="B28" s="272" t="s">
        <v>212</v>
      </c>
      <c r="C28" s="111" t="s">
        <v>213</v>
      </c>
      <c r="D28" s="284">
        <f>J28+N28+P28+Q28</f>
        <v>800000</v>
      </c>
      <c r="E28" s="276"/>
      <c r="F28" s="277"/>
      <c r="G28" s="277"/>
      <c r="H28" s="277"/>
      <c r="I28" s="277">
        <f>675000+75000+50000</f>
        <v>800000</v>
      </c>
      <c r="J28" s="278">
        <f>SUM(E28:I28)</f>
        <v>800000</v>
      </c>
      <c r="K28" s="279"/>
      <c r="L28" s="279"/>
      <c r="M28" s="279"/>
      <c r="N28" s="280">
        <f>SUM(K28:M28)</f>
        <v>0</v>
      </c>
      <c r="O28" s="280"/>
      <c r="P28" s="281"/>
      <c r="Q28" s="282"/>
      <c r="R28" s="282"/>
      <c r="S28" s="320"/>
      <c r="T28" s="319"/>
    </row>
    <row r="29" spans="1:20" s="109" customFormat="1" ht="15">
      <c r="A29" s="311" t="s">
        <v>270</v>
      </c>
      <c r="B29" s="272" t="s">
        <v>214</v>
      </c>
      <c r="C29" s="111" t="s">
        <v>35</v>
      </c>
      <c r="D29" s="284">
        <f>J29+N29+P29+Q29</f>
        <v>1007778</v>
      </c>
      <c r="E29" s="276">
        <v>622300</v>
      </c>
      <c r="F29" s="277">
        <v>122969</v>
      </c>
      <c r="G29" s="277">
        <v>82550</v>
      </c>
      <c r="H29" s="277"/>
      <c r="I29" s="277"/>
      <c r="J29" s="278">
        <f>SUM(E29:I29)</f>
        <v>827819</v>
      </c>
      <c r="K29" s="279">
        <v>179959</v>
      </c>
      <c r="L29" s="279"/>
      <c r="M29" s="279"/>
      <c r="N29" s="280">
        <f>SUM(K29:M29)</f>
        <v>179959</v>
      </c>
      <c r="O29" s="280"/>
      <c r="P29" s="281"/>
      <c r="Q29" s="282"/>
      <c r="R29" s="282"/>
      <c r="S29" s="320">
        <v>0.2</v>
      </c>
      <c r="T29" s="319">
        <v>0.2</v>
      </c>
    </row>
    <row r="30" spans="1:20" s="109" customFormat="1" ht="30">
      <c r="A30" s="311" t="s">
        <v>273</v>
      </c>
      <c r="B30" s="272" t="s">
        <v>439</v>
      </c>
      <c r="C30" s="111" t="s">
        <v>440</v>
      </c>
      <c r="D30" s="284">
        <f>J30+N30+P30+Q30</f>
        <v>2716783</v>
      </c>
      <c r="E30" s="276">
        <v>1733450</v>
      </c>
      <c r="F30" s="277">
        <v>184453</v>
      </c>
      <c r="G30" s="277">
        <f>698880+100000</f>
        <v>798880</v>
      </c>
      <c r="H30" s="277"/>
      <c r="I30" s="277"/>
      <c r="J30" s="278">
        <f>SUM(E30:I30)</f>
        <v>2716783</v>
      </c>
      <c r="K30" s="279"/>
      <c r="L30" s="279"/>
      <c r="M30" s="279"/>
      <c r="N30" s="280">
        <f>SUM(K30:M30)</f>
        <v>0</v>
      </c>
      <c r="O30" s="280"/>
      <c r="P30" s="281"/>
      <c r="Q30" s="282"/>
      <c r="R30" s="282"/>
      <c r="S30" s="320">
        <f>0.3</f>
        <v>0.3</v>
      </c>
      <c r="T30" s="319">
        <v>0.3</v>
      </c>
    </row>
    <row r="31" spans="1:20" s="109" customFormat="1" ht="15">
      <c r="A31" s="311" t="s">
        <v>275</v>
      </c>
      <c r="B31" s="272" t="s">
        <v>441</v>
      </c>
      <c r="C31" s="111" t="s">
        <v>442</v>
      </c>
      <c r="D31" s="284">
        <f>J31+N31+P31+Q31</f>
        <v>376835</v>
      </c>
      <c r="E31" s="276">
        <v>320000</v>
      </c>
      <c r="F31" s="277">
        <v>56835</v>
      </c>
      <c r="G31" s="277"/>
      <c r="H31" s="277"/>
      <c r="I31" s="277"/>
      <c r="J31" s="278">
        <f>SUM(E31:I31)</f>
        <v>376835</v>
      </c>
      <c r="K31" s="279"/>
      <c r="L31" s="279"/>
      <c r="M31" s="279"/>
      <c r="N31" s="280">
        <f>SUM(K31:M31)</f>
        <v>0</v>
      </c>
      <c r="O31" s="280"/>
      <c r="P31" s="281"/>
      <c r="Q31" s="282"/>
      <c r="R31" s="282"/>
      <c r="S31" s="320"/>
      <c r="T31" s="319"/>
    </row>
    <row r="32" spans="1:20" s="109" customFormat="1" ht="15">
      <c r="A32" s="311" t="s">
        <v>347</v>
      </c>
      <c r="B32" s="272" t="s">
        <v>215</v>
      </c>
      <c r="C32" s="111" t="s">
        <v>33</v>
      </c>
      <c r="D32" s="284">
        <f>J32+N32+P32+Q32</f>
        <v>290000</v>
      </c>
      <c r="E32" s="276"/>
      <c r="F32" s="277"/>
      <c r="G32" s="277"/>
      <c r="H32" s="277"/>
      <c r="I32" s="277">
        <v>290000</v>
      </c>
      <c r="J32" s="278">
        <f>SUM(E32:I32)</f>
        <v>290000</v>
      </c>
      <c r="K32" s="279"/>
      <c r="L32" s="279"/>
      <c r="M32" s="279"/>
      <c r="N32" s="280">
        <f>SUM(K32:M32)</f>
        <v>0</v>
      </c>
      <c r="O32" s="280"/>
      <c r="P32" s="281"/>
      <c r="Q32" s="282"/>
      <c r="R32" s="282"/>
      <c r="S32" s="320"/>
      <c r="T32" s="319"/>
    </row>
    <row r="33" spans="1:20" s="109" customFormat="1" ht="15">
      <c r="A33" s="311" t="s">
        <v>349</v>
      </c>
      <c r="B33" s="272" t="s">
        <v>216</v>
      </c>
      <c r="C33" s="111" t="s">
        <v>217</v>
      </c>
      <c r="D33" s="284">
        <f>J33+N33+P33+Q33</f>
        <v>50000</v>
      </c>
      <c r="E33" s="276"/>
      <c r="F33" s="277"/>
      <c r="G33" s="277"/>
      <c r="H33" s="277"/>
      <c r="I33" s="277">
        <v>50000</v>
      </c>
      <c r="J33" s="278">
        <f>SUM(E33:I33)</f>
        <v>50000</v>
      </c>
      <c r="K33" s="279"/>
      <c r="L33" s="279"/>
      <c r="M33" s="279"/>
      <c r="N33" s="280">
        <f>SUM(K33:M33)</f>
        <v>0</v>
      </c>
      <c r="O33" s="280"/>
      <c r="P33" s="281"/>
      <c r="Q33" s="282"/>
      <c r="R33" s="282"/>
      <c r="S33" s="320"/>
      <c r="T33" s="319"/>
    </row>
    <row r="34" spans="1:20" s="109" customFormat="1" ht="30">
      <c r="A34" s="311" t="s">
        <v>471</v>
      </c>
      <c r="B34" s="272">
        <v>104051</v>
      </c>
      <c r="C34" s="111" t="s">
        <v>355</v>
      </c>
      <c r="D34" s="284">
        <f>J34+N34+P34+Q34</f>
        <v>46400</v>
      </c>
      <c r="E34" s="276"/>
      <c r="F34" s="277"/>
      <c r="G34" s="277"/>
      <c r="H34" s="277">
        <v>46400</v>
      </c>
      <c r="I34" s="277"/>
      <c r="J34" s="278">
        <f>SUM(E34:I34)</f>
        <v>46400</v>
      </c>
      <c r="K34" s="279"/>
      <c r="L34" s="279"/>
      <c r="M34" s="279"/>
      <c r="N34" s="280">
        <f>SUM(K34:M34)</f>
        <v>0</v>
      </c>
      <c r="O34" s="280"/>
      <c r="P34" s="281"/>
      <c r="Q34" s="282"/>
      <c r="R34" s="282"/>
      <c r="S34" s="320"/>
      <c r="T34" s="319"/>
    </row>
    <row r="35" spans="1:20" s="109" customFormat="1" ht="15">
      <c r="A35" s="311" t="s">
        <v>472</v>
      </c>
      <c r="B35" s="272">
        <v>107052</v>
      </c>
      <c r="C35" s="114" t="s">
        <v>219</v>
      </c>
      <c r="D35" s="284">
        <f>J35+N35+P35+Q35</f>
        <v>1313000</v>
      </c>
      <c r="E35" s="276"/>
      <c r="F35" s="277"/>
      <c r="G35" s="277">
        <v>113000</v>
      </c>
      <c r="H35" s="277"/>
      <c r="I35" s="277">
        <v>1200000</v>
      </c>
      <c r="J35" s="278">
        <f>SUM(E35:I35)</f>
        <v>1313000</v>
      </c>
      <c r="K35" s="279"/>
      <c r="L35" s="279"/>
      <c r="M35" s="279"/>
      <c r="N35" s="280">
        <f>SUM(K35:M35)</f>
        <v>0</v>
      </c>
      <c r="O35" s="280"/>
      <c r="P35" s="281"/>
      <c r="Q35" s="282"/>
      <c r="R35" s="282"/>
      <c r="S35" s="320"/>
      <c r="T35" s="319"/>
    </row>
    <row r="36" spans="1:20" s="109" customFormat="1" ht="27.75" customHeight="1" thickBot="1">
      <c r="A36" s="311" t="s">
        <v>473</v>
      </c>
      <c r="B36" s="272">
        <v>107060</v>
      </c>
      <c r="C36" s="111" t="s">
        <v>220</v>
      </c>
      <c r="D36" s="284">
        <f>J36+N36+P36+Q36</f>
        <v>4839490</v>
      </c>
      <c r="E36" s="276"/>
      <c r="F36" s="277"/>
      <c r="G36" s="277">
        <f>1176000+35560+582930</f>
        <v>1794490</v>
      </c>
      <c r="H36" s="277">
        <v>3015000</v>
      </c>
      <c r="I36" s="277">
        <v>30000</v>
      </c>
      <c r="J36" s="278">
        <f>SUM(E36:I36)</f>
        <v>4839490</v>
      </c>
      <c r="K36" s="279"/>
      <c r="L36" s="279"/>
      <c r="M36" s="279"/>
      <c r="N36" s="280">
        <f>SUM(K36:M36)</f>
        <v>0</v>
      </c>
      <c r="O36" s="280"/>
      <c r="P36" s="281"/>
      <c r="Q36" s="282"/>
      <c r="R36" s="282"/>
      <c r="S36" s="316"/>
      <c r="T36" s="319"/>
    </row>
    <row r="37" spans="1:20" ht="15" thickBot="1">
      <c r="A37" s="343" t="s">
        <v>474</v>
      </c>
      <c r="B37" s="310"/>
      <c r="C37" s="157" t="s">
        <v>529</v>
      </c>
      <c r="D37" s="283">
        <f>SUM(D14:D36)</f>
        <v>185167122</v>
      </c>
      <c r="E37" s="283">
        <f>SUM(E14:E36)</f>
        <v>17695948</v>
      </c>
      <c r="F37" s="283">
        <f>SUM(F14:F36)</f>
        <v>3457378</v>
      </c>
      <c r="G37" s="283">
        <f>SUM(G14:G36)</f>
        <v>16200602</v>
      </c>
      <c r="H37" s="283">
        <f>SUM(H14:H36)</f>
        <v>3061400</v>
      </c>
      <c r="I37" s="283">
        <f>SUM(I14:I36)</f>
        <v>23441085</v>
      </c>
      <c r="J37" s="283">
        <f>SUM(J14:J36)</f>
        <v>63856413</v>
      </c>
      <c r="K37" s="283">
        <f>SUM(K14:K36)</f>
        <v>14251934</v>
      </c>
      <c r="L37" s="283">
        <f>SUM(L14:L36)</f>
        <v>103818209</v>
      </c>
      <c r="M37" s="283">
        <f>SUM(M14:M36)</f>
        <v>2000000</v>
      </c>
      <c r="N37" s="283">
        <f>SUM(N14:N36)</f>
        <v>120070143</v>
      </c>
      <c r="O37" s="283">
        <f>SUM(O14:O36)</f>
        <v>1240566</v>
      </c>
      <c r="P37" s="283">
        <f>SUM(P14:P36)</f>
        <v>0</v>
      </c>
      <c r="Q37" s="283">
        <f>SUM(Q14:Q36)</f>
        <v>0</v>
      </c>
      <c r="R37" s="283">
        <f>SUM(R14:R36)</f>
        <v>1240566</v>
      </c>
      <c r="S37" s="321">
        <f>SUM(S14:S36)</f>
        <v>2</v>
      </c>
      <c r="T37" s="321">
        <f>SUM(T14:T36)</f>
        <v>2</v>
      </c>
    </row>
    <row r="38" spans="1:20" ht="14.25">
      <c r="A38" s="369"/>
      <c r="B38" s="347"/>
      <c r="C38" s="347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9"/>
      <c r="T38" s="349"/>
    </row>
    <row r="39" spans="1:20" ht="15">
      <c r="A39" s="370" t="s">
        <v>475</v>
      </c>
      <c r="B39" s="272" t="s">
        <v>527</v>
      </c>
      <c r="C39" s="111" t="s">
        <v>528</v>
      </c>
      <c r="D39" s="329">
        <f>J39+N39+P39+Q39</f>
        <v>1192441</v>
      </c>
      <c r="E39" s="371">
        <f>163060+236083+179195+55257+244590+187007</f>
        <v>1065192</v>
      </c>
      <c r="F39" s="371">
        <f>15898+23018+34943+23847+29543</f>
        <v>127249</v>
      </c>
      <c r="G39" s="371"/>
      <c r="H39" s="371"/>
      <c r="I39" s="371"/>
      <c r="J39" s="278">
        <f>SUM(E39:I39)</f>
        <v>1192441</v>
      </c>
      <c r="K39" s="371"/>
      <c r="L39" s="371"/>
      <c r="M39" s="371"/>
      <c r="N39" s="371"/>
      <c r="O39" s="371"/>
      <c r="P39" s="371"/>
      <c r="Q39" s="371"/>
      <c r="R39" s="371"/>
      <c r="S39" s="372"/>
      <c r="T39" s="372"/>
    </row>
    <row r="40" spans="1:20" ht="15">
      <c r="A40" s="311" t="s">
        <v>577</v>
      </c>
      <c r="B40" s="272" t="s">
        <v>296</v>
      </c>
      <c r="C40" s="111" t="s">
        <v>297</v>
      </c>
      <c r="D40" s="329">
        <f>J40+N40+P40+Q40</f>
        <v>7744033</v>
      </c>
      <c r="E40" s="328">
        <f>2942420-35257</f>
        <v>2907163</v>
      </c>
      <c r="F40" s="277">
        <v>561916</v>
      </c>
      <c r="G40" s="277">
        <f>3900846+374108</f>
        <v>4274954</v>
      </c>
      <c r="H40" s="277"/>
      <c r="I40" s="277"/>
      <c r="J40" s="278">
        <f>SUM(E40:I40)</f>
        <v>7744033</v>
      </c>
      <c r="K40" s="279"/>
      <c r="L40" s="279"/>
      <c r="M40" s="279"/>
      <c r="N40" s="280">
        <f>SUM(K40:M40)</f>
        <v>0</v>
      </c>
      <c r="O40" s="280"/>
      <c r="P40" s="281"/>
      <c r="Q40" s="282"/>
      <c r="R40" s="282"/>
      <c r="S40" s="320">
        <v>1</v>
      </c>
      <c r="T40" s="319">
        <v>1</v>
      </c>
    </row>
    <row r="41" spans="1:20" ht="30">
      <c r="A41" s="311" t="s">
        <v>477</v>
      </c>
      <c r="B41" s="272" t="s">
        <v>298</v>
      </c>
      <c r="C41" s="111" t="s">
        <v>299</v>
      </c>
      <c r="D41" s="330">
        <f>J41+N41+P41+Q41</f>
        <v>1550813</v>
      </c>
      <c r="E41" s="328">
        <v>565850</v>
      </c>
      <c r="F41" s="277">
        <v>108061</v>
      </c>
      <c r="G41" s="277">
        <f>804958+71944</f>
        <v>876902</v>
      </c>
      <c r="H41" s="277"/>
      <c r="I41" s="277"/>
      <c r="J41" s="278">
        <f>SUM(E41:I41)</f>
        <v>1550813</v>
      </c>
      <c r="K41" s="279"/>
      <c r="L41" s="279"/>
      <c r="M41" s="279"/>
      <c r="N41" s="280">
        <f>SUM(K41:M41)</f>
        <v>0</v>
      </c>
      <c r="O41" s="280"/>
      <c r="P41" s="281"/>
      <c r="Q41" s="282"/>
      <c r="R41" s="282"/>
      <c r="S41" s="320"/>
      <c r="T41" s="319"/>
    </row>
    <row r="42" spans="1:20" ht="15">
      <c r="A42" s="311" t="s">
        <v>507</v>
      </c>
      <c r="B42" s="272" t="s">
        <v>354</v>
      </c>
      <c r="C42" s="113" t="s">
        <v>443</v>
      </c>
      <c r="D42" s="330">
        <f>J42+N42+P42+Q42</f>
        <v>1762779</v>
      </c>
      <c r="E42" s="328">
        <v>622435</v>
      </c>
      <c r="F42" s="277">
        <v>118867</v>
      </c>
      <c r="G42" s="277">
        <f>942338+79139</f>
        <v>1021477</v>
      </c>
      <c r="H42" s="277"/>
      <c r="I42" s="277"/>
      <c r="J42" s="278">
        <f>SUM(E42:I42)</f>
        <v>1762779</v>
      </c>
      <c r="K42" s="279"/>
      <c r="L42" s="279"/>
      <c r="M42" s="279"/>
      <c r="N42" s="280">
        <f>SUM(K42:M42)</f>
        <v>0</v>
      </c>
      <c r="O42" s="280"/>
      <c r="P42" s="281"/>
      <c r="Q42" s="282"/>
      <c r="R42" s="282"/>
      <c r="S42" s="320"/>
      <c r="T42" s="319"/>
    </row>
    <row r="43" spans="1:20" ht="15.75" thickBot="1">
      <c r="A43" s="331" t="s">
        <v>530</v>
      </c>
      <c r="B43" s="273" t="s">
        <v>218</v>
      </c>
      <c r="C43" s="332" t="s">
        <v>353</v>
      </c>
      <c r="D43" s="333">
        <f>J43+N43+P43+Q43</f>
        <v>4258082</v>
      </c>
      <c r="E43" s="334">
        <f>1527795-20000</f>
        <v>1507795</v>
      </c>
      <c r="F43" s="335">
        <v>291764</v>
      </c>
      <c r="G43" s="335">
        <f>2264275+194248</f>
        <v>2458523</v>
      </c>
      <c r="H43" s="335"/>
      <c r="I43" s="335"/>
      <c r="J43" s="336">
        <f>SUM(E43:I43)</f>
        <v>4258082</v>
      </c>
      <c r="K43" s="337"/>
      <c r="L43" s="337"/>
      <c r="M43" s="337"/>
      <c r="N43" s="338">
        <f>SUM(K43:M43)</f>
        <v>0</v>
      </c>
      <c r="O43" s="338"/>
      <c r="P43" s="339"/>
      <c r="Q43" s="340"/>
      <c r="R43" s="340"/>
      <c r="S43" s="318">
        <v>1</v>
      </c>
      <c r="T43" s="341">
        <v>1</v>
      </c>
    </row>
    <row r="44" spans="1:20" ht="16.5" customHeight="1" thickBot="1">
      <c r="A44" s="344" t="s">
        <v>531</v>
      </c>
      <c r="B44" s="342"/>
      <c r="C44" s="345" t="s">
        <v>532</v>
      </c>
      <c r="D44" s="350">
        <f>D41+D42+D43+D40+D39</f>
        <v>16508148</v>
      </c>
      <c r="E44" s="350">
        <f>E41+E42+E43+E40+E39</f>
        <v>6668435</v>
      </c>
      <c r="F44" s="350">
        <f>F41+F42+F43+F40+F39</f>
        <v>1207857</v>
      </c>
      <c r="G44" s="350">
        <f>G41+G42+G43+G40+G39</f>
        <v>8631856</v>
      </c>
      <c r="H44" s="350">
        <f>H41+H42+H43+H40+H39</f>
        <v>0</v>
      </c>
      <c r="I44" s="350">
        <f>I41+I42+I43+I40+I39</f>
        <v>0</v>
      </c>
      <c r="J44" s="350">
        <f>J41+J42+J43+J40+J39</f>
        <v>16508148</v>
      </c>
      <c r="K44" s="350">
        <f>K41+K42+K43+K40</f>
        <v>0</v>
      </c>
      <c r="L44" s="350">
        <f>L41+L42+L43+L40</f>
        <v>0</v>
      </c>
      <c r="M44" s="350">
        <f>M41+M42+M43+M40</f>
        <v>0</v>
      </c>
      <c r="N44" s="350">
        <f>N41+N42+N43+N40</f>
        <v>0</v>
      </c>
      <c r="O44" s="350">
        <f>O41+O42+O43+O40</f>
        <v>0</v>
      </c>
      <c r="P44" s="350">
        <f>P41+P42+P43+P40</f>
        <v>0</v>
      </c>
      <c r="Q44" s="350">
        <f>Q41+Q42+Q43+Q40</f>
        <v>0</v>
      </c>
      <c r="R44" s="350">
        <f>R41+R42+R43+R40</f>
        <v>0</v>
      </c>
      <c r="S44" s="368">
        <f>S41+S42+S43+S40</f>
        <v>2</v>
      </c>
      <c r="T44" s="368">
        <f>T41+T42+T43+T40</f>
        <v>2</v>
      </c>
    </row>
    <row r="45" spans="1:20" ht="21.75" customHeight="1" thickBot="1">
      <c r="A45" s="344" t="s">
        <v>578</v>
      </c>
      <c r="B45" s="342"/>
      <c r="C45" s="346" t="s">
        <v>533</v>
      </c>
      <c r="D45" s="350">
        <f>D37+D44</f>
        <v>201675270</v>
      </c>
      <c r="E45" s="350">
        <f>E37+E44</f>
        <v>24364383</v>
      </c>
      <c r="F45" s="350">
        <f>F37+F44</f>
        <v>4665235</v>
      </c>
      <c r="G45" s="350">
        <f>G37+G44</f>
        <v>24832458</v>
      </c>
      <c r="H45" s="350">
        <f>H37+H44</f>
        <v>3061400</v>
      </c>
      <c r="I45" s="350">
        <f>I37+I44</f>
        <v>23441085</v>
      </c>
      <c r="J45" s="350">
        <f>J37+J44</f>
        <v>80364561</v>
      </c>
      <c r="K45" s="350">
        <f>K37+K44</f>
        <v>14251934</v>
      </c>
      <c r="L45" s="350">
        <f>L37+L44</f>
        <v>103818209</v>
      </c>
      <c r="M45" s="350">
        <f>M37+M44</f>
        <v>2000000</v>
      </c>
      <c r="N45" s="350">
        <f>N37+N44</f>
        <v>120070143</v>
      </c>
      <c r="O45" s="350">
        <f>O37+O44</f>
        <v>1240566</v>
      </c>
      <c r="P45" s="350">
        <f>P37+P44</f>
        <v>0</v>
      </c>
      <c r="Q45" s="350">
        <f>Q37+Q44</f>
        <v>0</v>
      </c>
      <c r="R45" s="350">
        <f>R37+R44</f>
        <v>1240566</v>
      </c>
      <c r="S45" s="368">
        <f>S37+S44</f>
        <v>4</v>
      </c>
      <c r="T45" s="368">
        <f>T37+T44</f>
        <v>4</v>
      </c>
    </row>
    <row r="47" spans="4:10" ht="12.75">
      <c r="D47" s="351"/>
      <c r="J47" s="351"/>
    </row>
    <row r="48" ht="12.75">
      <c r="D48" s="351"/>
    </row>
  </sheetData>
  <sheetProtection/>
  <mergeCells count="32">
    <mergeCell ref="B6:T6"/>
    <mergeCell ref="S9:T9"/>
    <mergeCell ref="S10:T10"/>
    <mergeCell ref="E11:E13"/>
    <mergeCell ref="O10:R10"/>
    <mergeCell ref="P11:P13"/>
    <mergeCell ref="M11:M13"/>
    <mergeCell ref="D9:D13"/>
    <mergeCell ref="S12:T13"/>
    <mergeCell ref="L11:L13"/>
    <mergeCell ref="N11:N13"/>
    <mergeCell ref="O11:O13"/>
    <mergeCell ref="B1:T1"/>
    <mergeCell ref="H11:H13"/>
    <mergeCell ref="B7:T7"/>
    <mergeCell ref="Q11:Q13"/>
    <mergeCell ref="J11:J13"/>
    <mergeCell ref="K10:N10"/>
    <mergeCell ref="B5:T5"/>
    <mergeCell ref="R11:R13"/>
    <mergeCell ref="K11:K13"/>
    <mergeCell ref="E9:R9"/>
    <mergeCell ref="A2:S2"/>
    <mergeCell ref="C9:C13"/>
    <mergeCell ref="F11:F13"/>
    <mergeCell ref="B9:B13"/>
    <mergeCell ref="A9:A13"/>
    <mergeCell ref="I11:I13"/>
    <mergeCell ref="B3:T3"/>
    <mergeCell ref="E10:J10"/>
    <mergeCell ref="G11:G13"/>
    <mergeCell ref="S8:T8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154" customWidth="1"/>
    <col min="2" max="2" width="9.125" style="154" customWidth="1"/>
    <col min="3" max="3" width="63.125" style="154" customWidth="1"/>
    <col min="4" max="4" width="24.00390625" style="154" customWidth="1"/>
    <col min="5" max="7" width="26.25390625" style="154" customWidth="1"/>
    <col min="8" max="16384" width="9.125" style="154" customWidth="1"/>
  </cols>
  <sheetData>
    <row r="1" spans="1:9" ht="15.75">
      <c r="A1" s="585" t="s">
        <v>659</v>
      </c>
      <c r="B1" s="509"/>
      <c r="C1" s="509"/>
      <c r="D1" s="509"/>
      <c r="E1" s="509"/>
      <c r="F1" s="509"/>
      <c r="G1" s="509"/>
      <c r="H1" s="392"/>
      <c r="I1" s="392"/>
    </row>
    <row r="3" spans="1:7" s="149" customFormat="1" ht="15.75">
      <c r="A3" s="538"/>
      <c r="B3" s="514"/>
      <c r="C3" s="514"/>
      <c r="D3" s="514"/>
      <c r="E3" s="514"/>
      <c r="F3" s="514"/>
      <c r="G3" s="514"/>
    </row>
    <row r="4" spans="3:7" s="65" customFormat="1" ht="15" customHeight="1">
      <c r="C4" s="539"/>
      <c r="D4" s="539"/>
      <c r="E4" s="539"/>
      <c r="F4" s="539"/>
      <c r="G4" s="539"/>
    </row>
    <row r="5" spans="4:7" s="151" customFormat="1" ht="15" customHeight="1">
      <c r="D5" s="152"/>
      <c r="E5" s="429"/>
      <c r="F5" s="429"/>
      <c r="G5" s="429"/>
    </row>
    <row r="6" spans="3:7" s="116" customFormat="1" ht="15" customHeight="1">
      <c r="C6" s="540" t="s">
        <v>39</v>
      </c>
      <c r="D6" s="540"/>
      <c r="E6" s="540"/>
      <c r="F6" s="540"/>
      <c r="G6" s="540"/>
    </row>
    <row r="7" spans="3:7" s="116" customFormat="1" ht="15.75">
      <c r="C7" s="541" t="s">
        <v>305</v>
      </c>
      <c r="D7" s="541"/>
      <c r="E7" s="541"/>
      <c r="F7" s="541"/>
      <c r="G7" s="541"/>
    </row>
    <row r="8" spans="3:7" s="116" customFormat="1" ht="15" customHeight="1">
      <c r="C8" s="540" t="s">
        <v>579</v>
      </c>
      <c r="D8" s="540"/>
      <c r="E8" s="540"/>
      <c r="F8" s="540"/>
      <c r="G8" s="540"/>
    </row>
    <row r="9" spans="3:7" s="149" customFormat="1" ht="12" customHeight="1" thickBot="1">
      <c r="C9" s="150"/>
      <c r="D9" s="153"/>
      <c r="E9" s="417"/>
      <c r="F9" s="417"/>
      <c r="G9" s="416"/>
    </row>
    <row r="10" spans="1:7" s="149" customFormat="1" ht="19.5" customHeight="1" thickBot="1">
      <c r="A10" s="607" t="s">
        <v>478</v>
      </c>
      <c r="B10" s="609" t="s">
        <v>177</v>
      </c>
      <c r="C10" s="548" t="s">
        <v>178</v>
      </c>
      <c r="D10" s="551" t="s">
        <v>306</v>
      </c>
      <c r="E10" s="554" t="s">
        <v>289</v>
      </c>
      <c r="F10" s="554"/>
      <c r="G10" s="555"/>
    </row>
    <row r="11" spans="1:7" s="149" customFormat="1" ht="33" customHeight="1" thickBot="1">
      <c r="A11" s="608"/>
      <c r="B11" s="610"/>
      <c r="C11" s="549"/>
      <c r="D11" s="552"/>
      <c r="E11" s="413" t="s">
        <v>290</v>
      </c>
      <c r="F11" s="415" t="s">
        <v>291</v>
      </c>
      <c r="G11" s="414" t="s">
        <v>292</v>
      </c>
    </row>
    <row r="12" spans="1:7" s="149" customFormat="1" ht="22.5" customHeight="1">
      <c r="A12" s="608"/>
      <c r="B12" s="610"/>
      <c r="C12" s="549"/>
      <c r="D12" s="552"/>
      <c r="E12" s="556" t="s">
        <v>293</v>
      </c>
      <c r="F12" s="557"/>
      <c r="G12" s="558"/>
    </row>
    <row r="13" spans="1:7" ht="13.5" thickBot="1">
      <c r="A13" s="608"/>
      <c r="B13" s="610"/>
      <c r="C13" s="549"/>
      <c r="D13" s="552"/>
      <c r="E13" s="604"/>
      <c r="F13" s="605"/>
      <c r="G13" s="606"/>
    </row>
    <row r="14" spans="1:7" ht="30.75" thickBot="1">
      <c r="A14" s="156" t="s">
        <v>42</v>
      </c>
      <c r="B14" s="294" t="s">
        <v>194</v>
      </c>
      <c r="C14" s="295" t="s">
        <v>195</v>
      </c>
      <c r="D14" s="428">
        <f>SUM(E14:G14)</f>
        <v>40017948</v>
      </c>
      <c r="E14" s="427">
        <f>23972872-1200000+18481786+76000-110720+330000-418941-35560-75000-74200+74200+89209-2567275-50000+262610+251194</f>
        <v>39006175</v>
      </c>
      <c r="F14" s="426">
        <v>1011773</v>
      </c>
      <c r="G14" s="425"/>
    </row>
    <row r="15" spans="1:7" ht="15">
      <c r="A15" s="275" t="s">
        <v>25</v>
      </c>
      <c r="B15" s="292" t="s">
        <v>196</v>
      </c>
      <c r="C15" s="293" t="s">
        <v>34</v>
      </c>
      <c r="D15" s="424">
        <f>SUM(E15:G15)</f>
        <v>68150</v>
      </c>
      <c r="E15" s="423">
        <v>68150</v>
      </c>
      <c r="F15" s="412"/>
      <c r="G15" s="411"/>
    </row>
    <row r="16" spans="1:7" ht="15">
      <c r="A16" s="274" t="s">
        <v>43</v>
      </c>
      <c r="B16" s="272" t="s">
        <v>197</v>
      </c>
      <c r="C16" s="111" t="s">
        <v>198</v>
      </c>
      <c r="D16" s="421">
        <f>SUM(E16:G16)</f>
        <v>1482890</v>
      </c>
      <c r="E16" s="420">
        <f>282890+1200000</f>
        <v>1482890</v>
      </c>
      <c r="F16" s="409"/>
      <c r="G16" s="408"/>
    </row>
    <row r="17" spans="1:7" ht="15">
      <c r="A17" s="274" t="s">
        <v>99</v>
      </c>
      <c r="B17" s="272" t="s">
        <v>294</v>
      </c>
      <c r="C17" s="111" t="s">
        <v>295</v>
      </c>
      <c r="D17" s="421">
        <f>SUM(E17:G17)</f>
        <v>1243566</v>
      </c>
      <c r="E17" s="420">
        <f>1240566+3000</f>
        <v>1243566</v>
      </c>
      <c r="F17" s="409"/>
      <c r="G17" s="408"/>
    </row>
    <row r="18" spans="1:7" ht="15">
      <c r="A18" s="274" t="s">
        <v>100</v>
      </c>
      <c r="B18" s="272" t="s">
        <v>527</v>
      </c>
      <c r="C18" s="111" t="s">
        <v>528</v>
      </c>
      <c r="D18" s="421">
        <f>SUM(E18:G18)</f>
        <v>0</v>
      </c>
      <c r="E18" s="420"/>
      <c r="F18" s="409"/>
      <c r="G18" s="408"/>
    </row>
    <row r="19" spans="1:7" ht="15">
      <c r="A19" s="274" t="s">
        <v>106</v>
      </c>
      <c r="B19" s="112" t="s">
        <v>468</v>
      </c>
      <c r="C19" s="111" t="s">
        <v>469</v>
      </c>
      <c r="D19" s="421">
        <f>SUM(E19:G19)</f>
        <v>20042172</v>
      </c>
      <c r="E19" s="420">
        <f>2927007+14547890+2567275</f>
        <v>20042172</v>
      </c>
      <c r="F19" s="409"/>
      <c r="G19" s="408"/>
    </row>
    <row r="20" spans="1:7" ht="27" customHeight="1">
      <c r="A20" s="274" t="s">
        <v>240</v>
      </c>
      <c r="B20" s="272" t="s">
        <v>199</v>
      </c>
      <c r="C20" s="111" t="s">
        <v>200</v>
      </c>
      <c r="D20" s="421">
        <f>SUM(E20:G20)</f>
        <v>26670</v>
      </c>
      <c r="E20" s="420">
        <v>26670</v>
      </c>
      <c r="F20" s="409"/>
      <c r="G20" s="408"/>
    </row>
    <row r="21" spans="1:7" ht="15">
      <c r="A21" s="274" t="s">
        <v>242</v>
      </c>
      <c r="B21" s="272" t="s">
        <v>444</v>
      </c>
      <c r="C21" s="111" t="s">
        <v>445</v>
      </c>
      <c r="D21" s="421">
        <f>SUM(E21:G21)</f>
        <v>54864</v>
      </c>
      <c r="E21" s="299">
        <v>54864</v>
      </c>
      <c r="F21" s="115"/>
      <c r="G21" s="296"/>
    </row>
    <row r="22" spans="1:7" ht="15">
      <c r="A22" s="274" t="s">
        <v>244</v>
      </c>
      <c r="B22" s="272" t="s">
        <v>201</v>
      </c>
      <c r="C22" s="111" t="s">
        <v>202</v>
      </c>
      <c r="D22" s="421">
        <f>SUM(E22:G22)</f>
        <v>6702360</v>
      </c>
      <c r="E22" s="420">
        <f>6283419+418941</f>
        <v>6702360</v>
      </c>
      <c r="F22" s="409"/>
      <c r="G22" s="408"/>
    </row>
    <row r="23" spans="1:7" ht="15">
      <c r="A23" s="274" t="s">
        <v>250</v>
      </c>
      <c r="B23" s="272" t="s">
        <v>203</v>
      </c>
      <c r="C23" s="111" t="s">
        <v>204</v>
      </c>
      <c r="D23" s="421">
        <f>SUM(E23:G23)</f>
        <v>2000000</v>
      </c>
      <c r="E23" s="420"/>
      <c r="F23" s="409">
        <v>2000000</v>
      </c>
      <c r="G23" s="408"/>
    </row>
    <row r="24" spans="1:7" ht="15">
      <c r="A24" s="274" t="s">
        <v>252</v>
      </c>
      <c r="B24" s="272" t="s">
        <v>205</v>
      </c>
      <c r="C24" s="111" t="s">
        <v>206</v>
      </c>
      <c r="D24" s="421">
        <f>SUM(E24:G24)</f>
        <v>1910715</v>
      </c>
      <c r="E24" s="420">
        <v>1910715</v>
      </c>
      <c r="F24" s="409"/>
      <c r="G24" s="408"/>
    </row>
    <row r="25" spans="1:7" ht="15">
      <c r="A25" s="274" t="s">
        <v>254</v>
      </c>
      <c r="B25" s="272" t="s">
        <v>207</v>
      </c>
      <c r="C25" s="111" t="s">
        <v>208</v>
      </c>
      <c r="D25" s="421">
        <f>SUM(E25:G25)</f>
        <v>381000</v>
      </c>
      <c r="E25" s="420">
        <v>381000</v>
      </c>
      <c r="F25" s="409"/>
      <c r="G25" s="408"/>
    </row>
    <row r="26" spans="1:7" ht="15">
      <c r="A26" s="274" t="s">
        <v>259</v>
      </c>
      <c r="B26" s="272" t="s">
        <v>209</v>
      </c>
      <c r="C26" s="111" t="s">
        <v>210</v>
      </c>
      <c r="D26" s="421">
        <f>SUM(E26:G26)</f>
        <v>96752187</v>
      </c>
      <c r="E26" s="420">
        <f>11666229+109982+4988001+77988095+1999880</f>
        <v>96752187</v>
      </c>
      <c r="F26" s="409"/>
      <c r="G26" s="408"/>
    </row>
    <row r="27" spans="1:7" ht="15">
      <c r="A27" s="274" t="s">
        <v>261</v>
      </c>
      <c r="B27" s="272" t="s">
        <v>211</v>
      </c>
      <c r="C27" s="111" t="s">
        <v>32</v>
      </c>
      <c r="D27" s="421">
        <f>SUM(E27:G27)</f>
        <v>3044314</v>
      </c>
      <c r="E27" s="420">
        <f>125730+2918584</f>
        <v>3044314</v>
      </c>
      <c r="F27" s="409"/>
      <c r="G27" s="408"/>
    </row>
    <row r="28" spans="1:7" ht="15">
      <c r="A28" s="274" t="s">
        <v>263</v>
      </c>
      <c r="B28" s="272" t="s">
        <v>212</v>
      </c>
      <c r="C28" s="111" t="s">
        <v>213</v>
      </c>
      <c r="D28" s="421">
        <f>SUM(E28:G28)</f>
        <v>800000</v>
      </c>
      <c r="E28" s="420">
        <f>675000+75000+50000</f>
        <v>800000</v>
      </c>
      <c r="F28" s="409"/>
      <c r="G28" s="408"/>
    </row>
    <row r="29" spans="1:7" ht="15">
      <c r="A29" s="274" t="s">
        <v>270</v>
      </c>
      <c r="B29" s="272" t="s">
        <v>214</v>
      </c>
      <c r="C29" s="111" t="s">
        <v>35</v>
      </c>
      <c r="D29" s="421">
        <f>SUM(E29:G29)</f>
        <v>1007778</v>
      </c>
      <c r="E29" s="420">
        <v>993282</v>
      </c>
      <c r="F29" s="409">
        <f>10800+1784+1912</f>
        <v>14496</v>
      </c>
      <c r="G29" s="408"/>
    </row>
    <row r="30" spans="1:7" ht="15">
      <c r="A30" s="274" t="s">
        <v>273</v>
      </c>
      <c r="B30" s="272" t="s">
        <v>439</v>
      </c>
      <c r="C30" s="111" t="s">
        <v>446</v>
      </c>
      <c r="D30" s="421">
        <f>SUM(E30:G30)</f>
        <v>2716783</v>
      </c>
      <c r="E30" s="420">
        <f>2540680+100000</f>
        <v>2640680</v>
      </c>
      <c r="F30" s="409">
        <f>16200+40500+9367+10036</f>
        <v>76103</v>
      </c>
      <c r="G30" s="408"/>
    </row>
    <row r="31" spans="1:7" ht="15">
      <c r="A31" s="274" t="s">
        <v>275</v>
      </c>
      <c r="B31" s="272" t="s">
        <v>447</v>
      </c>
      <c r="C31" s="111" t="s">
        <v>448</v>
      </c>
      <c r="D31" s="421">
        <f>SUM(E31:G31)</f>
        <v>376835</v>
      </c>
      <c r="E31" s="420">
        <v>376835</v>
      </c>
      <c r="F31" s="409"/>
      <c r="G31" s="408"/>
    </row>
    <row r="32" spans="1:7" ht="15">
      <c r="A32" s="274" t="s">
        <v>347</v>
      </c>
      <c r="B32" s="272" t="s">
        <v>215</v>
      </c>
      <c r="C32" s="111" t="s">
        <v>33</v>
      </c>
      <c r="D32" s="421">
        <f>SUM(E32:G32)</f>
        <v>290000</v>
      </c>
      <c r="E32" s="420"/>
      <c r="F32" s="409">
        <v>290000</v>
      </c>
      <c r="G32" s="408"/>
    </row>
    <row r="33" spans="1:7" ht="15">
      <c r="A33" s="274" t="s">
        <v>349</v>
      </c>
      <c r="B33" s="272" t="s">
        <v>216</v>
      </c>
      <c r="C33" s="111" t="s">
        <v>217</v>
      </c>
      <c r="D33" s="421">
        <f>SUM(E33:G33)</f>
        <v>50000</v>
      </c>
      <c r="E33" s="420"/>
      <c r="F33" s="409">
        <v>50000</v>
      </c>
      <c r="G33" s="408"/>
    </row>
    <row r="34" spans="1:7" ht="15">
      <c r="A34" s="274" t="s">
        <v>471</v>
      </c>
      <c r="B34" s="272">
        <v>104051</v>
      </c>
      <c r="C34" s="114" t="s">
        <v>355</v>
      </c>
      <c r="D34" s="421">
        <f>SUM(E34:G34)</f>
        <v>46400</v>
      </c>
      <c r="E34" s="420"/>
      <c r="F34" s="409"/>
      <c r="G34" s="408">
        <v>46400</v>
      </c>
    </row>
    <row r="35" spans="1:14" ht="15">
      <c r="A35" s="274" t="s">
        <v>472</v>
      </c>
      <c r="B35" s="272">
        <v>107052</v>
      </c>
      <c r="C35" s="114" t="s">
        <v>219</v>
      </c>
      <c r="D35" s="421">
        <f>SUM(E35:G35)</f>
        <v>1313000</v>
      </c>
      <c r="E35" s="300">
        <v>1313000</v>
      </c>
      <c r="F35" s="115"/>
      <c r="G35" s="296"/>
      <c r="H35" s="260"/>
      <c r="I35" s="260"/>
      <c r="J35" s="261"/>
      <c r="K35" s="262"/>
      <c r="L35" s="262"/>
      <c r="M35" s="262"/>
      <c r="N35" s="261"/>
    </row>
    <row r="36" spans="1:7" ht="15.75" thickBot="1">
      <c r="A36" s="274" t="s">
        <v>473</v>
      </c>
      <c r="B36" s="272">
        <v>107060</v>
      </c>
      <c r="C36" s="111" t="s">
        <v>220</v>
      </c>
      <c r="D36" s="421">
        <f>SUM(E36:G36)</f>
        <v>4839490</v>
      </c>
      <c r="E36" s="420">
        <f>4221000+35560+582930</f>
        <v>4839490</v>
      </c>
      <c r="F36" s="409"/>
      <c r="G36" s="408"/>
    </row>
    <row r="37" spans="1:7" ht="18.75" customHeight="1" thickBot="1">
      <c r="A37" s="297" t="s">
        <v>474</v>
      </c>
      <c r="B37" s="286"/>
      <c r="C37" s="298" t="s">
        <v>534</v>
      </c>
      <c r="D37" s="410">
        <f>SUM(D14:D36)</f>
        <v>185167122</v>
      </c>
      <c r="E37" s="422">
        <f>SUM(E14:E36)</f>
        <v>181678350</v>
      </c>
      <c r="F37" s="410">
        <f>SUM(F14:F36)</f>
        <v>3442372</v>
      </c>
      <c r="G37" s="410">
        <f>SUM(G14:G36)</f>
        <v>46400</v>
      </c>
    </row>
    <row r="38" ht="12.75">
      <c r="A38" s="259"/>
    </row>
    <row r="39" spans="1:7" ht="15">
      <c r="A39" s="352" t="s">
        <v>475</v>
      </c>
      <c r="B39" s="272" t="s">
        <v>527</v>
      </c>
      <c r="C39" s="111" t="s">
        <v>528</v>
      </c>
      <c r="D39" s="421">
        <f>SUM(E39:G39)</f>
        <v>1192441</v>
      </c>
      <c r="E39" s="420">
        <f>652197+55257+268437+216550</f>
        <v>1192441</v>
      </c>
      <c r="F39" s="373"/>
      <c r="G39" s="373"/>
    </row>
    <row r="40" spans="1:7" ht="15">
      <c r="A40" s="274" t="s">
        <v>476</v>
      </c>
      <c r="B40" s="272" t="s">
        <v>296</v>
      </c>
      <c r="C40" s="111" t="s">
        <v>297</v>
      </c>
      <c r="D40" s="421">
        <f>SUM(E40:G40)</f>
        <v>7744033</v>
      </c>
      <c r="E40" s="420">
        <f>7713867-35257</f>
        <v>7678610</v>
      </c>
      <c r="F40" s="409">
        <v>65423</v>
      </c>
      <c r="G40" s="408"/>
    </row>
    <row r="41" spans="1:7" ht="15">
      <c r="A41" s="274" t="s">
        <v>477</v>
      </c>
      <c r="B41" s="272" t="s">
        <v>298</v>
      </c>
      <c r="C41" s="111" t="s">
        <v>299</v>
      </c>
      <c r="D41" s="421">
        <f>SUM(E41:G41)</f>
        <v>1550813</v>
      </c>
      <c r="E41" s="420"/>
      <c r="F41" s="409">
        <v>1550813</v>
      </c>
      <c r="G41" s="408"/>
    </row>
    <row r="42" spans="1:7" ht="15">
      <c r="A42" s="274" t="s">
        <v>507</v>
      </c>
      <c r="B42" s="272" t="s">
        <v>298</v>
      </c>
      <c r="C42" s="111" t="s">
        <v>536</v>
      </c>
      <c r="D42" s="421">
        <f>SUM(E42:G42)</f>
        <v>1762779</v>
      </c>
      <c r="E42" s="420"/>
      <c r="F42" s="409">
        <v>1762779</v>
      </c>
      <c r="G42" s="408"/>
    </row>
    <row r="43" spans="1:7" ht="15.75" thickBot="1">
      <c r="A43" s="352" t="s">
        <v>530</v>
      </c>
      <c r="B43" s="273" t="s">
        <v>218</v>
      </c>
      <c r="C43" s="353" t="s">
        <v>535</v>
      </c>
      <c r="D43" s="419">
        <f>SUM(E43:G43)</f>
        <v>4258082</v>
      </c>
      <c r="E43" s="418">
        <f>4236760-20000</f>
        <v>4216760</v>
      </c>
      <c r="F43" s="407">
        <v>41322</v>
      </c>
      <c r="G43" s="406"/>
    </row>
    <row r="44" spans="1:7" ht="18" customHeight="1" thickBot="1">
      <c r="A44" s="354" t="s">
        <v>531</v>
      </c>
      <c r="B44" s="354"/>
      <c r="C44" s="345" t="s">
        <v>532</v>
      </c>
      <c r="D44" s="355">
        <f>D40+D41+D42+D43+D39</f>
        <v>16508148</v>
      </c>
      <c r="E44" s="355">
        <f>E40+E41+E42+E43+E39</f>
        <v>13087811</v>
      </c>
      <c r="F44" s="355">
        <f>F40+F41+F42+F43</f>
        <v>3420337</v>
      </c>
      <c r="G44" s="355">
        <f>G40+G41+G42+G43</f>
        <v>0</v>
      </c>
    </row>
    <row r="45" spans="1:7" ht="24.75" customHeight="1" thickBot="1">
      <c r="A45" s="354" t="s">
        <v>578</v>
      </c>
      <c r="B45" s="354"/>
      <c r="C45" s="346" t="s">
        <v>533</v>
      </c>
      <c r="D45" s="355">
        <f>D37+D44</f>
        <v>201675270</v>
      </c>
      <c r="E45" s="355">
        <f>E37+E44</f>
        <v>194766161</v>
      </c>
      <c r="F45" s="355">
        <f>F37+F44</f>
        <v>6862709</v>
      </c>
      <c r="G45" s="355">
        <f>G37+G44</f>
        <v>46400</v>
      </c>
    </row>
    <row r="47" ht="12.75">
      <c r="D47" s="374"/>
    </row>
  </sheetData>
  <sheetProtection/>
  <mergeCells count="12">
    <mergeCell ref="A1:G1"/>
    <mergeCell ref="C4:G4"/>
    <mergeCell ref="C6:G6"/>
    <mergeCell ref="C7:G7"/>
    <mergeCell ref="C8:G8"/>
    <mergeCell ref="A10:A13"/>
    <mergeCell ref="B10:B13"/>
    <mergeCell ref="C10:C13"/>
    <mergeCell ref="D10:D13"/>
    <mergeCell ref="E10:G10"/>
    <mergeCell ref="E12:G13"/>
    <mergeCell ref="A3:G3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2"/>
  <sheetViews>
    <sheetView zoomScalePageLayoutView="0" workbookViewId="0" topLeftCell="A1">
      <selection activeCell="J12" sqref="J12:J13"/>
    </sheetView>
  </sheetViews>
  <sheetFormatPr defaultColWidth="9.00390625" defaultRowHeight="12.75"/>
  <cols>
    <col min="1" max="1" width="6.75390625" style="0" customWidth="1"/>
    <col min="5" max="5" width="35.125" style="0" customWidth="1"/>
    <col min="6" max="6" width="12.375" style="0" customWidth="1"/>
  </cols>
  <sheetData>
    <row r="1" spans="1:6" ht="15.75" customHeight="1">
      <c r="A1" s="509" t="s">
        <v>658</v>
      </c>
      <c r="B1" s="509"/>
      <c r="C1" s="509"/>
      <c r="D1" s="509"/>
      <c r="E1" s="509"/>
      <c r="F1" s="509"/>
    </row>
    <row r="5" spans="1:6" ht="21.75" customHeight="1">
      <c r="A5" s="611"/>
      <c r="B5" s="611"/>
      <c r="C5" s="611"/>
      <c r="D5" s="611"/>
      <c r="E5" s="611"/>
      <c r="F5" s="611"/>
    </row>
    <row r="7" spans="1:6" ht="18.75" customHeight="1">
      <c r="A7" s="611" t="s">
        <v>4</v>
      </c>
      <c r="B7" s="611"/>
      <c r="C7" s="611"/>
      <c r="D7" s="611"/>
      <c r="E7" s="611"/>
      <c r="F7" s="611"/>
    </row>
    <row r="8" spans="1:6" ht="21.75" customHeight="1">
      <c r="A8" s="611" t="s">
        <v>449</v>
      </c>
      <c r="B8" s="611"/>
      <c r="C8" s="611"/>
      <c r="D8" s="611"/>
      <c r="E8" s="611"/>
      <c r="F8" s="611"/>
    </row>
    <row r="9" spans="1:6" ht="20.25" customHeight="1">
      <c r="A9" s="611" t="s">
        <v>592</v>
      </c>
      <c r="B9" s="611"/>
      <c r="C9" s="611"/>
      <c r="D9" s="611"/>
      <c r="E9" s="611"/>
      <c r="F9" s="611"/>
    </row>
    <row r="10" ht="13.5" thickBot="1">
      <c r="F10" t="s">
        <v>460</v>
      </c>
    </row>
    <row r="11" spans="1:6" ht="42.75" customHeight="1" thickBot="1">
      <c r="A11" s="614" t="s">
        <v>0</v>
      </c>
      <c r="B11" s="614"/>
      <c r="C11" s="614"/>
      <c r="D11" s="614"/>
      <c r="E11" s="614"/>
      <c r="F11" s="433" t="s">
        <v>10</v>
      </c>
    </row>
    <row r="14" spans="1:4" ht="12.75">
      <c r="A14" s="258" t="s">
        <v>221</v>
      </c>
      <c r="B14" s="258"/>
      <c r="C14" s="258"/>
      <c r="D14" s="258"/>
    </row>
    <row r="16" spans="2:5" ht="34.5" customHeight="1">
      <c r="B16" s="612" t="s">
        <v>222</v>
      </c>
      <c r="C16" s="613"/>
      <c r="D16" s="613"/>
      <c r="E16" s="613"/>
    </row>
    <row r="17" spans="2:5" ht="15.75" customHeight="1">
      <c r="B17" s="431"/>
      <c r="C17" s="377"/>
      <c r="D17" s="377"/>
      <c r="E17" s="377"/>
    </row>
    <row r="18" spans="1:6" ht="15.75" customHeight="1">
      <c r="A18" t="s">
        <v>42</v>
      </c>
      <c r="B18" t="s">
        <v>625</v>
      </c>
      <c r="F18" s="432">
        <f>73200+74200</f>
        <v>147400</v>
      </c>
    </row>
    <row r="19" spans="1:6" ht="15.75" customHeight="1">
      <c r="A19" t="s">
        <v>25</v>
      </c>
      <c r="B19" t="s">
        <v>26</v>
      </c>
      <c r="F19" s="432">
        <v>219600</v>
      </c>
    </row>
    <row r="21" spans="1:6" ht="12.75">
      <c r="A21" t="s">
        <v>43</v>
      </c>
      <c r="B21" t="s">
        <v>518</v>
      </c>
      <c r="F21" s="432">
        <v>50000</v>
      </c>
    </row>
    <row r="22" ht="12.75">
      <c r="F22" s="432"/>
    </row>
    <row r="23" spans="1:6" ht="12.75">
      <c r="A23" t="s">
        <v>99</v>
      </c>
      <c r="B23" t="s">
        <v>611</v>
      </c>
      <c r="F23" s="432">
        <v>3000</v>
      </c>
    </row>
    <row r="25" spans="1:6" ht="31.5" customHeight="1">
      <c r="A25" t="s">
        <v>100</v>
      </c>
      <c r="B25" s="613" t="s">
        <v>537</v>
      </c>
      <c r="C25" s="613"/>
      <c r="D25" s="613"/>
      <c r="E25" s="613"/>
      <c r="F25" s="432">
        <v>1200000</v>
      </c>
    </row>
    <row r="27" spans="2:6" ht="33" customHeight="1">
      <c r="B27" s="612" t="s">
        <v>223</v>
      </c>
      <c r="C27" s="612"/>
      <c r="D27" s="612"/>
      <c r="E27" s="612"/>
      <c r="F27" s="430">
        <f>SUM(F18:F26)</f>
        <v>1620000</v>
      </c>
    </row>
    <row r="28" ht="19.5" customHeight="1"/>
    <row r="29" spans="2:5" ht="36" customHeight="1">
      <c r="B29" s="612" t="s">
        <v>224</v>
      </c>
      <c r="C29" s="612"/>
      <c r="D29" s="612"/>
      <c r="E29" s="612"/>
    </row>
    <row r="31" spans="1:6" ht="15" customHeight="1">
      <c r="A31" t="s">
        <v>42</v>
      </c>
      <c r="B31" t="s">
        <v>24</v>
      </c>
      <c r="F31" s="432">
        <v>40000</v>
      </c>
    </row>
    <row r="32" spans="1:6" ht="16.5" customHeight="1">
      <c r="A32" t="s">
        <v>25</v>
      </c>
      <c r="B32" t="s">
        <v>593</v>
      </c>
      <c r="F32" s="432">
        <v>80000</v>
      </c>
    </row>
    <row r="33" spans="1:6" ht="17.25" customHeight="1">
      <c r="A33" t="s">
        <v>43</v>
      </c>
      <c r="B33" t="s">
        <v>594</v>
      </c>
      <c r="F33" s="432">
        <v>170000</v>
      </c>
    </row>
    <row r="34" spans="1:6" ht="15.75" customHeight="1">
      <c r="A34" t="s">
        <v>99</v>
      </c>
      <c r="B34" t="s">
        <v>45</v>
      </c>
      <c r="F34" s="432">
        <f>75000+75000</f>
        <v>150000</v>
      </c>
    </row>
    <row r="35" spans="1:6" ht="17.25" customHeight="1">
      <c r="A35" t="s">
        <v>100</v>
      </c>
      <c r="B35" t="s">
        <v>74</v>
      </c>
      <c r="F35" s="432">
        <v>600000</v>
      </c>
    </row>
    <row r="36" spans="1:6" ht="18" customHeight="1">
      <c r="A36" t="s">
        <v>106</v>
      </c>
      <c r="B36" t="s">
        <v>595</v>
      </c>
      <c r="F36" s="432">
        <v>30000</v>
      </c>
    </row>
    <row r="37" spans="1:6" ht="18" customHeight="1">
      <c r="A37" t="s">
        <v>240</v>
      </c>
      <c r="B37" t="s">
        <v>643</v>
      </c>
      <c r="F37" s="432">
        <v>50000</v>
      </c>
    </row>
    <row r="38" spans="2:6" ht="34.5" customHeight="1">
      <c r="B38" s="612" t="s">
        <v>225</v>
      </c>
      <c r="C38" s="612"/>
      <c r="D38" s="612"/>
      <c r="E38" s="612"/>
      <c r="F38" s="430">
        <f>F31+F32+F33+F34+F35+F36+F37</f>
        <v>1120000</v>
      </c>
    </row>
    <row r="40" spans="2:6" ht="12.75">
      <c r="B40" s="258" t="s">
        <v>596</v>
      </c>
      <c r="C40" s="258"/>
      <c r="F40" s="430">
        <f>6255786+18481786-1200000+76000-110720+330000-75000-418941-35560-74200+89209-50000-2567275</f>
        <v>20701085</v>
      </c>
    </row>
    <row r="42" spans="1:6" ht="12.75">
      <c r="A42" s="258" t="s">
        <v>226</v>
      </c>
      <c r="B42" s="258"/>
      <c r="C42" s="258"/>
      <c r="D42" s="258"/>
      <c r="E42" s="258"/>
      <c r="F42" s="430">
        <f>F27+F38+F40</f>
        <v>23441085</v>
      </c>
    </row>
  </sheetData>
  <sheetProtection/>
  <mergeCells count="11">
    <mergeCell ref="A1:F1"/>
    <mergeCell ref="A11:E11"/>
    <mergeCell ref="A9:F9"/>
    <mergeCell ref="A7:F7"/>
    <mergeCell ref="A8:F8"/>
    <mergeCell ref="A5:F5"/>
    <mergeCell ref="B16:E16"/>
    <mergeCell ref="B25:E25"/>
    <mergeCell ref="B27:E27"/>
    <mergeCell ref="B29:E29"/>
    <mergeCell ref="B38:E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F41"/>
  <sheetViews>
    <sheetView zoomScalePageLayoutView="0" workbookViewId="0" topLeftCell="A1">
      <selection activeCell="H32" sqref="H32"/>
    </sheetView>
  </sheetViews>
  <sheetFormatPr defaultColWidth="9.00390625" defaultRowHeight="12.75"/>
  <cols>
    <col min="1" max="1" width="4.125" style="30" customWidth="1"/>
    <col min="2" max="2" width="67.875" style="30" customWidth="1"/>
    <col min="3" max="3" width="18.00390625" style="30" customWidth="1"/>
    <col min="4" max="16384" width="9.125" style="30" customWidth="1"/>
  </cols>
  <sheetData>
    <row r="1" spans="1:3" ht="15.75">
      <c r="A1" s="585" t="s">
        <v>618</v>
      </c>
      <c r="B1" s="509"/>
      <c r="C1" s="509"/>
    </row>
    <row r="3" spans="1:4" ht="15.75">
      <c r="A3" s="538"/>
      <c r="B3" s="514"/>
      <c r="C3" s="514"/>
      <c r="D3" s="88"/>
    </row>
    <row r="4" spans="2:4" ht="15">
      <c r="B4" s="89"/>
      <c r="C4" s="89"/>
      <c r="D4" s="88"/>
    </row>
    <row r="5" spans="2:3" ht="15.75" customHeight="1">
      <c r="B5" s="620"/>
      <c r="C5" s="620"/>
    </row>
    <row r="6" spans="2:3" ht="15">
      <c r="B6" s="31"/>
      <c r="C6" s="31"/>
    </row>
    <row r="7" spans="2:3" s="12" customFormat="1" ht="15.75" customHeight="1">
      <c r="B7" s="621" t="s">
        <v>37</v>
      </c>
      <c r="C7" s="621"/>
    </row>
    <row r="8" spans="2:6" s="16" customFormat="1" ht="15.75">
      <c r="B8" s="619" t="s">
        <v>38</v>
      </c>
      <c r="C8" s="619"/>
      <c r="D8" s="43"/>
      <c r="E8" s="43"/>
      <c r="F8" s="43"/>
    </row>
    <row r="9" spans="2:6" s="11" customFormat="1" ht="15">
      <c r="B9" s="618" t="s">
        <v>580</v>
      </c>
      <c r="C9" s="618"/>
      <c r="D9" s="42"/>
      <c r="E9" s="42"/>
      <c r="F9" s="42"/>
    </row>
    <row r="10" ht="15.75" customHeight="1" thickBot="1">
      <c r="C10" s="32"/>
    </row>
    <row r="11" spans="1:3" ht="15" customHeight="1">
      <c r="A11" s="615" t="s">
        <v>464</v>
      </c>
      <c r="B11" s="33"/>
      <c r="C11" s="34" t="s">
        <v>18</v>
      </c>
    </row>
    <row r="12" spans="1:3" ht="15.75" customHeight="1">
      <c r="A12" s="616"/>
      <c r="B12" s="35" t="s">
        <v>0</v>
      </c>
      <c r="C12" s="36"/>
    </row>
    <row r="13" spans="1:3" ht="15.75" thickBot="1">
      <c r="A13" s="617"/>
      <c r="B13" s="37"/>
      <c r="C13" s="38" t="s">
        <v>9</v>
      </c>
    </row>
    <row r="14" ht="11.25" customHeight="1"/>
    <row r="15" ht="11.25" customHeight="1">
      <c r="C15" s="437"/>
    </row>
    <row r="16" spans="1:3" ht="15">
      <c r="A16" s="30" t="s">
        <v>42</v>
      </c>
      <c r="B16" s="39" t="s">
        <v>27</v>
      </c>
      <c r="C16" s="437"/>
    </row>
    <row r="17" spans="2:3" ht="15">
      <c r="B17" s="39" t="s">
        <v>8</v>
      </c>
      <c r="C17" s="437"/>
    </row>
    <row r="18" spans="1:3" ht="28.5" customHeight="1">
      <c r="A18" s="312" t="s">
        <v>25</v>
      </c>
      <c r="B18" s="145" t="s">
        <v>359</v>
      </c>
      <c r="C18" s="386">
        <v>46400</v>
      </c>
    </row>
    <row r="19" spans="1:3" ht="28.5" customHeight="1">
      <c r="A19" s="312"/>
      <c r="B19" s="145"/>
      <c r="C19" s="437"/>
    </row>
    <row r="20" spans="1:3" ht="15">
      <c r="A20" s="312" t="s">
        <v>43</v>
      </c>
      <c r="B20" s="30" t="s">
        <v>75</v>
      </c>
      <c r="C20" s="437">
        <v>350000</v>
      </c>
    </row>
    <row r="21" spans="1:3" ht="30">
      <c r="A21" s="312" t="s">
        <v>99</v>
      </c>
      <c r="B21" s="145" t="s">
        <v>356</v>
      </c>
      <c r="C21" s="437">
        <v>300000</v>
      </c>
    </row>
    <row r="22" spans="1:3" ht="15">
      <c r="A22" s="312" t="s">
        <v>100</v>
      </c>
      <c r="B22" s="145" t="s">
        <v>357</v>
      </c>
      <c r="C22" s="437">
        <v>715000</v>
      </c>
    </row>
    <row r="23" spans="1:3" ht="15">
      <c r="A23" s="312" t="s">
        <v>106</v>
      </c>
      <c r="B23" s="145" t="s">
        <v>358</v>
      </c>
      <c r="C23" s="437">
        <v>440000</v>
      </c>
    </row>
    <row r="25" spans="1:3" ht="15">
      <c r="A25" s="312" t="s">
        <v>240</v>
      </c>
      <c r="B25" s="30" t="s">
        <v>79</v>
      </c>
      <c r="C25" s="437">
        <v>210000</v>
      </c>
    </row>
    <row r="26" spans="1:3" ht="14.25" customHeight="1">
      <c r="A26" s="312" t="s">
        <v>242</v>
      </c>
      <c r="B26" s="30" t="s">
        <v>598</v>
      </c>
      <c r="C26" s="437">
        <v>1000000</v>
      </c>
    </row>
    <row r="27" spans="1:3" ht="15">
      <c r="A27" s="312" t="s">
        <v>244</v>
      </c>
      <c r="B27" s="39" t="s">
        <v>27</v>
      </c>
      <c r="C27" s="437"/>
    </row>
    <row r="28" spans="1:3" ht="15">
      <c r="A28" s="312"/>
      <c r="B28" s="39" t="s">
        <v>28</v>
      </c>
      <c r="C28" s="386">
        <f>SUM(C20:C27)</f>
        <v>3015000</v>
      </c>
    </row>
    <row r="29" spans="1:3" ht="11.25" customHeight="1">
      <c r="A29" s="312"/>
      <c r="C29" s="437"/>
    </row>
    <row r="30" spans="1:3" ht="15">
      <c r="A30" s="312" t="s">
        <v>250</v>
      </c>
      <c r="B30" s="39" t="s">
        <v>29</v>
      </c>
      <c r="C30" s="386">
        <f>C28+C18</f>
        <v>3061400</v>
      </c>
    </row>
    <row r="31" spans="1:3" ht="15">
      <c r="A31" s="312"/>
      <c r="B31" s="39"/>
      <c r="C31" s="386"/>
    </row>
    <row r="32" spans="1:5" ht="13.5" customHeight="1">
      <c r="A32" s="312"/>
      <c r="B32" s="12"/>
      <c r="C32" s="12"/>
      <c r="D32" s="11"/>
      <c r="E32" s="437"/>
    </row>
    <row r="33" spans="1:3" s="39" customFormat="1" ht="14.25">
      <c r="A33" s="313" t="s">
        <v>254</v>
      </c>
      <c r="B33" s="39" t="s">
        <v>280</v>
      </c>
      <c r="C33" s="386"/>
    </row>
    <row r="34" spans="1:3" ht="18.75" customHeight="1">
      <c r="A34" s="312"/>
      <c r="C34" s="437"/>
    </row>
    <row r="35" spans="1:3" ht="39" customHeight="1">
      <c r="A35" s="438" t="s">
        <v>259</v>
      </c>
      <c r="B35" s="145" t="s">
        <v>612</v>
      </c>
      <c r="C35" s="437">
        <v>500000</v>
      </c>
    </row>
    <row r="36" spans="1:3" ht="37.5" customHeight="1">
      <c r="A36" s="438" t="s">
        <v>261</v>
      </c>
      <c r="B36" s="145" t="s">
        <v>281</v>
      </c>
      <c r="C36" s="437">
        <f>2000000-500000</f>
        <v>1500000</v>
      </c>
    </row>
    <row r="37" spans="1:3" ht="11.25" customHeight="1">
      <c r="A37" s="312"/>
      <c r="C37" s="437"/>
    </row>
    <row r="38" spans="1:3" ht="15">
      <c r="A38" s="312" t="s">
        <v>263</v>
      </c>
      <c r="B38" s="39" t="s">
        <v>282</v>
      </c>
      <c r="C38" s="386">
        <f>C36+C35</f>
        <v>2000000</v>
      </c>
    </row>
    <row r="39" spans="1:3" ht="11.25" customHeight="1">
      <c r="A39" s="312"/>
      <c r="C39" s="437"/>
    </row>
    <row r="40" spans="1:3" s="41" customFormat="1" ht="16.5">
      <c r="A40" s="314" t="s">
        <v>270</v>
      </c>
      <c r="B40" s="40" t="s">
        <v>30</v>
      </c>
      <c r="C40" s="436"/>
    </row>
    <row r="41" spans="1:3" s="41" customFormat="1" ht="16.5">
      <c r="A41" s="314"/>
      <c r="B41" s="40" t="s">
        <v>31</v>
      </c>
      <c r="C41" s="435">
        <f>C30+C38</f>
        <v>5061400</v>
      </c>
    </row>
  </sheetData>
  <sheetProtection/>
  <mergeCells count="7">
    <mergeCell ref="A11:A13"/>
    <mergeCell ref="A3:C3"/>
    <mergeCell ref="A1:C1"/>
    <mergeCell ref="B9:C9"/>
    <mergeCell ref="B8:C8"/>
    <mergeCell ref="B5:C5"/>
    <mergeCell ref="B7:C7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4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125" style="13" customWidth="1"/>
    <col min="2" max="2" width="70.375" style="13" customWidth="1"/>
    <col min="3" max="3" width="20.00390625" style="13" customWidth="1"/>
    <col min="4" max="16384" width="9.125" style="13" customWidth="1"/>
  </cols>
  <sheetData>
    <row r="1" spans="1:3" ht="15.75">
      <c r="A1" s="585" t="s">
        <v>657</v>
      </c>
      <c r="B1" s="509"/>
      <c r="C1" s="509"/>
    </row>
    <row r="3" spans="1:5" s="158" customFormat="1" ht="15.75">
      <c r="A3" s="538"/>
      <c r="B3" s="514"/>
      <c r="C3" s="514"/>
      <c r="D3" s="118"/>
      <c r="E3" s="305"/>
    </row>
    <row r="4" spans="2:5" s="158" customFormat="1" ht="15.75">
      <c r="B4" s="622"/>
      <c r="C4" s="622"/>
      <c r="D4" s="118"/>
      <c r="E4" s="305"/>
    </row>
    <row r="5" spans="2:5" s="160" customFormat="1" ht="18.75">
      <c r="B5" s="159" t="s">
        <v>307</v>
      </c>
      <c r="C5" s="159"/>
      <c r="D5" s="13"/>
      <c r="E5" s="13"/>
    </row>
    <row r="6" spans="2:5" s="160" customFormat="1" ht="18.75">
      <c r="B6" s="527" t="s">
        <v>308</v>
      </c>
      <c r="C6" s="527"/>
      <c r="D6" s="13"/>
      <c r="E6" s="13"/>
    </row>
    <row r="7" spans="2:5" s="160" customFormat="1" ht="19.5" thickBot="1">
      <c r="B7" s="527" t="s">
        <v>579</v>
      </c>
      <c r="C7" s="527"/>
      <c r="D7" s="13"/>
      <c r="E7" s="13"/>
    </row>
    <row r="8" spans="1:3" ht="15.75">
      <c r="A8" s="623" t="s">
        <v>464</v>
      </c>
      <c r="B8" s="161"/>
      <c r="C8" s="162" t="s">
        <v>9</v>
      </c>
    </row>
    <row r="9" spans="1:3" ht="15.75">
      <c r="A9" s="624"/>
      <c r="B9" s="163" t="s">
        <v>309</v>
      </c>
      <c r="C9" s="163"/>
    </row>
    <row r="10" spans="1:3" ht="16.5" thickBot="1">
      <c r="A10" s="625"/>
      <c r="B10" s="164"/>
      <c r="C10" s="165" t="s">
        <v>513</v>
      </c>
    </row>
    <row r="11" spans="2:3" ht="15.75">
      <c r="B11" s="166"/>
      <c r="C11" s="167"/>
    </row>
    <row r="12" spans="1:3" ht="31.5" customHeight="1">
      <c r="A12" s="315" t="s">
        <v>42</v>
      </c>
      <c r="B12" s="306" t="s">
        <v>514</v>
      </c>
      <c r="C12" s="167"/>
    </row>
    <row r="13" spans="1:3" ht="18" customHeight="1">
      <c r="A13" s="315" t="s">
        <v>482</v>
      </c>
      <c r="B13" s="169" t="s">
        <v>450</v>
      </c>
      <c r="C13" s="442">
        <v>80000</v>
      </c>
    </row>
    <row r="14" spans="1:3" ht="18" customHeight="1">
      <c r="A14" s="315"/>
      <c r="B14" s="169" t="s">
        <v>310</v>
      </c>
      <c r="C14" s="252">
        <v>21600</v>
      </c>
    </row>
    <row r="15" spans="1:3" ht="18" customHeight="1">
      <c r="A15" s="315"/>
      <c r="B15" s="166" t="s">
        <v>2</v>
      </c>
      <c r="C15" s="439">
        <f>SUM(C13:C14)</f>
        <v>101600</v>
      </c>
    </row>
    <row r="16" spans="1:3" ht="12" customHeight="1">
      <c r="A16" s="315"/>
      <c r="B16" s="166"/>
      <c r="C16" s="439"/>
    </row>
    <row r="17" spans="1:3" ht="33" customHeight="1">
      <c r="A17" s="315" t="s">
        <v>25</v>
      </c>
      <c r="B17" s="444" t="s">
        <v>616</v>
      </c>
      <c r="C17" s="439"/>
    </row>
    <row r="18" spans="1:3" ht="18" customHeight="1">
      <c r="A18" s="315" t="s">
        <v>517</v>
      </c>
      <c r="B18" s="169" t="s">
        <v>630</v>
      </c>
      <c r="C18" s="443">
        <v>1200000</v>
      </c>
    </row>
    <row r="19" spans="1:3" ht="18" customHeight="1">
      <c r="A19" s="315"/>
      <c r="B19" s="166" t="s">
        <v>2</v>
      </c>
      <c r="C19" s="439">
        <f>C18</f>
        <v>1200000</v>
      </c>
    </row>
    <row r="20" spans="1:3" ht="11.25" customHeight="1">
      <c r="A20" s="315"/>
      <c r="B20" s="166"/>
      <c r="C20" s="439"/>
    </row>
    <row r="21" spans="1:3" ht="18" customHeight="1">
      <c r="A21" s="315" t="s">
        <v>43</v>
      </c>
      <c r="B21" s="307" t="s">
        <v>615</v>
      </c>
      <c r="C21" s="439"/>
    </row>
    <row r="22" spans="1:3" ht="18" customHeight="1">
      <c r="A22" s="315" t="s">
        <v>494</v>
      </c>
      <c r="B22" s="169" t="s">
        <v>451</v>
      </c>
      <c r="C22" s="442">
        <v>141700</v>
      </c>
    </row>
    <row r="23" spans="1:3" ht="18" customHeight="1">
      <c r="A23" s="315"/>
      <c r="B23" s="169" t="s">
        <v>310</v>
      </c>
      <c r="C23" s="441">
        <v>38259</v>
      </c>
    </row>
    <row r="24" spans="1:3" ht="18" customHeight="1">
      <c r="A24" s="315"/>
      <c r="B24" s="166" t="s">
        <v>2</v>
      </c>
      <c r="C24" s="439">
        <f>SUM(C22:C23)</f>
        <v>179959</v>
      </c>
    </row>
    <row r="25" spans="1:3" ht="12" customHeight="1">
      <c r="A25" s="315"/>
      <c r="B25" s="166"/>
      <c r="C25" s="439"/>
    </row>
    <row r="26" spans="1:3" ht="18" customHeight="1">
      <c r="A26" s="315" t="s">
        <v>99</v>
      </c>
      <c r="B26" s="307" t="s">
        <v>581</v>
      </c>
      <c r="C26" s="167"/>
    </row>
    <row r="27" spans="1:3" ht="18" customHeight="1">
      <c r="A27" s="315" t="s">
        <v>502</v>
      </c>
      <c r="B27" s="308" t="s">
        <v>582</v>
      </c>
      <c r="C27" s="251">
        <v>6096007</v>
      </c>
    </row>
    <row r="28" spans="1:3" ht="18" customHeight="1">
      <c r="A28" s="315"/>
      <c r="B28" s="169" t="s">
        <v>310</v>
      </c>
      <c r="C28" s="252">
        <f>C27*0.27</f>
        <v>1645921.8900000001</v>
      </c>
    </row>
    <row r="29" spans="1:3" ht="16.5" customHeight="1">
      <c r="A29" s="315"/>
      <c r="B29" s="166" t="s">
        <v>2</v>
      </c>
      <c r="C29" s="439">
        <f>SUM(C27:C28)</f>
        <v>7741928.890000001</v>
      </c>
    </row>
    <row r="30" spans="1:3" ht="15" customHeight="1">
      <c r="A30" s="315"/>
      <c r="B30" s="166"/>
      <c r="C30" s="439"/>
    </row>
    <row r="31" spans="1:3" ht="18" customHeight="1">
      <c r="A31" s="825" t="s">
        <v>503</v>
      </c>
      <c r="B31" s="169" t="s">
        <v>644</v>
      </c>
      <c r="C31" s="442">
        <v>1574709</v>
      </c>
    </row>
    <row r="32" spans="1:3" ht="16.5" customHeight="1">
      <c r="A32" s="825" t="s">
        <v>504</v>
      </c>
      <c r="B32" s="169" t="s">
        <v>310</v>
      </c>
      <c r="C32" s="441">
        <v>425171</v>
      </c>
    </row>
    <row r="33" spans="2:3" ht="14.25" customHeight="1">
      <c r="B33" s="166" t="s">
        <v>2</v>
      </c>
      <c r="C33" s="824">
        <f>C31+C32</f>
        <v>1999880</v>
      </c>
    </row>
    <row r="34" spans="2:3" ht="6.75" customHeight="1">
      <c r="B34" s="166"/>
      <c r="C34" s="251"/>
    </row>
    <row r="35" spans="1:3" ht="18" customHeight="1">
      <c r="A35" s="13" t="s">
        <v>100</v>
      </c>
      <c r="B35" s="169" t="s">
        <v>614</v>
      </c>
      <c r="C35" s="251">
        <v>86600</v>
      </c>
    </row>
    <row r="36" spans="1:3" ht="18" customHeight="1">
      <c r="A36" s="440" t="s">
        <v>613</v>
      </c>
      <c r="B36" s="169" t="s">
        <v>310</v>
      </c>
      <c r="C36" s="252">
        <v>23382</v>
      </c>
    </row>
    <row r="37" spans="1:3" ht="18" customHeight="1">
      <c r="A37" s="315"/>
      <c r="B37" s="166" t="s">
        <v>2</v>
      </c>
      <c r="C37" s="439">
        <f>C35+C36</f>
        <v>109982</v>
      </c>
    </row>
    <row r="38" spans="1:3" ht="8.25" customHeight="1">
      <c r="A38" s="315"/>
      <c r="B38" s="166"/>
      <c r="C38" s="439"/>
    </row>
    <row r="39" spans="1:3" ht="18" customHeight="1">
      <c r="A39" s="315" t="s">
        <v>106</v>
      </c>
      <c r="B39" s="490" t="s">
        <v>629</v>
      </c>
      <c r="C39" s="439"/>
    </row>
    <row r="40" spans="1:3" ht="18" customHeight="1">
      <c r="A40" s="315" t="s">
        <v>628</v>
      </c>
      <c r="B40" s="169" t="s">
        <v>627</v>
      </c>
      <c r="C40" s="442">
        <v>2298098</v>
      </c>
    </row>
    <row r="41" spans="1:3" ht="18" customHeight="1">
      <c r="A41" s="315" t="s">
        <v>626</v>
      </c>
      <c r="B41" s="169" t="s">
        <v>310</v>
      </c>
      <c r="C41" s="441">
        <v>620486</v>
      </c>
    </row>
    <row r="42" spans="1:3" ht="18" customHeight="1">
      <c r="A42" s="315"/>
      <c r="B42" s="166" t="s">
        <v>2</v>
      </c>
      <c r="C42" s="439">
        <f>C40+C41</f>
        <v>2918584</v>
      </c>
    </row>
    <row r="43" spans="1:3" ht="9.75" customHeight="1">
      <c r="A43" s="315"/>
      <c r="B43" s="166"/>
      <c r="C43" s="168"/>
    </row>
    <row r="44" spans="1:3" ht="18" customHeight="1">
      <c r="A44" s="315" t="s">
        <v>240</v>
      </c>
      <c r="B44" s="166" t="s">
        <v>311</v>
      </c>
      <c r="C44" s="439">
        <f>C15+C24+C37+C29+C218+C42+C19+C33</f>
        <v>14251933.89</v>
      </c>
    </row>
  </sheetData>
  <sheetProtection/>
  <mergeCells count="6">
    <mergeCell ref="A1:C1"/>
    <mergeCell ref="B6:C6"/>
    <mergeCell ref="B7:C7"/>
    <mergeCell ref="B4:C4"/>
    <mergeCell ref="A8:A10"/>
    <mergeCell ref="A3:C3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Vargáné Horváth Krisztina</cp:lastModifiedBy>
  <cp:lastPrinted>2019-02-13T13:23:09Z</cp:lastPrinted>
  <dcterms:created xsi:type="dcterms:W3CDTF">2002-11-26T17:22:50Z</dcterms:created>
  <dcterms:modified xsi:type="dcterms:W3CDTF">2019-12-05T13:23:01Z</dcterms:modified>
  <cp:category/>
  <cp:version/>
  <cp:contentType/>
  <cp:contentStatus/>
</cp:coreProperties>
</file>