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1" activeTab="6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 - közgazd.mérleg" sheetId="7" r:id="rId7"/>
    <sheet name="7.mell. - ellátottak jutt." sheetId="8" r:id="rId8"/>
    <sheet name="8.mell.beruházás" sheetId="9" r:id="rId9"/>
    <sheet name="9.mell. - közgazd.mérleg" sheetId="10" r:id="rId10"/>
    <sheet name="10.mell. -ei.felh.ütemt." sheetId="11" r:id="rId11"/>
    <sheet name="11.mell. -részesedések" sheetId="12" r:id="rId12"/>
    <sheet name="12.mell.- közvetett" sheetId="13" r:id="rId13"/>
    <sheet name="13.mell.-középtávú" sheetId="14" r:id="rId14"/>
    <sheet name="14.felújítások" sheetId="15" r:id="rId15"/>
  </sheets>
  <definedNames>
    <definedName name="_xlnm.Print_Titles" localSheetId="2">'2.mell - bevétel'!$10:$12</definedName>
  </definedNames>
  <calcPr fullCalcOnLoad="1"/>
</workbook>
</file>

<file path=xl/sharedStrings.xml><?xml version="1.0" encoding="utf-8"?>
<sst xmlns="http://schemas.openxmlformats.org/spreadsheetml/2006/main" count="956" uniqueCount="483">
  <si>
    <t>Megnevezés</t>
  </si>
  <si>
    <t>Ft</t>
  </si>
  <si>
    <t>Összesen:</t>
  </si>
  <si>
    <t>létszám</t>
  </si>
  <si>
    <t>e Ft</t>
  </si>
  <si>
    <t>állandó</t>
  </si>
  <si>
    <t>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</si>
  <si>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</si>
  <si>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</si>
  <si>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</si>
  <si>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</si>
  <si>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</si>
  <si>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</si>
  <si>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</si>
  <si>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</si>
  <si>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</si>
  <si>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</si>
  <si>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</si>
  <si>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</si>
  <si>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</si>
  <si>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</si>
  <si>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</si>
  <si>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</si>
  <si>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</si>
  <si>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</si>
  <si>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</si>
  <si>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</si>
  <si>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</si>
  <si>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</si>
  <si>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</si>
  <si>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</si>
  <si>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</si>
  <si>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</si>
  <si>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</si>
  <si>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</si>
  <si>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</si>
  <si>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</si>
  <si>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</si>
  <si>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</si>
  <si>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</si>
  <si>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</si>
  <si>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</si>
  <si>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</si>
  <si>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</si>
  <si>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</si>
  <si>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</si>
  <si>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</si>
  <si>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</si>
  <si>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</si>
  <si>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</si>
  <si>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</si>
  <si>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</si>
  <si>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</si>
  <si>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</si>
  <si>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</si>
  <si>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</si>
  <si>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</si>
  <si>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</si>
  <si>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</si>
  <si>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</si>
  <si>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</si>
  <si>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</si>
  <si>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</si>
  <si>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</si>
  <si>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</si>
  <si>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</si>
  <si>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</si>
  <si>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</si>
  <si>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</si>
  <si>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</si>
  <si>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</si>
  <si>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</si>
  <si>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</si>
  <si>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</si>
  <si>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</si>
  <si>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</si>
  <si>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</si>
  <si>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</si>
  <si>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</si>
  <si>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</si>
  <si>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</si>
  <si>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</si>
  <si>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</si>
  <si>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</si>
  <si>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</si>
  <si>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</si>
  <si>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</si>
  <si>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</si>
  <si>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</si>
  <si>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</si>
  <si>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</si>
  <si>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</si>
  <si>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</si>
  <si>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</si>
  <si>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</si>
  <si>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</si>
  <si>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</si>
  <si>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</si>
  <si>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</si>
  <si>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</si>
  <si>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</si>
  <si>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</si>
  <si>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</si>
  <si>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</si>
  <si>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</si>
  <si>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</si>
  <si>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</si>
  <si>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</si>
  <si>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</si>
  <si>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</si>
  <si>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</si>
  <si>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</si>
  <si>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</si>
  <si>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</si>
  <si>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</si>
  <si>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</si>
  <si>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</si>
  <si>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</si>
  <si>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</si>
  <si>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</si>
  <si>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</si>
  <si>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</si>
  <si>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</si>
  <si>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</si>
  <si>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</si>
  <si>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</si>
  <si>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</si>
  <si>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</si>
  <si>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</si>
  <si>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</si>
  <si>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</si>
  <si>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</si>
  <si>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</si>
  <si>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</si>
  <si>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</si>
  <si>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</si>
  <si>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</si>
  <si>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</si>
  <si>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</si>
  <si>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</si>
  <si>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</si>
  <si>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</si>
  <si>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</si>
  <si>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</si>
  <si>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</si>
  <si>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</si>
  <si>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</si>
  <si>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</si>
  <si>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</si>
  <si>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</si>
  <si>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</si>
  <si>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</si>
  <si>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</si>
  <si>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</si>
  <si>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</si>
  <si>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</si>
  <si>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</si>
  <si>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</si>
  <si>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</si>
  <si>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</si>
  <si>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</si>
  <si>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</si>
  <si>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</si>
  <si>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</si>
  <si>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</si>
  <si>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</si>
  <si>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</si>
  <si>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</si>
  <si>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</si>
  <si>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</si>
  <si>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</si>
  <si>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</si>
  <si>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</si>
  <si>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</si>
  <si>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</si>
  <si>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</si>
  <si>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</si>
  <si>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</si>
  <si>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</si>
  <si>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</si>
  <si>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</si>
  <si>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</si>
  <si>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</si>
  <si>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</si>
  <si>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</si>
  <si>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</si>
  <si>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</si>
  <si>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</si>
  <si>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</si>
  <si>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</si>
  <si>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</si>
  <si>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</si>
  <si>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</si>
  <si>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</si>
  <si>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</si>
  <si>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</si>
  <si>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</si>
  <si>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</si>
  <si>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</si>
  <si>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</si>
  <si>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</si>
  <si>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</si>
  <si>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</si>
  <si>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</si>
  <si>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</si>
  <si>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</si>
  <si>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</si>
  <si>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</si>
  <si>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</si>
  <si>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</si>
  <si>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</si>
  <si>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</si>
  <si>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</si>
  <si>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</si>
  <si>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</si>
  <si>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</si>
  <si>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</si>
  <si>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</si>
  <si>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</si>
  <si>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</si>
  <si>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</si>
  <si>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</si>
  <si>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</si>
  <si>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</si>
  <si>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</si>
  <si>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</si>
  <si>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</si>
  <si>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</si>
  <si>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</si>
  <si>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</si>
  <si>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</si>
  <si>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</si>
  <si>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</si>
  <si>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</si>
  <si>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</si>
  <si>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</si>
  <si>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</si>
  <si>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</si>
  <si>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</si>
  <si>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</si>
  <si>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</si>
  <si>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</si>
  <si>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</si>
  <si>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</si>
  <si>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</si>
  <si>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</si>
  <si>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</si>
  <si>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</si>
  <si>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</si>
  <si>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</si>
  <si>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</si>
  <si>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</si>
  <si>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</si>
  <si>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</si>
  <si>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</si>
  <si>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</si>
  <si>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</si>
  <si>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</si>
  <si>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</si>
  <si>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</si>
  <si>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</si>
  <si>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</si>
  <si>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</si>
  <si>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</si>
  <si>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</si>
  <si>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</si>
  <si>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</si>
  <si>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</si>
  <si>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</si>
  <si>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</si>
  <si>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</si>
  <si>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</si>
  <si>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</si>
  <si>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</si>
  <si>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</si>
  <si>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</si>
  <si>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</si>
  <si>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</si>
  <si>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</si>
  <si>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</si>
  <si>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</si>
  <si>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</si>
  <si>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</si>
  <si>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</si>
  <si>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</si>
  <si>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</si>
  <si>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</si>
  <si>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</si>
  <si>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</si>
  <si>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</si>
  <si>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</si>
  <si>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</si>
  <si>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</si>
  <si>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</si>
  <si>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</si>
  <si>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</si>
  <si>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</si>
  <si>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</si>
  <si>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</si>
  <si>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</si>
  <si>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</si>
  <si>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</si>
  <si>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</si>
  <si>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</si>
  <si>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</si>
  <si>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</si>
  <si>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</si>
  <si>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</si>
  <si>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</si>
  <si>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</si>
  <si>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</si>
  <si>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</si>
  <si>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</si>
  <si>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</si>
  <si>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</si>
  <si>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</si>
  <si>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</si>
  <si>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</si>
  <si>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</si>
  <si>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</si>
  <si>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</si>
  <si>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</si>
  <si>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</si>
  <si>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</si>
  <si>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</si>
  <si>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</si>
  <si>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</si>
  <si>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</si>
  <si>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</si>
  <si>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</si>
  <si>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</si>
  <si>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</si>
  <si>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</si>
  <si>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</si>
  <si>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</si>
  <si>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</si>
  <si>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</si>
  <si>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</si>
  <si>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</si>
  <si>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</si>
  <si>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</si>
  <si>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</si>
  <si>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</si>
  <si>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</si>
  <si>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</si>
  <si>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</si>
  <si>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</si>
  <si>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</si>
  <si>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Gyermekek támogatása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</si>
  <si>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</si>
  <si>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</si>
  <si>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</si>
  <si>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</si>
  <si>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</si>
  <si>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</si>
  <si>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</si>
  <si>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</si>
  <si>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</si>
  <si>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</si>
  <si>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</si>
  <si>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</si>
  <si>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</si>
  <si>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Könyvtári infrasturktúra megújítására eszközvásárlás</t>
  </si>
  <si>
    <t>Beruházási célú előzetesen felszámított általános forgalmi adó</t>
  </si>
  <si>
    <t>BERUHÁZÁSOK ÖSSZESEN:</t>
  </si>
  <si>
    <t>( Ft-ban)</t>
  </si>
  <si>
    <t>Kiszámlázott és ért.termékek és szolgáltatások ÁFÁ-ja</t>
  </si>
  <si>
    <t>ÁFA visszatérülés teljesítése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</si>
  <si>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</si>
  <si>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</si>
  <si>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</si>
  <si>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</si>
  <si>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</si>
  <si>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</si>
  <si>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</si>
  <si>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</si>
  <si>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</si>
  <si>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</si>
  <si>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</si>
  <si>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</si>
  <si>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</si>
  <si>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</si>
  <si>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</si>
  <si>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</si>
  <si>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</si>
  <si>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</si>
  <si>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</si>
  <si>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</si>
  <si>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</si>
  <si>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</si>
  <si>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</si>
  <si>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</si>
  <si>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</si>
  <si>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</si>
  <si>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</si>
  <si>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</si>
  <si>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</si>
  <si>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</si>
  <si>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</si>
  <si>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</si>
  <si>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</si>
  <si>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</si>
  <si>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</si>
  <si>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</si>
  <si>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</si>
  <si>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</si>
  <si>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</si>
  <si>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</si>
  <si>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</si>
  <si>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</si>
  <si>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</si>
  <si>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</si>
  <si>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</si>
  <si>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</si>
  <si>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</si>
  <si>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</si>
  <si>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</si>
  <si>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</si>
  <si>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</si>
  <si>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</si>
  <si>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</si>
  <si>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2020.</t>
  </si>
  <si>
    <t>2018. év</t>
  </si>
  <si>
    <t>Polgármesteri illetmény támogatása</t>
  </si>
  <si>
    <t>alacsony összegű fejlesztések támoagatása 2017-ben kiutalt összeg</t>
  </si>
  <si>
    <t>(Ft-ban)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</si>
  <si>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</si>
  <si>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</si>
  <si>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</si>
  <si>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2021.</t>
  </si>
  <si>
    <t>2068/2017.(XII.28.) Korm.hat. alapján helyi önkormányzatok működési célú kiegészítő támogatása</t>
  </si>
  <si>
    <t>041233</t>
  </si>
  <si>
    <t>Hosszabb időtartamú közfoglalkoztatás</t>
  </si>
  <si>
    <t>094260</t>
  </si>
  <si>
    <t>Hallgtói és oktatói ösztöndíjak egyéb juttatások</t>
  </si>
  <si>
    <t xml:space="preserve">2019. évi </t>
  </si>
  <si>
    <t>2019. évre</t>
  </si>
  <si>
    <t>2019. év</t>
  </si>
  <si>
    <t>2019.év</t>
  </si>
  <si>
    <t>(2018. december 31-i állapot szerint)</t>
  </si>
  <si>
    <t>2020-2022. év</t>
  </si>
  <si>
    <t>2022.</t>
  </si>
  <si>
    <t>A téli rezsicsökkentésben korábban nem részesült háztatások egyszeri támogatásaáról szóló 1602/2018.(XI.27.) határozat alapján 2018-ban kiutalt támogatás</t>
  </si>
  <si>
    <t>Közfoglalkoztatás támogatása</t>
  </si>
  <si>
    <t>Közfoglalkoztatás előlege</t>
  </si>
  <si>
    <t>Közfoglalkoztatottak 2017-ben kiutalt támogatási előlege</t>
  </si>
  <si>
    <t>Útburkolat felújításra ( Assisi Szent Ferenc u.)</t>
  </si>
  <si>
    <t>Előző évi maradvány igénybevétel</t>
  </si>
  <si>
    <t>7. melléklet  a  2/2019. (II.12.) önkormányzati rendelethez</t>
  </si>
  <si>
    <t>tervezett  előirányzat            ( Ft)</t>
  </si>
  <si>
    <t xml:space="preserve"> 011130 Önkormányzatok és önkormányzati hivatalok jogalkotó és általános igazgatási tevékenysége</t>
  </si>
  <si>
    <t>2.1</t>
  </si>
  <si>
    <t>Kisértékű eszközbeszerzés</t>
  </si>
  <si>
    <t>064010 Közvilágítás</t>
  </si>
  <si>
    <t>3.1.</t>
  </si>
  <si>
    <t>Közvilágítás bővítése 1 db új lámpatest felszerelés</t>
  </si>
  <si>
    <t>107055 Falugondnoki, tanyagondnoki szolgáltatás</t>
  </si>
  <si>
    <t>4.1.</t>
  </si>
  <si>
    <t>082044  Könyvtári szolgáltatások</t>
  </si>
  <si>
    <t>5.1.</t>
  </si>
  <si>
    <t>8. melléklet  a  2/2019. (II.12.) önkormányzati rendelethez</t>
  </si>
  <si>
    <t>11. melléklet  a  2/2019. (II.12.) önkormányzati rendelethez</t>
  </si>
  <si>
    <t>12. melléklet  a  2/2019. (II.12.) önkormányzati rendelethez</t>
  </si>
  <si>
    <t>13. melléklet  a  2/2019. (II.12.) önkormányzati rendelethez</t>
  </si>
  <si>
    <t>FELÚJÍTÁSOK ÖSSZESEN:</t>
  </si>
  <si>
    <t>Felújítási célú előzetesen felszámított ÁFA</t>
  </si>
  <si>
    <t xml:space="preserve"> 045160 Közutak, hidak algutak üzemeltetése fenntartása</t>
  </si>
  <si>
    <t>tervezett  előirányzat    ( Ft)</t>
  </si>
  <si>
    <t>FELÚJÍTÁSI KIADÁSOK</t>
  </si>
  <si>
    <t>9. melléklet a 2/2019.(II.12.) sz. önkormányzati rendelethez</t>
  </si>
  <si>
    <t>Önkormányzati tulajdonú utak felújítása ( Magyar Falu Program)</t>
  </si>
  <si>
    <t>Önkormányzati feladatellátást szolgáló fejlesztések  támogatása</t>
  </si>
  <si>
    <t>4. Nyári diákmunka támogatása</t>
  </si>
  <si>
    <t>"Önkormányzati  feladatellátást szolgáló fejlesztések támogatása"         Tóth György és Assisi Szent Ferenc utcák járdáinak felújítása</t>
  </si>
  <si>
    <t>Magyar Falu Program "Önkormányzati utak felújítása" Kossuth Lajos utca, Vasút utca és Tóth György utca burkolatfelújítása</t>
  </si>
  <si>
    <t>14. melléklet a 2/2019. (II.12.) önkormányzati rendelethez</t>
  </si>
  <si>
    <t>10. melléklet a 2/2019. (II.12.) önkormányzati rendelethez</t>
  </si>
  <si>
    <t>1. melléklet a 2/2019. (II.12.) önkormányzati rendelethez</t>
  </si>
  <si>
    <t>2. melléklet a 2/2019. (II.12.) önkormányzati rendelethez</t>
  </si>
  <si>
    <t>3. melléklet a 2/2019. (II.12.) önkormányzati rendelethez</t>
  </si>
  <si>
    <t>4. melléklet a 2/2019. (II.12.) önkormányzati rendelethez</t>
  </si>
  <si>
    <t>5. melléklet a 2/2019. (II.12.) önkormányzati rendelethez</t>
  </si>
  <si>
    <t>6. melléklet a 2/2019. (II.12.)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</si>
</sst>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3" xfId="59" applyFont="1" applyBorder="1" applyAlignment="1">
      <alignment horizontal="left"/>
      <protection/>
    </xf>
    <xf numFmtId="0" fontId="10" fillId="0" borderId="13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8" fillId="0" borderId="0" xfId="59" applyFont="1" applyAlignme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8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6" fillId="0" borderId="14" xfId="59" applyFont="1" applyBorder="1" applyAlignment="1">
      <alignment/>
      <protection/>
    </xf>
    <xf numFmtId="0" fontId="6" fillId="0" borderId="16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21" xfId="59" applyFont="1" applyBorder="1" applyAlignment="1">
      <alignment horizontal="right"/>
      <protection/>
    </xf>
    <xf numFmtId="0" fontId="10" fillId="0" borderId="21" xfId="59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0" fontId="6" fillId="0" borderId="0" xfId="60" applyFont="1">
      <alignment/>
      <protection/>
    </xf>
    <xf numFmtId="0" fontId="6" fillId="0" borderId="22" xfId="60" applyFont="1" applyBorder="1" applyAlignment="1">
      <alignment horizontal="right"/>
      <protection/>
    </xf>
    <xf numFmtId="0" fontId="6" fillId="0" borderId="22" xfId="60" applyFont="1" applyBorder="1">
      <alignment/>
      <protection/>
    </xf>
    <xf numFmtId="168" fontId="6" fillId="0" borderId="22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21" fillId="0" borderId="22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23" xfId="62" applyFont="1" applyBorder="1">
      <alignment/>
      <protection/>
    </xf>
    <xf numFmtId="0" fontId="8" fillId="0" borderId="22" xfId="62" applyFont="1" applyBorder="1">
      <alignment/>
      <protection/>
    </xf>
    <xf numFmtId="0" fontId="9" fillId="0" borderId="24" xfId="61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20" fillId="0" borderId="0" xfId="0" applyFont="1" applyAlignment="1">
      <alignment/>
    </xf>
    <xf numFmtId="0" fontId="8" fillId="0" borderId="23" xfId="61" applyFont="1" applyBorder="1">
      <alignment/>
      <protection/>
    </xf>
    <xf numFmtId="0" fontId="8" fillId="0" borderId="22" xfId="61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4" xfId="58" applyFont="1" applyBorder="1" applyAlignment="1">
      <alignment horizontal="centerContinuous"/>
      <protection/>
    </xf>
    <xf numFmtId="0" fontId="6" fillId="0" borderId="15" xfId="58" applyFont="1" applyBorder="1" applyAlignment="1">
      <alignment horizontal="centerContinuous"/>
      <protection/>
    </xf>
    <xf numFmtId="0" fontId="6" fillId="0" borderId="22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29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29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0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3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8" xfId="61" applyFont="1" applyBorder="1" applyAlignment="1">
      <alignment horizontal="left" vertical="center" wrapText="1"/>
      <protection/>
    </xf>
    <xf numFmtId="3" fontId="9" fillId="0" borderId="31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8" fillId="0" borderId="23" xfId="61" applyNumberFormat="1" applyFont="1" applyBorder="1" applyAlignment="1">
      <alignment horizontal="right"/>
      <protection/>
    </xf>
    <xf numFmtId="3" fontId="9" fillId="0" borderId="32" xfId="61" applyNumberFormat="1" applyFont="1" applyBorder="1">
      <alignment/>
      <protection/>
    </xf>
    <xf numFmtId="3" fontId="9" fillId="0" borderId="33" xfId="61" applyNumberFormat="1" applyFont="1" applyBorder="1">
      <alignment/>
      <protection/>
    </xf>
    <xf numFmtId="3" fontId="9" fillId="0" borderId="31" xfId="62" applyNumberFormat="1" applyFont="1" applyBorder="1">
      <alignment/>
      <protection/>
    </xf>
    <xf numFmtId="3" fontId="9" fillId="0" borderId="28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20" fillId="0" borderId="20" xfId="61" applyNumberFormat="1" applyFont="1" applyBorder="1" applyAlignment="1">
      <alignment horizontal="right"/>
      <protection/>
    </xf>
    <xf numFmtId="3" fontId="20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20" fillId="0" borderId="33" xfId="61" applyNumberFormat="1" applyFont="1" applyBorder="1">
      <alignment/>
      <protection/>
    </xf>
    <xf numFmtId="3" fontId="20" fillId="0" borderId="34" xfId="62" applyNumberFormat="1" applyFont="1" applyBorder="1">
      <alignment/>
      <protection/>
    </xf>
    <xf numFmtId="3" fontId="20" fillId="0" borderId="21" xfId="62" applyNumberFormat="1" applyFont="1" applyBorder="1">
      <alignment/>
      <protection/>
    </xf>
    <xf numFmtId="3" fontId="9" fillId="0" borderId="32" xfId="62" applyNumberFormat="1" applyFont="1" applyBorder="1">
      <alignment/>
      <protection/>
    </xf>
    <xf numFmtId="3" fontId="8" fillId="0" borderId="22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left" wrapText="1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49" fontId="9" fillId="0" borderId="0" xfId="61" applyNumberFormat="1" applyFont="1">
      <alignment/>
      <protection/>
    </xf>
    <xf numFmtId="49" fontId="15" fillId="0" borderId="0" xfId="61" applyNumberFormat="1" applyFont="1">
      <alignment/>
      <protection/>
    </xf>
    <xf numFmtId="0" fontId="9" fillId="0" borderId="0" xfId="61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49" fontId="10" fillId="0" borderId="0" xfId="58" applyNumberFormat="1" applyFont="1">
      <alignment/>
      <protection/>
    </xf>
    <xf numFmtId="0" fontId="6" fillId="0" borderId="0" xfId="58" applyFont="1" applyAlignment="1">
      <alignment horizontal="left" vertical="center"/>
      <protection/>
    </xf>
    <xf numFmtId="49" fontId="8" fillId="0" borderId="0" xfId="58" applyNumberFormat="1" applyFont="1" applyAlignment="1">
      <alignment horizontal="left" vertical="center"/>
      <protection/>
    </xf>
    <xf numFmtId="49" fontId="10" fillId="0" borderId="0" xfId="58" applyNumberFormat="1" applyFont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3" fontId="10" fillId="0" borderId="0" xfId="59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22" xfId="61" applyFont="1" applyBorder="1" applyAlignment="1">
      <alignment horizontal="left" wrapText="1"/>
      <protection/>
    </xf>
    <xf numFmtId="0" fontId="9" fillId="0" borderId="18" xfId="62" applyFont="1" applyBorder="1" applyAlignment="1">
      <alignment wrapText="1"/>
      <protection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9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7" fillId="0" borderId="0" xfId="42" applyNumberFormat="1" applyFont="1" applyAlignment="1">
      <alignment/>
    </xf>
    <xf numFmtId="170" fontId="4" fillId="0" borderId="0" xfId="42" applyNumberFormat="1" applyFont="1" applyAlignment="1">
      <alignment horizontal="center"/>
    </xf>
    <xf numFmtId="168" fontId="4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10" fillId="0" borderId="0" xfId="42" applyNumberFormat="1" applyFont="1" applyAlignment="1">
      <alignment wrapText="1"/>
    </xf>
    <xf numFmtId="3" fontId="10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168" fontId="19" fillId="0" borderId="0" xfId="42" applyNumberFormat="1" applyFont="1" applyAlignment="1">
      <alignment wrapText="1"/>
    </xf>
    <xf numFmtId="3" fontId="19" fillId="0" borderId="0" xfId="42" applyNumberFormat="1" applyFont="1" applyAlignment="1">
      <alignment horizontal="right" wrapText="1"/>
    </xf>
    <xf numFmtId="3" fontId="10" fillId="0" borderId="0" xfId="42" applyNumberFormat="1" applyFont="1" applyAlignment="1">
      <alignment horizontal="right"/>
    </xf>
    <xf numFmtId="3" fontId="10" fillId="0" borderId="0" xfId="42" applyNumberFormat="1" applyFont="1" applyAlignment="1">
      <alignment horizontal="right" wrapText="1"/>
    </xf>
    <xf numFmtId="168" fontId="19" fillId="0" borderId="0" xfId="42" applyNumberFormat="1" applyFont="1" applyAlignment="1">
      <alignment/>
    </xf>
    <xf numFmtId="3" fontId="19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 wrapText="1"/>
    </xf>
    <xf numFmtId="168" fontId="6" fillId="0" borderId="0" xfId="42" applyNumberFormat="1" applyFont="1" applyBorder="1" applyAlignment="1">
      <alignment horizontal="center"/>
    </xf>
    <xf numFmtId="3" fontId="6" fillId="0" borderId="0" xfId="42" applyNumberFormat="1" applyFont="1" applyBorder="1" applyAlignment="1">
      <alignment horizontal="right"/>
    </xf>
    <xf numFmtId="168" fontId="10" fillId="0" borderId="0" xfId="42" applyNumberFormat="1" applyFont="1" applyBorder="1" applyAlignment="1">
      <alignment horizontal="center"/>
    </xf>
    <xf numFmtId="3" fontId="6" fillId="0" borderId="0" xfId="42" applyNumberFormat="1" applyFont="1" applyAlignment="1">
      <alignment horizontal="right"/>
    </xf>
    <xf numFmtId="168" fontId="10" fillId="0" borderId="0" xfId="42" applyNumberFormat="1" applyFont="1" applyBorder="1" applyAlignment="1">
      <alignment horizontal="center"/>
    </xf>
    <xf numFmtId="3" fontId="10" fillId="0" borderId="0" xfId="42" applyNumberFormat="1" applyFont="1" applyBorder="1" applyAlignment="1">
      <alignment horizontal="right"/>
    </xf>
    <xf numFmtId="170" fontId="10" fillId="0" borderId="0" xfId="42" applyNumberFormat="1" applyFont="1" applyAlignment="1">
      <alignment horizontal="center"/>
    </xf>
    <xf numFmtId="168" fontId="2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21" fillId="0" borderId="0" xfId="42" applyNumberFormat="1" applyFont="1" applyAlignment="1">
      <alignment horizontal="centerContinuous"/>
    </xf>
    <xf numFmtId="168" fontId="24" fillId="0" borderId="0" xfId="42" applyNumberFormat="1" applyFont="1" applyAlignment="1">
      <alignment horizontal="right"/>
    </xf>
    <xf numFmtId="168" fontId="21" fillId="0" borderId="36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 wrapText="1"/>
    </xf>
    <xf numFmtId="168" fontId="4" fillId="0" borderId="37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38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33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0" fontId="4" fillId="0" borderId="0" xfId="0" applyFont="1" applyAlignment="1">
      <alignment horizontal="right"/>
    </xf>
    <xf numFmtId="168" fontId="21" fillId="0" borderId="0" xfId="42" applyNumberFormat="1" applyFont="1" applyAlignment="1">
      <alignment horizontal="right"/>
    </xf>
    <xf numFmtId="0" fontId="3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" fontId="4" fillId="0" borderId="0" xfId="0" applyNumberFormat="1" applyFont="1" applyAlignment="1" quotePrefix="1">
      <alignment/>
    </xf>
    <xf numFmtId="3" fontId="9" fillId="0" borderId="2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8" fillId="0" borderId="0" xfId="61" applyFont="1" applyBorder="1" applyAlignment="1">
      <alignment horizontal="left" wrapText="1"/>
      <protection/>
    </xf>
    <xf numFmtId="0" fontId="9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8" fillId="0" borderId="0" xfId="61" applyFont="1" applyBorder="1" applyAlignment="1" quotePrefix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Alignment="1" quotePrefix="1">
      <alignment/>
    </xf>
    <xf numFmtId="0" fontId="8" fillId="0" borderId="0" xfId="62" applyFont="1" applyBorder="1">
      <alignment/>
      <protection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0" fontId="8" fillId="0" borderId="0" xfId="0" applyFont="1" applyAlignment="1" quotePrefix="1">
      <alignment/>
    </xf>
    <xf numFmtId="3" fontId="9" fillId="0" borderId="0" xfId="0" applyNumberFormat="1" applyFont="1" applyBorder="1" applyAlignment="1">
      <alignment/>
    </xf>
    <xf numFmtId="178" fontId="10" fillId="0" borderId="0" xfId="42" applyNumberFormat="1" applyFont="1" applyAlignment="1">
      <alignment/>
    </xf>
    <xf numFmtId="168" fontId="6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14" xfId="42" applyNumberFormat="1" applyFont="1" applyBorder="1" applyAlignment="1">
      <alignment/>
    </xf>
    <xf numFmtId="168" fontId="6" fillId="0" borderId="41" xfId="42" applyNumberFormat="1" applyFont="1" applyBorder="1" applyAlignment="1">
      <alignment/>
    </xf>
    <xf numFmtId="168" fontId="6" fillId="0" borderId="42" xfId="42" applyNumberFormat="1" applyFont="1" applyBorder="1" applyAlignment="1">
      <alignment/>
    </xf>
    <xf numFmtId="168" fontId="6" fillId="0" borderId="43" xfId="42" applyNumberFormat="1" applyFont="1" applyBorder="1" applyAlignment="1">
      <alignment/>
    </xf>
    <xf numFmtId="168" fontId="10" fillId="0" borderId="43" xfId="42" applyNumberFormat="1" applyFont="1" applyBorder="1" applyAlignment="1">
      <alignment/>
    </xf>
    <xf numFmtId="168" fontId="10" fillId="0" borderId="42" xfId="42" applyNumberFormat="1" applyFont="1" applyBorder="1" applyAlignment="1">
      <alignment/>
    </xf>
    <xf numFmtId="168" fontId="10" fillId="0" borderId="14" xfId="42" applyNumberFormat="1" applyFont="1" applyBorder="1" applyAlignment="1">
      <alignment/>
    </xf>
    <xf numFmtId="168" fontId="10" fillId="0" borderId="15" xfId="42" applyNumberFormat="1" applyFont="1" applyBorder="1" applyAlignment="1">
      <alignment horizontal="center"/>
    </xf>
    <xf numFmtId="168" fontId="10" fillId="0" borderId="44" xfId="42" applyNumberFormat="1" applyFont="1" applyBorder="1" applyAlignment="1">
      <alignment horizontal="center"/>
    </xf>
    <xf numFmtId="168" fontId="10" fillId="0" borderId="45" xfId="42" applyNumberFormat="1" applyFont="1" applyBorder="1" applyAlignment="1">
      <alignment horizontal="center"/>
    </xf>
    <xf numFmtId="168" fontId="10" fillId="0" borderId="46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10" fillId="0" borderId="16" xfId="42" applyNumberFormat="1" applyFont="1" applyBorder="1" applyAlignment="1">
      <alignment/>
    </xf>
    <xf numFmtId="168" fontId="10" fillId="0" borderId="47" xfId="42" applyNumberFormat="1" applyFont="1" applyBorder="1" applyAlignment="1">
      <alignment/>
    </xf>
    <xf numFmtId="168" fontId="10" fillId="0" borderId="48" xfId="42" applyNumberFormat="1" applyFont="1" applyBorder="1" applyAlignment="1">
      <alignment/>
    </xf>
    <xf numFmtId="168" fontId="10" fillId="0" borderId="49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33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27" fillId="0" borderId="21" xfId="42" applyNumberFormat="1" applyFont="1" applyFill="1" applyBorder="1" applyAlignment="1">
      <alignment/>
    </xf>
    <xf numFmtId="168" fontId="27" fillId="0" borderId="32" xfId="42" applyNumberFormat="1" applyFont="1" applyFill="1" applyBorder="1" applyAlignment="1">
      <alignment/>
    </xf>
    <xf numFmtId="168" fontId="10" fillId="0" borderId="21" xfId="42" applyNumberFormat="1" applyFont="1" applyFill="1" applyBorder="1" applyAlignment="1">
      <alignment/>
    </xf>
    <xf numFmtId="168" fontId="10" fillId="0" borderId="32" xfId="42" applyNumberFormat="1" applyFont="1" applyFill="1" applyBorder="1" applyAlignment="1">
      <alignment/>
    </xf>
    <xf numFmtId="168" fontId="6" fillId="0" borderId="50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10" fillId="0" borderId="51" xfId="42" applyNumberFormat="1" applyFont="1" applyBorder="1" applyAlignment="1">
      <alignment/>
    </xf>
    <xf numFmtId="168" fontId="10" fillId="0" borderId="52" xfId="42" applyNumberFormat="1" applyFont="1" applyBorder="1" applyAlignment="1">
      <alignment/>
    </xf>
    <xf numFmtId="168" fontId="10" fillId="0" borderId="53" xfId="42" applyNumberFormat="1" applyFont="1" applyBorder="1" applyAlignment="1">
      <alignment/>
    </xf>
    <xf numFmtId="169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10" fillId="0" borderId="0" xfId="42" applyNumberFormat="1" applyFont="1" applyAlignment="1">
      <alignment horizontal="right"/>
    </xf>
    <xf numFmtId="168" fontId="6" fillId="0" borderId="14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168" fontId="10" fillId="0" borderId="0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168" fontId="6" fillId="0" borderId="22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21" xfId="42" applyNumberFormat="1" applyFont="1" applyBorder="1" applyAlignment="1">
      <alignment/>
    </xf>
    <xf numFmtId="0" fontId="33" fillId="0" borderId="0" xfId="0" applyFont="1" applyAlignment="1">
      <alignment horizontal="right"/>
    </xf>
    <xf numFmtId="3" fontId="0" fillId="0" borderId="29" xfId="0" applyNumberFormat="1" applyBorder="1" applyAlignment="1">
      <alignment/>
    </xf>
    <xf numFmtId="16" fontId="0" fillId="0" borderId="0" xfId="0" applyNumberFormat="1" applyAlignment="1" quotePrefix="1">
      <alignment/>
    </xf>
    <xf numFmtId="0" fontId="13" fillId="0" borderId="0" xfId="61" applyFont="1" applyBorder="1" applyAlignment="1" quotePrefix="1">
      <alignment horizontal="left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9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wrapText="1"/>
      <protection/>
    </xf>
    <xf numFmtId="0" fontId="6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54" xfId="59" applyFont="1" applyBorder="1" applyAlignment="1">
      <alignment horizontal="center" vertical="center"/>
      <protection/>
    </xf>
    <xf numFmtId="0" fontId="10" fillId="0" borderId="36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55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56" xfId="59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24" fillId="0" borderId="14" xfId="59" applyFont="1" applyBorder="1" applyAlignment="1">
      <alignment horizontal="center" textRotation="255"/>
      <protection/>
    </xf>
    <xf numFmtId="0" fontId="24" fillId="0" borderId="15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168" fontId="21" fillId="0" borderId="57" xfId="42" applyNumberFormat="1" applyFont="1" applyBorder="1" applyAlignment="1">
      <alignment horizontal="center"/>
    </xf>
    <xf numFmtId="168" fontId="21" fillId="0" borderId="58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54" xfId="42" applyNumberFormat="1" applyFont="1" applyBorder="1" applyAlignment="1">
      <alignment horizontal="center"/>
    </xf>
    <xf numFmtId="168" fontId="21" fillId="0" borderId="36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55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13" xfId="42" applyNumberFormat="1" applyFont="1" applyBorder="1" applyAlignment="1">
      <alignment horizontal="center"/>
    </xf>
    <xf numFmtId="168" fontId="21" fillId="0" borderId="56" xfId="42" applyNumberFormat="1" applyFont="1" applyBorder="1" applyAlignment="1">
      <alignment horizontal="center"/>
    </xf>
    <xf numFmtId="0" fontId="9" fillId="0" borderId="13" xfId="62" applyFont="1" applyBorder="1" applyAlignment="1">
      <alignment horizontal="right"/>
      <protection/>
    </xf>
    <xf numFmtId="0" fontId="8" fillId="0" borderId="0" xfId="62" applyFont="1" applyAlignment="1">
      <alignment horizontal="center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center"/>
      <protection/>
    </xf>
    <xf numFmtId="0" fontId="7" fillId="0" borderId="11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9" fillId="0" borderId="23" xfId="59" applyFont="1" applyBorder="1" applyAlignment="1">
      <alignment horizontal="center"/>
      <protection/>
    </xf>
    <xf numFmtId="0" fontId="9" fillId="0" borderId="57" xfId="59" applyFont="1" applyBorder="1" applyAlignment="1">
      <alignment horizontal="center"/>
      <protection/>
    </xf>
    <xf numFmtId="0" fontId="9" fillId="0" borderId="58" xfId="59" applyFont="1" applyBorder="1" applyAlignment="1">
      <alignment horizontal="center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/>
      <protection/>
    </xf>
    <xf numFmtId="0" fontId="7" fillId="0" borderId="58" xfId="59" applyFont="1" applyBorder="1" applyAlignment="1">
      <alignment horizontal="center"/>
      <protection/>
    </xf>
    <xf numFmtId="0" fontId="9" fillId="0" borderId="14" xfId="59" applyFont="1" applyBorder="1" applyAlignment="1">
      <alignment horizontal="center" textRotation="255"/>
      <protection/>
    </xf>
    <xf numFmtId="0" fontId="9" fillId="0" borderId="15" xfId="59" applyFont="1" applyBorder="1" applyAlignment="1">
      <alignment horizontal="center" textRotation="255"/>
      <protection/>
    </xf>
    <xf numFmtId="0" fontId="9" fillId="0" borderId="16" xfId="59" applyFont="1" applyBorder="1" applyAlignment="1">
      <alignment horizontal="center" textRotation="255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62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9" fillId="0" borderId="57" xfId="59" applyFont="1" applyBorder="1" applyAlignment="1">
      <alignment horizontal="center" wrapText="1"/>
      <protection/>
    </xf>
    <xf numFmtId="0" fontId="9" fillId="0" borderId="58" xfId="59" applyFont="1" applyBorder="1" applyAlignment="1">
      <alignment horizontal="center" wrapText="1"/>
      <protection/>
    </xf>
    <xf numFmtId="44" fontId="9" fillId="0" borderId="23" xfId="66" applyFont="1" applyBorder="1" applyAlignment="1">
      <alignment horizontal="center"/>
    </xf>
    <xf numFmtId="44" fontId="9" fillId="0" borderId="57" xfId="66" applyFont="1" applyBorder="1" applyAlignment="1">
      <alignment horizontal="center"/>
    </xf>
    <xf numFmtId="44" fontId="9" fillId="0" borderId="58" xfId="66" applyFont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16" xfId="59" applyFont="1" applyBorder="1" applyAlignment="1">
      <alignment horizontal="center" textRotation="255"/>
      <protection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54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8" fontId="10" fillId="0" borderId="26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28" xfId="0" applyFont="1" applyBorder="1" applyAlignment="1">
      <alignment/>
    </xf>
    <xf numFmtId="0" fontId="28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wrapText="1"/>
    </xf>
    <xf numFmtId="0" fontId="28" fillId="0" borderId="46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168" fontId="10" fillId="0" borderId="26" xfId="40" applyNumberFormat="1" applyFont="1" applyBorder="1" applyAlignment="1">
      <alignment horizontal="center"/>
    </xf>
    <xf numFmtId="168" fontId="10" fillId="0" borderId="46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168" fontId="10" fillId="0" borderId="2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68" fontId="6" fillId="0" borderId="14" xfId="40" applyNumberFormat="1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6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10" fillId="0" borderId="62" xfId="40" applyNumberFormat="1" applyFont="1" applyBorder="1" applyAlignment="1">
      <alignment horizontal="center"/>
    </xf>
    <xf numFmtId="168" fontId="10" fillId="0" borderId="63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58" applyFont="1" applyAlignment="1">
      <alignment horizont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3" xfId="58" applyFont="1" applyBorder="1" applyAlignment="1">
      <alignment horizontal="center"/>
      <protection/>
    </xf>
    <xf numFmtId="0" fontId="6" fillId="0" borderId="57" xfId="58" applyFont="1" applyBorder="1" applyAlignment="1">
      <alignment horizontal="center"/>
      <protection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Alignment="1" quotePrefix="1">
      <alignment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31">
      <selection activeCell="O55" sqref="O55"/>
    </sheetView>
  </sheetViews>
  <sheetFormatPr defaultColWidth="9.00390625" defaultRowHeight="12.75"/>
  <cols>
    <col min="14" max="14" width="11.00390625" style="0" customWidth="1"/>
  </cols>
  <sheetData>
    <row r="42" spans="14:22" ht="22.5">
      <c r="N42" s="423" t="s">
        <v>339</v>
      </c>
      <c r="O42" s="423"/>
      <c r="P42" s="423"/>
      <c r="Q42" s="423"/>
      <c r="R42" s="423"/>
      <c r="S42" s="423"/>
      <c r="T42" s="423"/>
      <c r="U42" s="423"/>
      <c r="V42" s="423"/>
    </row>
    <row r="43" spans="14:21" ht="22.5">
      <c r="N43" s="423"/>
      <c r="O43" s="423"/>
      <c r="P43" s="423"/>
      <c r="Q43" s="423"/>
      <c r="R43" s="423"/>
      <c r="S43" s="423"/>
      <c r="T43" s="423"/>
      <c r="U43" s="423"/>
    </row>
    <row r="44" spans="14:22" ht="22.5">
      <c r="N44" s="423" t="s">
        <v>435</v>
      </c>
      <c r="O44" s="423"/>
      <c r="P44" s="423"/>
      <c r="Q44" s="423"/>
      <c r="R44" s="423"/>
      <c r="S44" s="423"/>
      <c r="T44" s="423"/>
      <c r="U44" s="423"/>
      <c r="V44" s="423"/>
    </row>
    <row r="45" spans="14:22" ht="22.5">
      <c r="N45" s="423" t="s">
        <v>340</v>
      </c>
      <c r="O45" s="423"/>
      <c r="P45" s="423"/>
      <c r="Q45" s="423"/>
      <c r="R45" s="423"/>
      <c r="S45" s="423"/>
      <c r="T45" s="423"/>
      <c r="U45" s="423"/>
      <c r="V45" s="423"/>
    </row>
    <row r="47" spans="17:19" ht="12.75">
      <c r="Q47" s="424"/>
      <c r="R47" s="425"/>
      <c r="S47" s="425"/>
    </row>
    <row r="48" spans="17:19" ht="12.75">
      <c r="Q48" s="425"/>
      <c r="R48" s="425"/>
      <c r="S48" s="425"/>
    </row>
    <row r="53" spans="14:16" s="141" customFormat="1" ht="15.75">
      <c r="N53" s="227"/>
      <c r="O53" s="18"/>
      <c r="P53" s="20"/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6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11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104" customFormat="1" ht="15.75">
      <c r="A1" s="426" t="s">
        <v>469</v>
      </c>
      <c r="B1" s="432"/>
      <c r="C1" s="432"/>
    </row>
    <row r="2" spans="1:3" ht="15.75">
      <c r="A2" s="146"/>
      <c r="B2" s="146"/>
      <c r="C2" s="71"/>
    </row>
    <row r="3" spans="1:3" s="104" customFormat="1" ht="15.75">
      <c r="A3" s="146"/>
      <c r="C3" s="405"/>
    </row>
    <row r="5" spans="1:3" s="97" customFormat="1" ht="15">
      <c r="A5" s="545"/>
      <c r="B5" s="545"/>
      <c r="C5" s="545"/>
    </row>
    <row r="6" spans="1:3" s="97" customFormat="1" ht="15.75">
      <c r="A6" s="105"/>
      <c r="B6" s="63"/>
      <c r="C6" s="63"/>
    </row>
    <row r="7" spans="1:3" ht="15.75">
      <c r="A7" s="546" t="s">
        <v>318</v>
      </c>
      <c r="B7" s="546"/>
      <c r="C7" s="546"/>
    </row>
    <row r="8" spans="1:3" ht="15.75">
      <c r="A8" s="448" t="s">
        <v>337</v>
      </c>
      <c r="B8" s="448"/>
      <c r="C8" s="448"/>
    </row>
    <row r="9" spans="1:4" ht="15.75">
      <c r="A9" s="448" t="s">
        <v>141</v>
      </c>
      <c r="B9" s="448"/>
      <c r="C9" s="448"/>
      <c r="D9" s="110"/>
    </row>
    <row r="10" spans="1:3" ht="15.75">
      <c r="A10" s="448" t="s">
        <v>437</v>
      </c>
      <c r="B10" s="448"/>
      <c r="C10" s="448"/>
    </row>
    <row r="11" ht="16.5" thickBot="1">
      <c r="C11" s="406" t="s">
        <v>372</v>
      </c>
    </row>
    <row r="12" spans="1:3" ht="15.75">
      <c r="A12" s="111" t="s">
        <v>23</v>
      </c>
      <c r="B12" s="106"/>
      <c r="C12" s="407" t="s">
        <v>14</v>
      </c>
    </row>
    <row r="13" spans="1:3" ht="15.75">
      <c r="A13" s="107"/>
      <c r="B13" s="108" t="s">
        <v>0</v>
      </c>
      <c r="C13" s="387"/>
    </row>
    <row r="14" spans="1:3" ht="34.5" customHeight="1" thickBot="1">
      <c r="A14" s="109" t="s">
        <v>24</v>
      </c>
      <c r="B14" s="112"/>
      <c r="C14" s="408" t="s">
        <v>6</v>
      </c>
    </row>
    <row r="15" spans="1:3" ht="20.25" customHeight="1">
      <c r="A15" s="551" t="s">
        <v>142</v>
      </c>
      <c r="B15" s="551"/>
      <c r="C15" s="551"/>
    </row>
    <row r="16" spans="1:3" ht="20.25" customHeight="1">
      <c r="A16" s="113" t="s">
        <v>25</v>
      </c>
      <c r="B16" s="114" t="s">
        <v>143</v>
      </c>
      <c r="C16" s="409"/>
    </row>
    <row r="17" spans="1:3" ht="20.25" customHeight="1">
      <c r="A17" s="113"/>
      <c r="B17" s="20" t="s">
        <v>144</v>
      </c>
      <c r="C17" s="409" t="e">
        <f>#REF!</f>
        <v>#REF!</v>
      </c>
    </row>
    <row r="18" spans="1:5" ht="20.25" customHeight="1">
      <c r="A18" s="113"/>
      <c r="B18" s="76" t="s">
        <v>145</v>
      </c>
      <c r="C18" s="409" t="e">
        <f>#REF!</f>
        <v>#REF!</v>
      </c>
      <c r="D18" s="74"/>
      <c r="E18" s="74"/>
    </row>
    <row r="19" spans="1:3" ht="20.25" customHeight="1">
      <c r="A19" s="113" t="s">
        <v>19</v>
      </c>
      <c r="B19" s="114" t="s">
        <v>146</v>
      </c>
      <c r="C19" s="409" t="e">
        <f>#REF!</f>
        <v>#REF!</v>
      </c>
    </row>
    <row r="20" spans="1:3" ht="20.25" customHeight="1">
      <c r="A20" s="113" t="s">
        <v>26</v>
      </c>
      <c r="B20" s="114" t="s">
        <v>147</v>
      </c>
      <c r="C20" s="409" t="e">
        <f>#REF!</f>
        <v>#REF!</v>
      </c>
    </row>
    <row r="21" spans="1:3" ht="20.25" customHeight="1">
      <c r="A21" s="113" t="s">
        <v>64</v>
      </c>
      <c r="B21" s="115" t="s">
        <v>148</v>
      </c>
      <c r="C21" s="409"/>
    </row>
    <row r="22" spans="1:5" ht="36" customHeight="1">
      <c r="A22" s="113"/>
      <c r="B22" s="76" t="s">
        <v>149</v>
      </c>
      <c r="C22" s="409"/>
      <c r="D22" s="76"/>
      <c r="E22" s="76"/>
    </row>
    <row r="23" spans="1:3" ht="20.25" customHeight="1">
      <c r="A23" s="113"/>
      <c r="B23" s="20" t="s">
        <v>150</v>
      </c>
      <c r="C23" s="409"/>
    </row>
    <row r="24" spans="1:3" ht="36" customHeight="1">
      <c r="A24" s="116"/>
      <c r="B24" s="117" t="s">
        <v>151</v>
      </c>
      <c r="C24" s="410" t="e">
        <f>SUM(C17:C23)</f>
        <v>#REF!</v>
      </c>
    </row>
    <row r="25" spans="1:3" ht="21" customHeight="1">
      <c r="A25" s="110" t="s">
        <v>65</v>
      </c>
      <c r="B25" s="114" t="s">
        <v>152</v>
      </c>
      <c r="C25" s="311" t="e">
        <f>#REF!</f>
        <v>#REF!</v>
      </c>
    </row>
    <row r="26" spans="1:3" ht="21" customHeight="1">
      <c r="A26" s="110" t="s">
        <v>70</v>
      </c>
      <c r="B26" s="114" t="s">
        <v>153</v>
      </c>
      <c r="C26" s="311" t="e">
        <f>#REF!</f>
        <v>#REF!</v>
      </c>
    </row>
    <row r="27" spans="1:3" ht="21" customHeight="1">
      <c r="A27" s="110" t="s">
        <v>154</v>
      </c>
      <c r="B27" s="118" t="s">
        <v>155</v>
      </c>
      <c r="C27" s="311" t="e">
        <f>#REF!</f>
        <v>#REF!</v>
      </c>
    </row>
    <row r="28" spans="1:3" ht="21" customHeight="1">
      <c r="A28" s="110" t="s">
        <v>156</v>
      </c>
      <c r="B28" s="118" t="s">
        <v>157</v>
      </c>
      <c r="C28" s="311" t="e">
        <f>#REF!</f>
        <v>#REF!</v>
      </c>
    </row>
    <row r="29" spans="1:3" ht="21" customHeight="1">
      <c r="A29" s="110" t="s">
        <v>158</v>
      </c>
      <c r="B29" s="118" t="s">
        <v>159</v>
      </c>
      <c r="C29" s="311"/>
    </row>
    <row r="30" spans="1:3" ht="15.75">
      <c r="A30" s="110"/>
      <c r="B30" s="119" t="s">
        <v>160</v>
      </c>
      <c r="C30" s="406" t="e">
        <f>#REF!</f>
        <v>#REF!</v>
      </c>
    </row>
    <row r="31" spans="1:5" ht="15.75">
      <c r="A31" s="110"/>
      <c r="B31" s="119" t="s">
        <v>161</v>
      </c>
      <c r="C31" s="411" t="e">
        <f>#REF!</f>
        <v>#REF!</v>
      </c>
      <c r="E31" s="77"/>
    </row>
    <row r="32" spans="1:6" ht="33.75" customHeight="1">
      <c r="A32" s="116"/>
      <c r="B32" s="117" t="s">
        <v>162</v>
      </c>
      <c r="C32" s="410" t="e">
        <f>SUM(C25:C31)</f>
        <v>#REF!</v>
      </c>
      <c r="E32" s="77"/>
      <c r="F32" s="77"/>
    </row>
    <row r="33" spans="1:6" ht="21.75" customHeight="1">
      <c r="A33" s="113"/>
      <c r="B33" s="114"/>
      <c r="C33" s="409"/>
      <c r="E33" s="77"/>
      <c r="F33" s="77"/>
    </row>
    <row r="34" spans="1:6" ht="22.5" customHeight="1">
      <c r="A34" s="113"/>
      <c r="B34" s="114"/>
      <c r="C34" s="409"/>
      <c r="E34" s="77"/>
      <c r="F34" s="77"/>
    </row>
    <row r="35" spans="1:6" ht="22.5" customHeight="1">
      <c r="A35" s="113"/>
      <c r="B35" s="114"/>
      <c r="C35" s="409"/>
      <c r="E35" s="77"/>
      <c r="F35" s="77"/>
    </row>
    <row r="36" spans="1:3" ht="19.5" customHeight="1" thickBot="1">
      <c r="A36" s="552"/>
      <c r="B36" s="552"/>
      <c r="C36" s="552"/>
    </row>
    <row r="37" spans="1:3" ht="15.75">
      <c r="A37" s="111" t="s">
        <v>23</v>
      </c>
      <c r="B37" s="106"/>
      <c r="C37" s="407" t="s">
        <v>14</v>
      </c>
    </row>
    <row r="38" spans="1:3" ht="15.75">
      <c r="A38" s="107"/>
      <c r="B38" s="108" t="s">
        <v>0</v>
      </c>
      <c r="C38" s="387"/>
    </row>
    <row r="39" spans="1:3" ht="15.75" customHeight="1" thickBot="1">
      <c r="A39" s="109" t="s">
        <v>24</v>
      </c>
      <c r="B39" s="112"/>
      <c r="C39" s="408" t="s">
        <v>6</v>
      </c>
    </row>
    <row r="40" spans="1:3" ht="21" customHeight="1">
      <c r="A40" s="553" t="s">
        <v>163</v>
      </c>
      <c r="B40" s="553"/>
      <c r="C40" s="553"/>
    </row>
    <row r="41" spans="1:3" ht="21" customHeight="1">
      <c r="A41" s="110" t="s">
        <v>164</v>
      </c>
      <c r="B41" s="55" t="s">
        <v>165</v>
      </c>
      <c r="C41" s="411" t="e">
        <f>#REF!</f>
        <v>#REF!</v>
      </c>
    </row>
    <row r="42" spans="1:2" ht="21" customHeight="1">
      <c r="A42" s="110" t="s">
        <v>166</v>
      </c>
      <c r="B42" s="55" t="s">
        <v>167</v>
      </c>
    </row>
    <row r="43" spans="1:2" ht="21" customHeight="1">
      <c r="A43" s="110" t="s">
        <v>168</v>
      </c>
      <c r="B43" s="115" t="s">
        <v>169</v>
      </c>
    </row>
    <row r="44" spans="1:2" ht="31.5" customHeight="1">
      <c r="A44" s="110"/>
      <c r="B44" s="91" t="s">
        <v>170</v>
      </c>
    </row>
    <row r="45" spans="1:2" ht="21" customHeight="1">
      <c r="A45" s="110"/>
      <c r="B45" s="48" t="s">
        <v>171</v>
      </c>
    </row>
    <row r="46" spans="1:5" ht="32.25" customHeight="1">
      <c r="A46" s="116"/>
      <c r="B46" s="117" t="s">
        <v>172</v>
      </c>
      <c r="C46" s="410" t="e">
        <f>SUM(C41:C45)</f>
        <v>#REF!</v>
      </c>
      <c r="E46" s="77"/>
    </row>
    <row r="47" spans="1:3" ht="21" customHeight="1">
      <c r="A47" s="110" t="s">
        <v>173</v>
      </c>
      <c r="B47" s="55" t="s">
        <v>174</v>
      </c>
      <c r="C47" s="411" t="e">
        <f>#REF!</f>
        <v>#REF!</v>
      </c>
    </row>
    <row r="48" spans="1:3" ht="21" customHeight="1">
      <c r="A48" s="110" t="s">
        <v>175</v>
      </c>
      <c r="B48" s="55" t="s">
        <v>176</v>
      </c>
      <c r="C48" s="411" t="e">
        <f>#REF!</f>
        <v>#REF!</v>
      </c>
    </row>
    <row r="49" spans="1:2" ht="18.75" customHeight="1">
      <c r="A49" s="110" t="s">
        <v>177</v>
      </c>
      <c r="B49" s="115" t="s">
        <v>178</v>
      </c>
    </row>
    <row r="50" spans="1:2" ht="33" customHeight="1">
      <c r="A50" s="110"/>
      <c r="B50" s="91" t="s">
        <v>179</v>
      </c>
    </row>
    <row r="51" spans="1:2" ht="18" customHeight="1">
      <c r="A51" s="110"/>
      <c r="B51" s="119" t="s">
        <v>180</v>
      </c>
    </row>
    <row r="52" spans="1:2" ht="18" customHeight="1">
      <c r="A52" s="110"/>
      <c r="B52" s="119" t="s">
        <v>161</v>
      </c>
    </row>
    <row r="53" spans="1:6" s="9" customFormat="1" ht="27" customHeight="1" thickBot="1">
      <c r="A53" s="116"/>
      <c r="B53" s="117" t="s">
        <v>181</v>
      </c>
      <c r="C53" s="410" t="e">
        <f>SUM(C47:C52)</f>
        <v>#REF!</v>
      </c>
      <c r="F53" s="120"/>
    </row>
    <row r="54" spans="1:3" s="9" customFormat="1" ht="27" customHeight="1" thickBot="1">
      <c r="A54" s="121"/>
      <c r="B54" s="122" t="s">
        <v>182</v>
      </c>
      <c r="C54" s="412" t="e">
        <f>C24+C46</f>
        <v>#REF!</v>
      </c>
    </row>
    <row r="55" spans="1:6" s="9" customFormat="1" ht="27" customHeight="1" thickBot="1">
      <c r="A55" s="121"/>
      <c r="B55" s="122" t="s">
        <v>183</v>
      </c>
      <c r="C55" s="412" t="e">
        <f>C32+C53</f>
        <v>#REF!</v>
      </c>
      <c r="F55" s="120"/>
    </row>
    <row r="56" spans="1:3" s="124" customFormat="1" ht="16.5" thickBot="1">
      <c r="A56" s="123"/>
      <c r="B56" s="132"/>
      <c r="C56" s="413"/>
    </row>
    <row r="57" spans="1:3" s="124" customFormat="1" ht="19.5" customHeight="1">
      <c r="A57" s="111" t="s">
        <v>23</v>
      </c>
      <c r="B57" s="547" t="s">
        <v>0</v>
      </c>
      <c r="C57" s="407" t="s">
        <v>14</v>
      </c>
    </row>
    <row r="58" spans="1:3" s="124" customFormat="1" ht="15.75">
      <c r="A58" s="107"/>
      <c r="B58" s="548"/>
      <c r="C58" s="387"/>
    </row>
    <row r="59" spans="1:3" s="124" customFormat="1" ht="12" customHeight="1" thickBot="1">
      <c r="A59" s="109" t="s">
        <v>24</v>
      </c>
      <c r="B59" s="549"/>
      <c r="C59" s="408" t="s">
        <v>6</v>
      </c>
    </row>
    <row r="60" spans="1:3" s="124" customFormat="1" ht="15.75">
      <c r="A60" s="123"/>
      <c r="B60" s="132"/>
      <c r="C60" s="413"/>
    </row>
    <row r="61" spans="1:3" ht="15" customHeight="1">
      <c r="A61" s="550" t="s">
        <v>184</v>
      </c>
      <c r="B61" s="550"/>
      <c r="C61" s="550"/>
    </row>
    <row r="62" spans="1:3" ht="15" customHeight="1">
      <c r="A62" s="125"/>
      <c r="B62" s="125"/>
      <c r="C62" s="125"/>
    </row>
    <row r="63" spans="1:3" ht="20.25" customHeight="1">
      <c r="A63" s="116" t="s">
        <v>185</v>
      </c>
      <c r="B63" s="126" t="s">
        <v>186</v>
      </c>
      <c r="C63" s="410" t="e">
        <f>#REF!</f>
        <v>#REF!</v>
      </c>
    </row>
    <row r="64" spans="1:3" ht="21" customHeight="1">
      <c r="A64" s="116"/>
      <c r="B64" s="228" t="s">
        <v>187</v>
      </c>
      <c r="C64" s="414" t="e">
        <f>SUM(C63:C63)</f>
        <v>#REF!</v>
      </c>
    </row>
    <row r="65" spans="1:3" ht="15.75">
      <c r="A65" s="113" t="s">
        <v>188</v>
      </c>
      <c r="B65" s="126" t="s">
        <v>354</v>
      </c>
      <c r="C65" s="410" t="e">
        <f>#REF!</f>
        <v>#REF!</v>
      </c>
    </row>
    <row r="66" spans="1:3" ht="15.75">
      <c r="A66" s="110" t="s">
        <v>189</v>
      </c>
      <c r="B66" s="126" t="s">
        <v>190</v>
      </c>
      <c r="C66" s="410"/>
    </row>
    <row r="67" spans="1:3" s="127" customFormat="1" ht="27" customHeight="1" thickBot="1">
      <c r="A67" s="116"/>
      <c r="B67" s="228" t="s">
        <v>191</v>
      </c>
      <c r="C67" s="414" t="e">
        <f>SUM(C65:C66)</f>
        <v>#REF!</v>
      </c>
    </row>
    <row r="68" spans="1:5" s="127" customFormat="1" ht="27" customHeight="1" thickBot="1">
      <c r="A68" s="128"/>
      <c r="B68" s="129" t="s">
        <v>192</v>
      </c>
      <c r="C68" s="130" t="e">
        <f>C54+C64</f>
        <v>#REF!</v>
      </c>
      <c r="E68" s="131"/>
    </row>
    <row r="69" spans="1:5" ht="27" customHeight="1" thickBot="1">
      <c r="A69" s="128"/>
      <c r="B69" s="129" t="s">
        <v>193</v>
      </c>
      <c r="C69" s="130" t="e">
        <f>C55+C67</f>
        <v>#REF!</v>
      </c>
      <c r="E69" s="131"/>
    </row>
  </sheetData>
  <sheetProtection/>
  <mergeCells count="11">
    <mergeCell ref="A40:C40"/>
    <mergeCell ref="A1:C1"/>
    <mergeCell ref="A5:C5"/>
    <mergeCell ref="A7:C7"/>
    <mergeCell ref="B57:B59"/>
    <mergeCell ref="A61:C61"/>
    <mergeCell ref="A8:C8"/>
    <mergeCell ref="A9:C9"/>
    <mergeCell ref="A10:C10"/>
    <mergeCell ref="A15:C15"/>
    <mergeCell ref="A36:C3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9"/>
  <sheetViews>
    <sheetView zoomScalePageLayoutView="0" workbookViewId="0" topLeftCell="A1">
      <selection activeCell="B5" sqref="B5:O5"/>
    </sheetView>
  </sheetViews>
  <sheetFormatPr defaultColWidth="9.00390625" defaultRowHeight="12.75"/>
  <cols>
    <col min="1" max="1" width="5.125" style="48" customWidth="1"/>
    <col min="2" max="2" width="43.625" style="48" customWidth="1"/>
    <col min="3" max="12" width="15.375" style="311" customWidth="1"/>
    <col min="13" max="13" width="17.375" style="311" customWidth="1"/>
    <col min="14" max="14" width="15.375" style="311" customWidth="1"/>
    <col min="15" max="15" width="18.875" style="311" customWidth="1"/>
    <col min="16" max="16" width="12.625" style="48" bestFit="1" customWidth="1"/>
    <col min="17" max="16384" width="9.125" style="48" customWidth="1"/>
  </cols>
  <sheetData>
    <row r="1" spans="1:15" ht="15.75">
      <c r="A1" s="460" t="s">
        <v>476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3:15" s="226" customFormat="1" ht="15.75"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ht="15.75">
      <c r="O3" s="373"/>
    </row>
    <row r="4" spans="2:15" ht="15.75"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2:15" ht="15.75"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2:15" ht="15.75">
      <c r="B6" s="429" t="s">
        <v>318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</row>
    <row r="7" spans="2:15" ht="15.75">
      <c r="B7" s="429" t="s">
        <v>210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</row>
    <row r="8" spans="2:15" ht="15.75">
      <c r="B8" s="429" t="s">
        <v>437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</row>
    <row r="9" spans="3:15" ht="16.5" thickBot="1">
      <c r="C9" s="312"/>
      <c r="D9" s="312"/>
      <c r="E9" s="312"/>
      <c r="F9" s="374"/>
      <c r="G9" s="312"/>
      <c r="H9" s="312"/>
      <c r="I9" s="312"/>
      <c r="J9" s="312"/>
      <c r="O9" s="375" t="s">
        <v>365</v>
      </c>
    </row>
    <row r="10" spans="1:15" ht="15.75">
      <c r="A10" s="149" t="s">
        <v>23</v>
      </c>
      <c r="B10" s="150"/>
      <c r="C10" s="376"/>
      <c r="D10" s="377"/>
      <c r="E10" s="378"/>
      <c r="F10" s="379"/>
      <c r="G10" s="379"/>
      <c r="H10" s="379"/>
      <c r="I10" s="379"/>
      <c r="J10" s="379"/>
      <c r="K10" s="380"/>
      <c r="L10" s="380"/>
      <c r="M10" s="380"/>
      <c r="N10" s="381"/>
      <c r="O10" s="382"/>
    </row>
    <row r="11" spans="1:15" ht="15.75">
      <c r="A11" s="151"/>
      <c r="B11" s="152" t="s">
        <v>0</v>
      </c>
      <c r="C11" s="383" t="s">
        <v>211</v>
      </c>
      <c r="D11" s="384" t="s">
        <v>212</v>
      </c>
      <c r="E11" s="385" t="s">
        <v>213</v>
      </c>
      <c r="F11" s="386" t="s">
        <v>214</v>
      </c>
      <c r="G11" s="386" t="s">
        <v>215</v>
      </c>
      <c r="H11" s="386" t="s">
        <v>216</v>
      </c>
      <c r="I11" s="386" t="s">
        <v>217</v>
      </c>
      <c r="J11" s="386" t="s">
        <v>218</v>
      </c>
      <c r="K11" s="386" t="s">
        <v>219</v>
      </c>
      <c r="L11" s="386" t="s">
        <v>220</v>
      </c>
      <c r="M11" s="386" t="s">
        <v>221</v>
      </c>
      <c r="N11" s="385" t="s">
        <v>222</v>
      </c>
      <c r="O11" s="387" t="s">
        <v>207</v>
      </c>
    </row>
    <row r="12" spans="1:15" ht="16.5" thickBot="1">
      <c r="A12" s="153" t="s">
        <v>24</v>
      </c>
      <c r="B12" s="154"/>
      <c r="C12" s="388"/>
      <c r="D12" s="389"/>
      <c r="E12" s="390"/>
      <c r="F12" s="391"/>
      <c r="G12" s="391"/>
      <c r="H12" s="391"/>
      <c r="I12" s="391"/>
      <c r="J12" s="391"/>
      <c r="K12" s="391"/>
      <c r="L12" s="391"/>
      <c r="M12" s="391"/>
      <c r="N12" s="390"/>
      <c r="O12" s="388"/>
    </row>
    <row r="13" spans="1:15" ht="28.5" customHeight="1">
      <c r="A13" s="155"/>
      <c r="B13" s="156" t="s">
        <v>223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3"/>
    </row>
    <row r="14" spans="1:15" ht="28.5" customHeight="1">
      <c r="A14" s="155" t="s">
        <v>25</v>
      </c>
      <c r="B14" s="156" t="s">
        <v>224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3"/>
    </row>
    <row r="15" spans="1:15" ht="28.5" customHeight="1">
      <c r="A15" s="155"/>
      <c r="B15" s="156" t="s">
        <v>225</v>
      </c>
      <c r="C15" s="392">
        <f>883825+16093</f>
        <v>899918</v>
      </c>
      <c r="D15" s="392">
        <f>1773000+15764</f>
        <v>1788764</v>
      </c>
      <c r="E15" s="392">
        <f>1773000+15763</f>
        <v>1788763</v>
      </c>
      <c r="F15" s="392">
        <f>1773000+15763</f>
        <v>1788763</v>
      </c>
      <c r="G15" s="392">
        <f>1710385+15763</f>
        <v>1726148</v>
      </c>
      <c r="H15" s="392">
        <f>1710385+15763</f>
        <v>1726148</v>
      </c>
      <c r="I15" s="392">
        <f>1710385+15763+1150000</f>
        <v>2876148</v>
      </c>
      <c r="J15" s="392">
        <f>1710385+15500+70000+276800</f>
        <v>2072685</v>
      </c>
      <c r="K15" s="392">
        <f>1710385+30999</f>
        <v>1741384</v>
      </c>
      <c r="L15" s="392">
        <v>1710385</v>
      </c>
      <c r="M15" s="392">
        <v>1710385</v>
      </c>
      <c r="N15" s="392">
        <v>1710381</v>
      </c>
      <c r="O15" s="393">
        <f>SUM(C15:N15)</f>
        <v>21539872</v>
      </c>
    </row>
    <row r="16" spans="1:15" ht="28.5" customHeight="1">
      <c r="A16" s="155"/>
      <c r="B16" s="156" t="s">
        <v>226</v>
      </c>
      <c r="C16" s="392"/>
      <c r="D16" s="392"/>
      <c r="E16" s="392">
        <v>602179</v>
      </c>
      <c r="F16" s="392"/>
      <c r="G16" s="392"/>
      <c r="H16" s="392"/>
      <c r="I16" s="392">
        <v>471569</v>
      </c>
      <c r="J16" s="392">
        <v>42000</v>
      </c>
      <c r="K16" s="392">
        <v>770707</v>
      </c>
      <c r="L16" s="392">
        <v>354656</v>
      </c>
      <c r="M16" s="392">
        <v>42000</v>
      </c>
      <c r="N16" s="392"/>
      <c r="O16" s="393">
        <f>SUM(C16:N16)</f>
        <v>2283111</v>
      </c>
    </row>
    <row r="17" spans="1:15" ht="28.5" customHeight="1">
      <c r="A17" s="155" t="s">
        <v>19</v>
      </c>
      <c r="B17" s="156" t="s">
        <v>227</v>
      </c>
      <c r="C17" s="392"/>
      <c r="D17" s="392">
        <v>4500000</v>
      </c>
      <c r="E17" s="392"/>
      <c r="F17" s="392"/>
      <c r="G17" s="392"/>
      <c r="H17" s="392">
        <v>5311470</v>
      </c>
      <c r="I17" s="392"/>
      <c r="J17" s="392"/>
      <c r="K17" s="392"/>
      <c r="L17" s="392">
        <v>14640346</v>
      </c>
      <c r="M17" s="392">
        <v>29993337</v>
      </c>
      <c r="N17" s="392">
        <v>5311470</v>
      </c>
      <c r="O17" s="393">
        <f>SUM(C17:N17)</f>
        <v>59756623</v>
      </c>
    </row>
    <row r="18" spans="1:15" ht="15.75">
      <c r="A18" s="155" t="s">
        <v>26</v>
      </c>
      <c r="B18" s="156" t="s">
        <v>228</v>
      </c>
      <c r="C18" s="392">
        <v>23000</v>
      </c>
      <c r="D18" s="392">
        <v>83000</v>
      </c>
      <c r="E18" s="392">
        <v>415000</v>
      </c>
      <c r="F18" s="392">
        <v>69000</v>
      </c>
      <c r="G18" s="392">
        <v>64000</v>
      </c>
      <c r="H18" s="392">
        <v>24000</v>
      </c>
      <c r="I18" s="392">
        <v>9000</v>
      </c>
      <c r="J18" s="392">
        <v>120000</v>
      </c>
      <c r="K18" s="392">
        <v>410000</v>
      </c>
      <c r="L18" s="392">
        <v>22000</v>
      </c>
      <c r="M18" s="392">
        <v>184000</v>
      </c>
      <c r="N18" s="392">
        <v>72000</v>
      </c>
      <c r="O18" s="393">
        <f>SUM(C18:N18)</f>
        <v>1495000</v>
      </c>
    </row>
    <row r="19" spans="1:17" ht="15.75">
      <c r="A19" s="155" t="s">
        <v>64</v>
      </c>
      <c r="B19" s="156" t="s">
        <v>229</v>
      </c>
      <c r="C19" s="392">
        <v>72753</v>
      </c>
      <c r="D19" s="392">
        <v>72753</v>
      </c>
      <c r="E19" s="392">
        <v>72753</v>
      </c>
      <c r="F19" s="392">
        <v>72753</v>
      </c>
      <c r="G19" s="392">
        <v>72753</v>
      </c>
      <c r="H19" s="392">
        <v>72753</v>
      </c>
      <c r="I19" s="392">
        <v>72753</v>
      </c>
      <c r="J19" s="392">
        <v>72753</v>
      </c>
      <c r="K19" s="392">
        <f>72753+329000</f>
        <v>401753</v>
      </c>
      <c r="L19" s="392">
        <v>72753</v>
      </c>
      <c r="M19" s="392">
        <v>72753</v>
      </c>
      <c r="N19" s="392">
        <f>72753+4200081</f>
        <v>4272834</v>
      </c>
      <c r="O19" s="393">
        <f>SUM(C19:N19)</f>
        <v>5402117</v>
      </c>
      <c r="P19" s="167"/>
      <c r="Q19" s="167"/>
    </row>
    <row r="20" spans="1:15" ht="15.75">
      <c r="A20" s="155" t="s">
        <v>65</v>
      </c>
      <c r="B20" s="157" t="s">
        <v>230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3">
        <f>SUM(C20:N20)</f>
        <v>0</v>
      </c>
    </row>
    <row r="21" spans="1:15" ht="15.75">
      <c r="A21" s="155" t="s">
        <v>70</v>
      </c>
      <c r="B21" s="157" t="s">
        <v>148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6"/>
      <c r="O21" s="393">
        <f>SUM(C21:N21)</f>
        <v>0</v>
      </c>
    </row>
    <row r="22" spans="1:15" ht="31.5">
      <c r="A22" s="155"/>
      <c r="B22" s="156" t="s">
        <v>231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8"/>
      <c r="O22" s="393">
        <f>SUM(C22:N22)</f>
        <v>0</v>
      </c>
    </row>
    <row r="23" spans="1:15" ht="17.25" customHeight="1">
      <c r="A23" s="155"/>
      <c r="B23" s="156" t="s">
        <v>232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8"/>
      <c r="O23" s="393">
        <f>SUM(C23:N23)</f>
        <v>0</v>
      </c>
    </row>
    <row r="24" spans="1:15" ht="15.75">
      <c r="A24" s="155" t="s">
        <v>154</v>
      </c>
      <c r="B24" s="157" t="s">
        <v>233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8"/>
      <c r="O24" s="393">
        <f>SUM(C24:N24)</f>
        <v>0</v>
      </c>
    </row>
    <row r="25" spans="1:15" ht="47.25">
      <c r="A25" s="155"/>
      <c r="B25" s="166" t="s">
        <v>234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8"/>
      <c r="O25" s="393">
        <f>SUM(C25:N25)</f>
        <v>0</v>
      </c>
    </row>
    <row r="26" spans="1:15" ht="15.75">
      <c r="A26" s="155"/>
      <c r="B26" s="156" t="s">
        <v>235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8"/>
      <c r="O26" s="393">
        <f>SUM(C26:N26)</f>
        <v>0</v>
      </c>
    </row>
    <row r="27" spans="1:15" ht="15.75">
      <c r="A27" s="155" t="s">
        <v>156</v>
      </c>
      <c r="B27" s="157" t="s">
        <v>236</v>
      </c>
      <c r="C27" s="397">
        <v>1717365</v>
      </c>
      <c r="D27" s="397"/>
      <c r="E27" s="397"/>
      <c r="F27" s="397"/>
      <c r="G27" s="397">
        <v>9967697</v>
      </c>
      <c r="H27" s="397"/>
      <c r="I27" s="397"/>
      <c r="J27" s="397"/>
      <c r="K27" s="397"/>
      <c r="L27" s="397"/>
      <c r="M27" s="397"/>
      <c r="N27" s="398"/>
      <c r="O27" s="393">
        <f>SUM(C27:N27)</f>
        <v>11685062</v>
      </c>
    </row>
    <row r="28" spans="1:15" ht="16.5" thickBot="1">
      <c r="A28" s="158" t="s">
        <v>158</v>
      </c>
      <c r="B28" s="159" t="s">
        <v>237</v>
      </c>
      <c r="C28" s="397"/>
      <c r="D28" s="397">
        <f>C47</f>
        <v>132908</v>
      </c>
      <c r="E28" s="397">
        <f>D47</f>
        <v>4827849</v>
      </c>
      <c r="F28" s="397">
        <f>E47</f>
        <v>5901370</v>
      </c>
      <c r="G28" s="397">
        <f>F47</f>
        <v>5625506</v>
      </c>
      <c r="H28" s="397">
        <f>G47</f>
        <v>11242215</v>
      </c>
      <c r="I28" s="397">
        <f>H47</f>
        <v>16057059</v>
      </c>
      <c r="J28" s="397">
        <f>I47</f>
        <v>16077689</v>
      </c>
      <c r="K28" s="397">
        <f>J47</f>
        <v>15081460</v>
      </c>
      <c r="L28" s="397">
        <f>K47</f>
        <v>16266521</v>
      </c>
      <c r="M28" s="397">
        <f>L47</f>
        <v>13249480</v>
      </c>
      <c r="N28" s="397">
        <f>M47</f>
        <v>12590002</v>
      </c>
      <c r="O28" s="393"/>
    </row>
    <row r="29" spans="1:16" s="18" customFormat="1" ht="27.75" customHeight="1" thickBot="1">
      <c r="A29" s="160"/>
      <c r="B29" s="160" t="s">
        <v>238</v>
      </c>
      <c r="C29" s="399">
        <f>SUM(C15:C28)</f>
        <v>2713036</v>
      </c>
      <c r="D29" s="399">
        <f>SUM(D15:D28)</f>
        <v>6577425</v>
      </c>
      <c r="E29" s="399">
        <f>SUM(E15:E28)</f>
        <v>7706544</v>
      </c>
      <c r="F29" s="399">
        <f>SUM(F15:F28)</f>
        <v>7831886</v>
      </c>
      <c r="G29" s="399">
        <f>SUM(G15:G28)</f>
        <v>17456104</v>
      </c>
      <c r="H29" s="399">
        <f>SUM(H15:H28)</f>
        <v>18376586</v>
      </c>
      <c r="I29" s="399">
        <f>SUM(I15:I28)</f>
        <v>19486529</v>
      </c>
      <c r="J29" s="399">
        <f>SUM(J15:J28)</f>
        <v>18385127</v>
      </c>
      <c r="K29" s="399">
        <f>SUM(K15:K28)</f>
        <v>18405304</v>
      </c>
      <c r="L29" s="399">
        <f>SUM(L15:L28)</f>
        <v>33066661</v>
      </c>
      <c r="M29" s="399">
        <f>SUM(M15:M28)</f>
        <v>45251955</v>
      </c>
      <c r="N29" s="399">
        <f>SUM(N15:N28)</f>
        <v>23956687</v>
      </c>
      <c r="O29" s="400">
        <f>SUM(O14:O28)</f>
        <v>102161785</v>
      </c>
      <c r="P29" s="85"/>
    </row>
    <row r="30" spans="1:15" ht="15.75">
      <c r="A30" s="161"/>
      <c r="B30" s="162" t="s">
        <v>239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401"/>
    </row>
    <row r="31" spans="1:16" ht="15.75">
      <c r="A31" s="155" t="s">
        <v>164</v>
      </c>
      <c r="B31" s="157" t="s">
        <v>114</v>
      </c>
      <c r="C31" s="392">
        <f>381300+282671+13181+287</f>
        <v>677439</v>
      </c>
      <c r="D31" s="392">
        <f>633712+13191+95766</f>
        <v>742669</v>
      </c>
      <c r="E31" s="392">
        <f>633712+13191+95765</f>
        <v>742668</v>
      </c>
      <c r="F31" s="392">
        <f>633713+13191+95765+3</f>
        <v>742672</v>
      </c>
      <c r="G31" s="392">
        <f>765007+13191</f>
        <v>778198</v>
      </c>
      <c r="H31" s="392">
        <f>765007+13191+206837</f>
        <v>985035</v>
      </c>
      <c r="I31" s="392">
        <f>765007+13191+325100</f>
        <v>1103298</v>
      </c>
      <c r="J31" s="392">
        <f>765007+13191+429676-50000+330821</f>
        <v>1488695</v>
      </c>
      <c r="K31" s="392">
        <f>765007+26382</f>
        <v>791389</v>
      </c>
      <c r="L31" s="392">
        <f>765007+326120</f>
        <v>1091127</v>
      </c>
      <c r="M31" s="392">
        <f>765007+120162+79523+50000</f>
        <v>1014692</v>
      </c>
      <c r="N31" s="392">
        <f>765007+1177164</f>
        <v>1942171</v>
      </c>
      <c r="O31" s="393">
        <f>SUM(C31:N31)</f>
        <v>12100053</v>
      </c>
      <c r="P31" s="167"/>
    </row>
    <row r="32" spans="1:15" ht="31.5">
      <c r="A32" s="155" t="s">
        <v>166</v>
      </c>
      <c r="B32" s="166" t="s">
        <v>240</v>
      </c>
      <c r="C32" s="392">
        <f>149956+10+2572</f>
        <v>152538</v>
      </c>
      <c r="D32" s="392">
        <f>149956+2573+9175</f>
        <v>161704</v>
      </c>
      <c r="E32" s="392">
        <f>149956+2572+9175</f>
        <v>161703</v>
      </c>
      <c r="F32" s="392">
        <f>149956+9175+2576+51</f>
        <v>161758</v>
      </c>
      <c r="G32" s="392">
        <f>169174+2572</f>
        <v>171746</v>
      </c>
      <c r="H32" s="392">
        <f>169174+2572+84203</f>
        <v>255949</v>
      </c>
      <c r="I32" s="392">
        <f>169174+2572+56893</f>
        <v>228639</v>
      </c>
      <c r="J32" s="392">
        <f>169174+2309+41893+57893</f>
        <v>271269</v>
      </c>
      <c r="K32" s="392">
        <f>169174+4617</f>
        <v>173791</v>
      </c>
      <c r="L32" s="392">
        <f>169174+28536</f>
        <v>197710</v>
      </c>
      <c r="M32" s="392">
        <f>169174+21028+13916+19175</f>
        <v>223293</v>
      </c>
      <c r="N32" s="392">
        <f>169174+206004</f>
        <v>375178</v>
      </c>
      <c r="O32" s="393">
        <f>SUM(C32:N32)</f>
        <v>2535278</v>
      </c>
    </row>
    <row r="33" spans="1:17" ht="15.75">
      <c r="A33" s="155" t="s">
        <v>168</v>
      </c>
      <c r="B33" s="157" t="s">
        <v>116</v>
      </c>
      <c r="C33" s="392">
        <f>796000+84202</f>
        <v>880202</v>
      </c>
      <c r="D33" s="392">
        <f>730000+84203</f>
        <v>814203</v>
      </c>
      <c r="E33" s="392">
        <f>752600+84203</f>
        <v>836803</v>
      </c>
      <c r="F33" s="392">
        <f>856000+50000</f>
        <v>906000</v>
      </c>
      <c r="G33" s="392">
        <f>720000+84203</f>
        <v>804203</v>
      </c>
      <c r="H33" s="392">
        <f>654000+84203+177800+80000+40000</f>
        <v>1036003</v>
      </c>
      <c r="I33" s="392">
        <f>671700+84203</f>
        <v>755903</v>
      </c>
      <c r="J33" s="392">
        <f>722000+84203+70000+276800+50000</f>
        <v>1203003</v>
      </c>
      <c r="K33" s="392">
        <f>732000+84203+260000</f>
        <v>1076203</v>
      </c>
      <c r="L33" s="392">
        <f>752000+84202+84203+329000</f>
        <v>1249405</v>
      </c>
      <c r="M33" s="392">
        <f>820429+84202</f>
        <v>904631</v>
      </c>
      <c r="N33" s="392">
        <v>5770574</v>
      </c>
      <c r="O33" s="393">
        <f>SUM(C33:N33)</f>
        <v>16237133</v>
      </c>
      <c r="Q33" s="230"/>
    </row>
    <row r="34" spans="1:15" ht="15.75">
      <c r="A34" s="155" t="s">
        <v>173</v>
      </c>
      <c r="B34" s="157" t="s">
        <v>117</v>
      </c>
      <c r="C34" s="392">
        <v>21000</v>
      </c>
      <c r="D34" s="392">
        <v>21000</v>
      </c>
      <c r="E34" s="392">
        <v>21000</v>
      </c>
      <c r="F34" s="392">
        <v>21000</v>
      </c>
      <c r="G34" s="392">
        <v>21000</v>
      </c>
      <c r="H34" s="392">
        <v>21000</v>
      </c>
      <c r="I34" s="392">
        <v>21000</v>
      </c>
      <c r="J34" s="392">
        <f>251000+37600</f>
        <v>288600</v>
      </c>
      <c r="K34" s="392">
        <v>67400</v>
      </c>
      <c r="L34" s="392">
        <v>21000</v>
      </c>
      <c r="M34" s="392">
        <v>395000</v>
      </c>
      <c r="N34" s="392">
        <v>540000</v>
      </c>
      <c r="O34" s="393">
        <f>SUM(C34:N34)</f>
        <v>1459000</v>
      </c>
    </row>
    <row r="35" spans="1:15" ht="15.75">
      <c r="A35" s="155" t="s">
        <v>175</v>
      </c>
      <c r="B35" s="157" t="s">
        <v>241</v>
      </c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3"/>
    </row>
    <row r="36" spans="1:16" ht="15.75">
      <c r="A36" s="155"/>
      <c r="B36" s="157" t="s">
        <v>243</v>
      </c>
      <c r="C36" s="392">
        <f>41000+12500</f>
        <v>53500</v>
      </c>
      <c r="D36" s="392">
        <f>10000</f>
        <v>10000</v>
      </c>
      <c r="E36" s="392">
        <f>43000</f>
        <v>43000</v>
      </c>
      <c r="F36" s="392">
        <f>21000</f>
        <v>21000</v>
      </c>
      <c r="G36" s="392">
        <v>84000</v>
      </c>
      <c r="H36" s="392">
        <v>21540</v>
      </c>
      <c r="I36" s="392">
        <v>150000</v>
      </c>
      <c r="J36" s="392">
        <f>12500+39600</f>
        <v>52100</v>
      </c>
      <c r="K36" s="392">
        <f>30000</f>
        <v>30000</v>
      </c>
      <c r="L36" s="392">
        <v>34000</v>
      </c>
      <c r="M36" s="392"/>
      <c r="N36" s="392"/>
      <c r="O36" s="393">
        <f>SUM(C36:N36)</f>
        <v>499140</v>
      </c>
      <c r="P36" s="167"/>
    </row>
    <row r="37" spans="1:15" ht="15.75">
      <c r="A37" s="155" t="s">
        <v>177</v>
      </c>
      <c r="B37" s="157" t="s">
        <v>120</v>
      </c>
      <c r="C37" s="392"/>
      <c r="D37" s="392"/>
      <c r="E37" s="392"/>
      <c r="F37" s="392">
        <v>353950</v>
      </c>
      <c r="G37" s="392"/>
      <c r="H37" s="392"/>
      <c r="I37" s="392"/>
      <c r="J37" s="392"/>
      <c r="K37" s="392"/>
      <c r="L37" s="392"/>
      <c r="M37" s="392">
        <v>131000</v>
      </c>
      <c r="N37" s="392">
        <v>15328764</v>
      </c>
      <c r="O37" s="393">
        <f>SUM(C37:N37)</f>
        <v>15813714</v>
      </c>
    </row>
    <row r="38" spans="1:15" ht="15.75">
      <c r="A38" s="155" t="s">
        <v>185</v>
      </c>
      <c r="B38" s="157" t="s">
        <v>43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>
        <f>152400+14640346-152398+2583591</f>
        <v>17223939</v>
      </c>
      <c r="M38" s="392">
        <v>29993337</v>
      </c>
      <c r="N38" s="392"/>
      <c r="O38" s="393">
        <f>SUM(C38:N38)</f>
        <v>47217276</v>
      </c>
    </row>
    <row r="39" spans="1:15" ht="20.25" customHeight="1">
      <c r="A39" s="155" t="s">
        <v>188</v>
      </c>
      <c r="B39" s="157" t="s">
        <v>178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3">
        <f>SUM(C39:N39)</f>
        <v>0</v>
      </c>
    </row>
    <row r="40" spans="1:15" ht="20.25" customHeight="1">
      <c r="A40" s="155"/>
      <c r="B40" s="157" t="s">
        <v>242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3">
        <f>SUM(C40:N40)</f>
        <v>0</v>
      </c>
    </row>
    <row r="41" spans="1:15" ht="15.75">
      <c r="A41" s="155"/>
      <c r="B41" s="157" t="s">
        <v>243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3">
        <f>SUM(C41:N41)</f>
        <v>0</v>
      </c>
    </row>
    <row r="42" spans="1:15" ht="15.75">
      <c r="A42" s="155" t="s">
        <v>189</v>
      </c>
      <c r="B42" s="157" t="s">
        <v>113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3">
        <f>SUM(C42:N42)</f>
        <v>0</v>
      </c>
    </row>
    <row r="43" spans="1:15" ht="15.75">
      <c r="A43" s="155"/>
      <c r="B43" s="157" t="s">
        <v>355</v>
      </c>
      <c r="C43" s="392">
        <v>795449</v>
      </c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3">
        <f>SUM(C43:N43)</f>
        <v>795449</v>
      </c>
    </row>
    <row r="44" spans="1:15" ht="15.75">
      <c r="A44" s="155"/>
      <c r="B44" s="157" t="s">
        <v>244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3">
        <f>SUM(C44:N44)</f>
        <v>0</v>
      </c>
    </row>
    <row r="45" spans="1:16" ht="16.5" thickBot="1">
      <c r="A45" s="155" t="s">
        <v>245</v>
      </c>
      <c r="B45" s="157" t="s">
        <v>246</v>
      </c>
      <c r="C45" s="392"/>
      <c r="D45" s="392"/>
      <c r="E45" s="392"/>
      <c r="F45" s="392"/>
      <c r="G45" s="392">
        <f>9513747-780840-2583591-1383168-563804+152398</f>
        <v>4354742</v>
      </c>
      <c r="H45" s="392"/>
      <c r="I45" s="392">
        <v>1150000</v>
      </c>
      <c r="J45" s="392"/>
      <c r="K45" s="392"/>
      <c r="L45" s="392"/>
      <c r="M45" s="392"/>
      <c r="N45" s="392"/>
      <c r="O45" s="393">
        <f>SUM(C45:N45)</f>
        <v>5504742</v>
      </c>
      <c r="P45" s="167"/>
    </row>
    <row r="46" spans="1:19" s="18" customFormat="1" ht="24" customHeight="1" thickBot="1">
      <c r="A46" s="160"/>
      <c r="B46" s="160" t="s">
        <v>247</v>
      </c>
      <c r="C46" s="399">
        <f>SUM(C31:C45)</f>
        <v>2580128</v>
      </c>
      <c r="D46" s="399">
        <f>SUM(D31:D45)</f>
        <v>1749576</v>
      </c>
      <c r="E46" s="399">
        <f>SUM(E31:E45)</f>
        <v>1805174</v>
      </c>
      <c r="F46" s="399">
        <f>SUM(F31:F45)</f>
        <v>2206380</v>
      </c>
      <c r="G46" s="399">
        <f>SUM(G31:G45)</f>
        <v>6213889</v>
      </c>
      <c r="H46" s="399">
        <f>SUM(H31:H45)</f>
        <v>2319527</v>
      </c>
      <c r="I46" s="399">
        <f>SUM(I31:I45)</f>
        <v>3408840</v>
      </c>
      <c r="J46" s="399">
        <f>SUM(J31:J45)</f>
        <v>3303667</v>
      </c>
      <c r="K46" s="399">
        <f>SUM(K31:K45)</f>
        <v>2138783</v>
      </c>
      <c r="L46" s="399">
        <f>SUM(L31:L45)</f>
        <v>19817181</v>
      </c>
      <c r="M46" s="399">
        <f>SUM(M31:M45)</f>
        <v>32661953</v>
      </c>
      <c r="N46" s="399">
        <f>SUM(N31:N45)</f>
        <v>23956687</v>
      </c>
      <c r="O46" s="400">
        <f>SUM(O31:O45)</f>
        <v>102161785</v>
      </c>
      <c r="S46" s="163"/>
    </row>
    <row r="47" spans="1:15" ht="26.25" customHeight="1" thickBot="1">
      <c r="A47" s="164"/>
      <c r="B47" s="165" t="s">
        <v>248</v>
      </c>
      <c r="C47" s="402">
        <f>C29-C46</f>
        <v>132908</v>
      </c>
      <c r="D47" s="402">
        <f>D29-D46</f>
        <v>4827849</v>
      </c>
      <c r="E47" s="402">
        <f>E29-E46</f>
        <v>5901370</v>
      </c>
      <c r="F47" s="402">
        <f>F29-F46</f>
        <v>5625506</v>
      </c>
      <c r="G47" s="402">
        <f>G29-G46</f>
        <v>11242215</v>
      </c>
      <c r="H47" s="402">
        <f>H29-H46</f>
        <v>16057059</v>
      </c>
      <c r="I47" s="402">
        <f>I29-I46</f>
        <v>16077689</v>
      </c>
      <c r="J47" s="402">
        <f>J29-J46</f>
        <v>15081460</v>
      </c>
      <c r="K47" s="402">
        <f>K29-K46</f>
        <v>16266521</v>
      </c>
      <c r="L47" s="402">
        <f>L29-L46</f>
        <v>13249480</v>
      </c>
      <c r="M47" s="402">
        <f>M29-M46</f>
        <v>12590002</v>
      </c>
      <c r="N47" s="402">
        <f>N29-N46</f>
        <v>0</v>
      </c>
      <c r="O47" s="403"/>
    </row>
    <row r="49" spans="3:14" ht="15.75"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</row>
  </sheetData>
  <sheetProtection/>
  <mergeCells count="6">
    <mergeCell ref="B8:O8"/>
    <mergeCell ref="B4:O4"/>
    <mergeCell ref="B5:O5"/>
    <mergeCell ref="B6:O6"/>
    <mergeCell ref="B7:O7"/>
    <mergeCell ref="A1:O1"/>
  </mergeCells>
  <printOptions horizontalCentered="1"/>
  <pageMargins left="0" right="0" top="0" bottom="0" header="0.31496062992125984" footer="0.31496062992125984"/>
  <pageSetup fitToHeight="0" fitToWidth="1"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8.125" style="22" customWidth="1"/>
    <col min="2" max="2" width="56.25390625" style="22" customWidth="1"/>
    <col min="3" max="3" width="17.875" style="22" customWidth="1"/>
    <col min="4" max="4" width="4.875" style="22" customWidth="1"/>
    <col min="5" max="16384" width="9.125" style="22" customWidth="1"/>
  </cols>
  <sheetData>
    <row r="1" spans="1:5" ht="15.75">
      <c r="A1" s="78" t="s">
        <v>461</v>
      </c>
      <c r="B1" s="78"/>
      <c r="C1" s="78"/>
      <c r="D1" s="78"/>
      <c r="E1" s="21"/>
    </row>
    <row r="2" spans="1:5" ht="15.75">
      <c r="A2" s="23"/>
      <c r="B2" s="23"/>
      <c r="C2" s="23"/>
      <c r="D2" s="24"/>
      <c r="E2" s="21"/>
    </row>
    <row r="3" spans="1:5" ht="18.75" customHeight="1">
      <c r="A3" s="554"/>
      <c r="B3" s="554"/>
      <c r="C3" s="554"/>
      <c r="D3" s="24"/>
      <c r="E3" s="21"/>
    </row>
    <row r="4" spans="1:5" ht="15.75">
      <c r="A4" s="554" t="s">
        <v>318</v>
      </c>
      <c r="B4" s="554"/>
      <c r="C4" s="554"/>
      <c r="D4" s="554"/>
      <c r="E4" s="21"/>
    </row>
    <row r="5" spans="1:5" ht="15.75">
      <c r="A5" s="554" t="s">
        <v>330</v>
      </c>
      <c r="B5" s="554"/>
      <c r="C5" s="554"/>
      <c r="D5" s="554"/>
      <c r="E5" s="21"/>
    </row>
    <row r="6" spans="1:5" ht="15.75">
      <c r="A6" s="554" t="s">
        <v>439</v>
      </c>
      <c r="B6" s="554"/>
      <c r="C6" s="554"/>
      <c r="D6" s="554"/>
      <c r="E6" s="21"/>
    </row>
    <row r="7" spans="1:5" ht="15.75">
      <c r="A7" s="23"/>
      <c r="B7" s="23"/>
      <c r="C7" s="23"/>
      <c r="D7" s="21"/>
      <c r="E7" s="21"/>
    </row>
    <row r="8" spans="1:5" ht="15.75">
      <c r="A8" s="23"/>
      <c r="B8" s="23"/>
      <c r="C8" s="23"/>
      <c r="D8" s="21"/>
      <c r="E8" s="21"/>
    </row>
    <row r="9" spans="1:5" ht="15.75">
      <c r="A9" s="23"/>
      <c r="B9" s="23"/>
      <c r="C9" s="23"/>
      <c r="D9" s="21"/>
      <c r="E9" s="21"/>
    </row>
    <row r="10" spans="1:5" ht="15.75">
      <c r="A10" s="23"/>
      <c r="B10" s="23"/>
      <c r="C10" s="23"/>
      <c r="D10" s="21"/>
      <c r="E10" s="21"/>
    </row>
    <row r="11" spans="1:5" ht="15.75">
      <c r="A11" s="282" t="s">
        <v>25</v>
      </c>
      <c r="B11" s="25" t="s">
        <v>7</v>
      </c>
      <c r="C11" s="23"/>
      <c r="D11" s="21"/>
      <c r="E11" s="21"/>
    </row>
    <row r="12" spans="1:5" ht="10.5" customHeight="1">
      <c r="A12" s="282"/>
      <c r="B12" s="25"/>
      <c r="C12" s="23"/>
      <c r="D12" s="21"/>
      <c r="E12" s="21"/>
    </row>
    <row r="13" spans="1:5" ht="12" customHeight="1">
      <c r="A13" s="282"/>
      <c r="B13" s="25"/>
      <c r="C13" s="26"/>
      <c r="D13" s="21"/>
      <c r="E13" s="21"/>
    </row>
    <row r="14" spans="1:3" s="29" customFormat="1" ht="15">
      <c r="A14" s="283" t="s">
        <v>389</v>
      </c>
      <c r="B14" s="27" t="s">
        <v>8</v>
      </c>
      <c r="C14" s="28"/>
    </row>
    <row r="15" spans="1:5" ht="19.5" customHeight="1">
      <c r="A15" s="284" t="s">
        <v>398</v>
      </c>
      <c r="B15" s="21" t="s">
        <v>9</v>
      </c>
      <c r="C15" s="30">
        <v>1740000</v>
      </c>
      <c r="D15" s="21" t="s">
        <v>1</v>
      </c>
      <c r="E15" s="21"/>
    </row>
    <row r="16" spans="1:5" ht="19.5" customHeight="1">
      <c r="A16" s="281"/>
      <c r="B16" s="24" t="s">
        <v>10</v>
      </c>
      <c r="C16" s="31">
        <f>SUM(C15)</f>
        <v>1740000</v>
      </c>
      <c r="D16" s="24" t="s">
        <v>1</v>
      </c>
      <c r="E16" s="21"/>
    </row>
    <row r="17" spans="1:5" ht="19.5" customHeight="1">
      <c r="A17" s="21"/>
      <c r="B17" s="24"/>
      <c r="C17" s="31"/>
      <c r="D17" s="24"/>
      <c r="E17" s="21"/>
    </row>
    <row r="18" spans="1:5" ht="19.5" customHeight="1">
      <c r="A18" s="21"/>
      <c r="B18" s="24"/>
      <c r="C18" s="31"/>
      <c r="D18" s="24"/>
      <c r="E18" s="21"/>
    </row>
    <row r="19" spans="1:5" ht="10.5" customHeight="1">
      <c r="A19" s="21"/>
      <c r="B19" s="24"/>
      <c r="C19" s="31"/>
      <c r="D19" s="24"/>
      <c r="E19" s="21"/>
    </row>
    <row r="20" spans="1:5" ht="15.75">
      <c r="A20" s="21"/>
      <c r="B20" s="32"/>
      <c r="C20" s="31"/>
      <c r="D20" s="21"/>
      <c r="E20" s="21"/>
    </row>
    <row r="21" spans="1:5" ht="18">
      <c r="A21" s="21"/>
      <c r="B21" s="21"/>
      <c r="C21" s="33"/>
      <c r="D21" s="21"/>
      <c r="E21" s="21"/>
    </row>
    <row r="22" spans="1:5" s="34" customFormat="1" ht="15.75">
      <c r="A22" s="24"/>
      <c r="B22" s="24"/>
      <c r="C22" s="31"/>
      <c r="D22" s="24"/>
      <c r="E22" s="24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65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</sheetData>
  <sheetProtection/>
  <mergeCells count="4">
    <mergeCell ref="A6:D6"/>
    <mergeCell ref="A4:D4"/>
    <mergeCell ref="A5:D5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9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98"/>
      <c r="L1" s="598"/>
      <c r="M1" s="598"/>
    </row>
    <row r="2" spans="1:13" ht="12.7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ht="15.75">
      <c r="A3" s="105" t="s">
        <v>462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105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48" customFormat="1" ht="15.75">
      <c r="A5" s="429" t="s">
        <v>318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3" s="48" customFormat="1" ht="15.75">
      <c r="A6" s="429" t="s">
        <v>252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3" s="48" customFormat="1" ht="15.75">
      <c r="A7" s="429" t="s">
        <v>437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3" ht="12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s="48" customFormat="1" ht="15.75">
      <c r="A9" s="172" t="s">
        <v>253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2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15.75">
      <c r="A11" s="173" t="s">
        <v>254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2" customHeight="1" thickBo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ht="16.5" thickBot="1">
      <c r="A13" s="605" t="s">
        <v>255</v>
      </c>
      <c r="B13" s="606"/>
      <c r="C13" s="606"/>
      <c r="D13" s="583" t="s">
        <v>256</v>
      </c>
      <c r="E13" s="584"/>
      <c r="F13" s="585"/>
      <c r="G13" s="583" t="s">
        <v>257</v>
      </c>
      <c r="H13" s="584"/>
      <c r="I13" s="585"/>
      <c r="J13" s="583" t="s">
        <v>258</v>
      </c>
      <c r="K13" s="584"/>
      <c r="L13" s="585"/>
      <c r="M13" s="586" t="s">
        <v>259</v>
      </c>
    </row>
    <row r="14" spans="1:13" ht="15.75">
      <c r="A14" s="607"/>
      <c r="B14" s="608"/>
      <c r="C14" s="608"/>
      <c r="D14" s="174" t="s">
        <v>260</v>
      </c>
      <c r="E14" s="175" t="s">
        <v>261</v>
      </c>
      <c r="F14" s="176" t="s">
        <v>262</v>
      </c>
      <c r="G14" s="175" t="s">
        <v>263</v>
      </c>
      <c r="H14" s="175" t="s">
        <v>261</v>
      </c>
      <c r="I14" s="176" t="s">
        <v>264</v>
      </c>
      <c r="J14" s="175" t="s">
        <v>263</v>
      </c>
      <c r="K14" s="176" t="s">
        <v>261</v>
      </c>
      <c r="L14" s="175" t="s">
        <v>264</v>
      </c>
      <c r="M14" s="587"/>
    </row>
    <row r="15" spans="1:13" ht="16.5" thickBot="1">
      <c r="A15" s="607"/>
      <c r="B15" s="608"/>
      <c r="C15" s="608"/>
      <c r="D15" s="177" t="s">
        <v>265</v>
      </c>
      <c r="E15" s="178" t="s">
        <v>266</v>
      </c>
      <c r="F15" s="179" t="s">
        <v>4</v>
      </c>
      <c r="G15" s="180" t="s">
        <v>265</v>
      </c>
      <c r="H15" s="178" t="s">
        <v>266</v>
      </c>
      <c r="I15" s="179" t="s">
        <v>4</v>
      </c>
      <c r="J15" s="180" t="s">
        <v>265</v>
      </c>
      <c r="K15" s="179" t="s">
        <v>266</v>
      </c>
      <c r="L15" s="178" t="s">
        <v>4</v>
      </c>
      <c r="M15" s="588"/>
    </row>
    <row r="16" spans="1:13" ht="7.5" customHeight="1">
      <c r="A16" s="589"/>
      <c r="B16" s="590"/>
      <c r="C16" s="591"/>
      <c r="D16" s="573"/>
      <c r="E16" s="555"/>
      <c r="F16" s="576"/>
      <c r="G16" s="599"/>
      <c r="H16" s="602"/>
      <c r="I16" s="620"/>
      <c r="J16" s="555"/>
      <c r="K16" s="555"/>
      <c r="L16" s="555"/>
      <c r="M16" s="582"/>
    </row>
    <row r="17" spans="1:13" ht="7.5" customHeight="1">
      <c r="A17" s="592"/>
      <c r="B17" s="593"/>
      <c r="C17" s="594"/>
      <c r="D17" s="574"/>
      <c r="E17" s="556"/>
      <c r="F17" s="577"/>
      <c r="G17" s="600"/>
      <c r="H17" s="603"/>
      <c r="I17" s="556"/>
      <c r="J17" s="556"/>
      <c r="K17" s="556"/>
      <c r="L17" s="556"/>
      <c r="M17" s="556"/>
    </row>
    <row r="18" spans="1:13" ht="15.75" customHeight="1" thickBot="1">
      <c r="A18" s="595"/>
      <c r="B18" s="596"/>
      <c r="C18" s="597"/>
      <c r="D18" s="575"/>
      <c r="E18" s="557"/>
      <c r="F18" s="578"/>
      <c r="G18" s="601"/>
      <c r="H18" s="604"/>
      <c r="I18" s="621"/>
      <c r="J18" s="557"/>
      <c r="K18" s="557"/>
      <c r="L18" s="557"/>
      <c r="M18" s="557"/>
    </row>
    <row r="19" spans="1:13" s="90" customFormat="1" ht="12.75" customHeight="1">
      <c r="A19" s="609" t="s">
        <v>2</v>
      </c>
      <c r="B19" s="610"/>
      <c r="C19" s="611"/>
      <c r="D19" s="615"/>
      <c r="E19" s="615"/>
      <c r="F19" s="617">
        <f>SUM(F16)</f>
        <v>0</v>
      </c>
      <c r="G19" s="615"/>
      <c r="H19" s="615"/>
      <c r="I19" s="615"/>
      <c r="J19" s="615"/>
      <c r="K19" s="615"/>
      <c r="L19" s="615"/>
      <c r="M19" s="619">
        <f>M16</f>
        <v>0</v>
      </c>
    </row>
    <row r="20" spans="1:13" s="90" customFormat="1" ht="13.5" customHeight="1" thickBot="1">
      <c r="A20" s="612"/>
      <c r="B20" s="613"/>
      <c r="C20" s="614"/>
      <c r="D20" s="616"/>
      <c r="E20" s="616"/>
      <c r="F20" s="618"/>
      <c r="G20" s="616"/>
      <c r="H20" s="616"/>
      <c r="I20" s="616"/>
      <c r="J20" s="616"/>
      <c r="K20" s="616"/>
      <c r="L20" s="616"/>
      <c r="M20" s="616"/>
    </row>
    <row r="21" spans="1:13" ht="12" customHeight="1">
      <c r="A21" s="171"/>
      <c r="B21" s="171"/>
      <c r="C21" s="171"/>
      <c r="D21" s="171"/>
      <c r="E21" s="171"/>
      <c r="F21" s="181"/>
      <c r="G21" s="171"/>
      <c r="H21" s="171"/>
      <c r="I21" s="171"/>
      <c r="J21" s="171"/>
      <c r="K21" s="171"/>
      <c r="L21" s="171"/>
      <c r="M21" s="171"/>
    </row>
    <row r="22" spans="1:6" s="173" customFormat="1" ht="12" customHeight="1">
      <c r="A22" s="173" t="s">
        <v>267</v>
      </c>
      <c r="F22" s="182"/>
    </row>
    <row r="23" spans="1:13" ht="13.5" customHeight="1">
      <c r="A23" s="183" t="s">
        <v>268</v>
      </c>
      <c r="B23" s="183"/>
      <c r="C23" s="183"/>
      <c r="D23" s="183"/>
      <c r="E23" s="183"/>
      <c r="F23" s="184"/>
      <c r="G23" s="185" t="s">
        <v>4</v>
      </c>
      <c r="H23" s="171"/>
      <c r="I23" s="171"/>
      <c r="J23" s="171"/>
      <c r="K23" s="171"/>
      <c r="L23" s="171"/>
      <c r="M23" s="171"/>
    </row>
    <row r="24" spans="1:13" ht="13.5" customHeight="1">
      <c r="A24" s="183" t="s">
        <v>269</v>
      </c>
      <c r="B24" s="183"/>
      <c r="C24" s="183"/>
      <c r="D24" s="183"/>
      <c r="E24" s="183"/>
      <c r="F24" s="184"/>
      <c r="G24" s="185" t="s">
        <v>4</v>
      </c>
      <c r="H24" s="171"/>
      <c r="I24" s="171"/>
      <c r="J24" s="171"/>
      <c r="K24" s="171"/>
      <c r="L24" s="171"/>
      <c r="M24" s="171"/>
    </row>
    <row r="25" spans="1:13" ht="13.5" customHeight="1">
      <c r="A25" s="183" t="s">
        <v>270</v>
      </c>
      <c r="B25" s="183"/>
      <c r="C25" s="183"/>
      <c r="D25" s="183"/>
      <c r="E25" s="183"/>
      <c r="F25" s="186"/>
      <c r="G25" s="187" t="s">
        <v>4</v>
      </c>
      <c r="H25" s="171"/>
      <c r="I25" s="171"/>
      <c r="J25" s="171"/>
      <c r="K25" s="171"/>
      <c r="L25" s="171"/>
      <c r="M25" s="171"/>
    </row>
    <row r="26" spans="1:13" ht="13.5" customHeight="1">
      <c r="A26" s="183" t="s">
        <v>271</v>
      </c>
      <c r="B26" s="183"/>
      <c r="C26" s="183"/>
      <c r="D26" s="183"/>
      <c r="E26" s="183"/>
      <c r="F26" s="188">
        <f>SUM(F23:F25)</f>
        <v>0</v>
      </c>
      <c r="G26" s="189" t="s">
        <v>4</v>
      </c>
      <c r="H26" s="171"/>
      <c r="I26" s="171"/>
      <c r="J26" s="171"/>
      <c r="K26" s="171"/>
      <c r="L26" s="171"/>
      <c r="M26" s="171"/>
    </row>
    <row r="27" spans="1:13" ht="13.5" customHeight="1">
      <c r="A27" s="183"/>
      <c r="B27" s="183"/>
      <c r="C27" s="183"/>
      <c r="D27" s="183"/>
      <c r="E27" s="183"/>
      <c r="F27" s="188"/>
      <c r="G27" s="189"/>
      <c r="H27" s="171"/>
      <c r="I27" s="171"/>
      <c r="J27" s="171"/>
      <c r="K27" s="171"/>
      <c r="L27" s="171"/>
      <c r="M27" s="171"/>
    </row>
    <row r="28" spans="1:13" ht="15.75">
      <c r="A28" s="173" t="s">
        <v>272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3.5" customHeight="1">
      <c r="A29" s="183"/>
      <c r="B29" s="183"/>
      <c r="C29" s="183"/>
      <c r="D29" s="183"/>
      <c r="E29" s="183"/>
      <c r="F29" s="188"/>
      <c r="G29" s="189"/>
      <c r="H29" s="171"/>
      <c r="I29" s="171"/>
      <c r="J29" s="171"/>
      <c r="K29" s="171"/>
      <c r="L29" s="171"/>
      <c r="M29" s="171"/>
    </row>
    <row r="30" spans="1:13" ht="13.5" customHeight="1" thickBot="1">
      <c r="A30" s="183"/>
      <c r="B30" s="183"/>
      <c r="C30" s="183"/>
      <c r="D30" s="183"/>
      <c r="E30" s="183"/>
      <c r="F30" s="188"/>
      <c r="G30" s="189"/>
      <c r="H30" s="171"/>
      <c r="I30" s="171"/>
      <c r="J30" s="171"/>
      <c r="K30" s="171"/>
      <c r="L30" s="171"/>
      <c r="M30" s="171"/>
    </row>
    <row r="31" spans="1:13" ht="16.5" thickBot="1">
      <c r="A31" s="605" t="s">
        <v>255</v>
      </c>
      <c r="B31" s="606"/>
      <c r="C31" s="606"/>
      <c r="D31" s="583" t="s">
        <v>256</v>
      </c>
      <c r="E31" s="584"/>
      <c r="F31" s="585"/>
      <c r="G31" s="583" t="s">
        <v>257</v>
      </c>
      <c r="H31" s="584"/>
      <c r="I31" s="585"/>
      <c r="J31" s="583" t="s">
        <v>258</v>
      </c>
      <c r="K31" s="584"/>
      <c r="L31" s="585"/>
      <c r="M31" s="586" t="s">
        <v>259</v>
      </c>
    </row>
    <row r="32" spans="1:13" ht="15.75">
      <c r="A32" s="607"/>
      <c r="B32" s="608"/>
      <c r="C32" s="608"/>
      <c r="D32" s="174" t="s">
        <v>260</v>
      </c>
      <c r="E32" s="175" t="s">
        <v>261</v>
      </c>
      <c r="F32" s="176" t="s">
        <v>262</v>
      </c>
      <c r="G32" s="175" t="s">
        <v>263</v>
      </c>
      <c r="H32" s="175" t="s">
        <v>261</v>
      </c>
      <c r="I32" s="176" t="s">
        <v>264</v>
      </c>
      <c r="J32" s="175" t="s">
        <v>263</v>
      </c>
      <c r="K32" s="176" t="s">
        <v>261</v>
      </c>
      <c r="L32" s="175" t="s">
        <v>264</v>
      </c>
      <c r="M32" s="587"/>
    </row>
    <row r="33" spans="1:13" ht="16.5" thickBot="1">
      <c r="A33" s="607"/>
      <c r="B33" s="608"/>
      <c r="C33" s="608"/>
      <c r="D33" s="177" t="s">
        <v>265</v>
      </c>
      <c r="E33" s="178" t="s">
        <v>266</v>
      </c>
      <c r="F33" s="179" t="s">
        <v>4</v>
      </c>
      <c r="G33" s="180" t="s">
        <v>265</v>
      </c>
      <c r="H33" s="178" t="s">
        <v>266</v>
      </c>
      <c r="I33" s="179" t="s">
        <v>4</v>
      </c>
      <c r="J33" s="180" t="s">
        <v>265</v>
      </c>
      <c r="K33" s="179" t="s">
        <v>266</v>
      </c>
      <c r="L33" s="178" t="s">
        <v>4</v>
      </c>
      <c r="M33" s="588"/>
    </row>
    <row r="34" spans="1:13" ht="7.5" customHeight="1">
      <c r="A34" s="564" t="s">
        <v>331</v>
      </c>
      <c r="B34" s="565"/>
      <c r="C34" s="566"/>
      <c r="D34" s="573" t="s">
        <v>332</v>
      </c>
      <c r="E34" s="555"/>
      <c r="F34" s="576">
        <v>44</v>
      </c>
      <c r="G34" s="562"/>
      <c r="H34" s="562"/>
      <c r="I34" s="562"/>
      <c r="J34" s="555"/>
      <c r="K34" s="555"/>
      <c r="L34" s="555"/>
      <c r="M34" s="582">
        <f>F34</f>
        <v>44</v>
      </c>
    </row>
    <row r="35" spans="1:13" ht="7.5" customHeight="1">
      <c r="A35" s="567"/>
      <c r="B35" s="568"/>
      <c r="C35" s="569"/>
      <c r="D35" s="574"/>
      <c r="E35" s="556"/>
      <c r="F35" s="577"/>
      <c r="G35" s="562"/>
      <c r="H35" s="562"/>
      <c r="I35" s="562"/>
      <c r="J35" s="556"/>
      <c r="K35" s="556"/>
      <c r="L35" s="556"/>
      <c r="M35" s="556"/>
    </row>
    <row r="36" spans="1:13" ht="7.5" customHeight="1">
      <c r="A36" s="570"/>
      <c r="B36" s="571"/>
      <c r="C36" s="572"/>
      <c r="D36" s="575"/>
      <c r="E36" s="557"/>
      <c r="F36" s="578"/>
      <c r="G36" s="562"/>
      <c r="H36" s="562"/>
      <c r="I36" s="562"/>
      <c r="J36" s="557"/>
      <c r="K36" s="557"/>
      <c r="L36" s="557"/>
      <c r="M36" s="557"/>
    </row>
    <row r="37" spans="1:13" ht="7.5" customHeight="1">
      <c r="A37" s="564" t="s">
        <v>333</v>
      </c>
      <c r="B37" s="565"/>
      <c r="C37" s="566"/>
      <c r="D37" s="573" t="s">
        <v>335</v>
      </c>
      <c r="E37" s="555"/>
      <c r="F37" s="576"/>
      <c r="G37" s="562"/>
      <c r="H37" s="562"/>
      <c r="I37" s="562"/>
      <c r="J37" s="555"/>
      <c r="K37" s="555"/>
      <c r="L37" s="555"/>
      <c r="M37" s="582"/>
    </row>
    <row r="38" spans="1:13" ht="7.5" customHeight="1">
      <c r="A38" s="567"/>
      <c r="B38" s="568"/>
      <c r="C38" s="569"/>
      <c r="D38" s="574"/>
      <c r="E38" s="556"/>
      <c r="F38" s="577"/>
      <c r="G38" s="562"/>
      <c r="H38" s="562"/>
      <c r="I38" s="562"/>
      <c r="J38" s="556"/>
      <c r="K38" s="556"/>
      <c r="L38" s="556"/>
      <c r="M38" s="556"/>
    </row>
    <row r="39" spans="1:13" ht="7.5" customHeight="1">
      <c r="A39" s="570"/>
      <c r="B39" s="571"/>
      <c r="C39" s="572"/>
      <c r="D39" s="575"/>
      <c r="E39" s="557"/>
      <c r="F39" s="578"/>
      <c r="G39" s="562"/>
      <c r="H39" s="562"/>
      <c r="I39" s="562"/>
      <c r="J39" s="557"/>
      <c r="K39" s="557"/>
      <c r="L39" s="557"/>
      <c r="M39" s="557"/>
    </row>
    <row r="40" spans="1:13" ht="7.5" customHeight="1">
      <c r="A40" s="564" t="s">
        <v>273</v>
      </c>
      <c r="B40" s="565"/>
      <c r="C40" s="566"/>
      <c r="D40" s="573" t="s">
        <v>274</v>
      </c>
      <c r="E40" s="555"/>
      <c r="F40" s="576">
        <v>26</v>
      </c>
      <c r="G40" s="562"/>
      <c r="H40" s="562"/>
      <c r="I40" s="562"/>
      <c r="J40" s="555"/>
      <c r="K40" s="555"/>
      <c r="L40" s="555"/>
      <c r="M40" s="582">
        <f>L40+I40+F40</f>
        <v>26</v>
      </c>
    </row>
    <row r="41" spans="1:13" ht="7.5" customHeight="1">
      <c r="A41" s="567"/>
      <c r="B41" s="568"/>
      <c r="C41" s="569"/>
      <c r="D41" s="574"/>
      <c r="E41" s="556"/>
      <c r="F41" s="577"/>
      <c r="G41" s="562"/>
      <c r="H41" s="562"/>
      <c r="I41" s="562"/>
      <c r="J41" s="556"/>
      <c r="K41" s="556"/>
      <c r="L41" s="556"/>
      <c r="M41" s="556"/>
    </row>
    <row r="42" spans="1:13" ht="7.5" customHeight="1">
      <c r="A42" s="570"/>
      <c r="B42" s="571"/>
      <c r="C42" s="572"/>
      <c r="D42" s="575"/>
      <c r="E42" s="557"/>
      <c r="F42" s="578"/>
      <c r="G42" s="562"/>
      <c r="H42" s="562"/>
      <c r="I42" s="562"/>
      <c r="J42" s="557"/>
      <c r="K42" s="557"/>
      <c r="L42" s="557"/>
      <c r="M42" s="557"/>
    </row>
    <row r="43" spans="1:13" ht="7.5" customHeight="1">
      <c r="A43" s="564" t="s">
        <v>275</v>
      </c>
      <c r="B43" s="565"/>
      <c r="C43" s="566"/>
      <c r="D43" s="573"/>
      <c r="E43" s="555"/>
      <c r="F43" s="576"/>
      <c r="G43" s="561" t="s">
        <v>334</v>
      </c>
      <c r="H43" s="562"/>
      <c r="I43" s="563"/>
      <c r="J43" s="555"/>
      <c r="K43" s="555"/>
      <c r="L43" s="555"/>
      <c r="M43" s="579">
        <f>L43+I43+F43</f>
        <v>0</v>
      </c>
    </row>
    <row r="44" spans="1:13" ht="7.5" customHeight="1">
      <c r="A44" s="567"/>
      <c r="B44" s="568"/>
      <c r="C44" s="569"/>
      <c r="D44" s="574"/>
      <c r="E44" s="556"/>
      <c r="F44" s="577"/>
      <c r="G44" s="561"/>
      <c r="H44" s="562"/>
      <c r="I44" s="563"/>
      <c r="J44" s="556"/>
      <c r="K44" s="556"/>
      <c r="L44" s="556"/>
      <c r="M44" s="580"/>
    </row>
    <row r="45" spans="1:13" ht="7.5" customHeight="1">
      <c r="A45" s="570"/>
      <c r="B45" s="571"/>
      <c r="C45" s="572"/>
      <c r="D45" s="575"/>
      <c r="E45" s="557"/>
      <c r="F45" s="578"/>
      <c r="G45" s="561"/>
      <c r="H45" s="562"/>
      <c r="I45" s="563"/>
      <c r="J45" s="557"/>
      <c r="K45" s="557"/>
      <c r="L45" s="557"/>
      <c r="M45" s="581"/>
    </row>
    <row r="46" spans="1:13" ht="7.5" customHeight="1">
      <c r="A46" s="564" t="s">
        <v>275</v>
      </c>
      <c r="B46" s="565"/>
      <c r="C46" s="566"/>
      <c r="D46" s="573"/>
      <c r="E46" s="555"/>
      <c r="F46" s="576"/>
      <c r="G46" s="561" t="s">
        <v>276</v>
      </c>
      <c r="H46" s="562"/>
      <c r="I46" s="563"/>
      <c r="J46" s="555"/>
      <c r="K46" s="555"/>
      <c r="L46" s="555"/>
      <c r="M46" s="579">
        <f>L46+I46+F46</f>
        <v>0</v>
      </c>
    </row>
    <row r="47" spans="1:13" ht="7.5" customHeight="1">
      <c r="A47" s="567"/>
      <c r="B47" s="568"/>
      <c r="C47" s="569"/>
      <c r="D47" s="574"/>
      <c r="E47" s="556"/>
      <c r="F47" s="577"/>
      <c r="G47" s="561"/>
      <c r="H47" s="562"/>
      <c r="I47" s="563"/>
      <c r="J47" s="556"/>
      <c r="K47" s="556"/>
      <c r="L47" s="556"/>
      <c r="M47" s="580"/>
    </row>
    <row r="48" spans="1:13" ht="7.5" customHeight="1">
      <c r="A48" s="570"/>
      <c r="B48" s="571"/>
      <c r="C48" s="572"/>
      <c r="D48" s="575"/>
      <c r="E48" s="557"/>
      <c r="F48" s="578"/>
      <c r="G48" s="561"/>
      <c r="H48" s="562"/>
      <c r="I48" s="563"/>
      <c r="J48" s="557"/>
      <c r="K48" s="557"/>
      <c r="L48" s="557"/>
      <c r="M48" s="581"/>
    </row>
    <row r="49" spans="1:13" ht="7.5" customHeight="1">
      <c r="A49" s="564" t="s">
        <v>275</v>
      </c>
      <c r="B49" s="565"/>
      <c r="C49" s="566"/>
      <c r="D49" s="573"/>
      <c r="E49" s="555"/>
      <c r="F49" s="576"/>
      <c r="G49" s="561" t="s">
        <v>334</v>
      </c>
      <c r="H49" s="562"/>
      <c r="I49" s="563">
        <v>99</v>
      </c>
      <c r="J49" s="555"/>
      <c r="K49" s="555"/>
      <c r="L49" s="555"/>
      <c r="M49" s="558">
        <v>99</v>
      </c>
    </row>
    <row r="50" spans="1:13" ht="7.5" customHeight="1">
      <c r="A50" s="567"/>
      <c r="B50" s="568"/>
      <c r="C50" s="569"/>
      <c r="D50" s="574"/>
      <c r="E50" s="556"/>
      <c r="F50" s="577"/>
      <c r="G50" s="561"/>
      <c r="H50" s="562"/>
      <c r="I50" s="563"/>
      <c r="J50" s="556"/>
      <c r="K50" s="556"/>
      <c r="L50" s="556"/>
      <c r="M50" s="559"/>
    </row>
    <row r="51" spans="1:13" ht="7.5" customHeight="1">
      <c r="A51" s="570"/>
      <c r="B51" s="571"/>
      <c r="C51" s="572"/>
      <c r="D51" s="575"/>
      <c r="E51" s="557"/>
      <c r="F51" s="578"/>
      <c r="G51" s="561"/>
      <c r="H51" s="562"/>
      <c r="I51" s="563"/>
      <c r="J51" s="557"/>
      <c r="K51" s="557"/>
      <c r="L51" s="557"/>
      <c r="M51" s="560"/>
    </row>
    <row r="52" spans="1:13" ht="7.5" customHeight="1">
      <c r="A52" s="564" t="s">
        <v>275</v>
      </c>
      <c r="B52" s="565"/>
      <c r="C52" s="566"/>
      <c r="D52" s="573"/>
      <c r="E52" s="555"/>
      <c r="F52" s="576"/>
      <c r="G52" s="561" t="s">
        <v>276</v>
      </c>
      <c r="H52" s="562"/>
      <c r="I52" s="563"/>
      <c r="J52" s="555"/>
      <c r="K52" s="555"/>
      <c r="L52" s="555"/>
      <c r="M52" s="558"/>
    </row>
    <row r="53" spans="1:13" ht="7.5" customHeight="1">
      <c r="A53" s="567"/>
      <c r="B53" s="568"/>
      <c r="C53" s="569"/>
      <c r="D53" s="574"/>
      <c r="E53" s="556"/>
      <c r="F53" s="577"/>
      <c r="G53" s="561"/>
      <c r="H53" s="562"/>
      <c r="I53" s="563"/>
      <c r="J53" s="556"/>
      <c r="K53" s="556"/>
      <c r="L53" s="556"/>
      <c r="M53" s="559"/>
    </row>
    <row r="54" spans="1:13" ht="7.5" customHeight="1" thickBot="1">
      <c r="A54" s="570"/>
      <c r="B54" s="571"/>
      <c r="C54" s="572"/>
      <c r="D54" s="575"/>
      <c r="E54" s="557"/>
      <c r="F54" s="578"/>
      <c r="G54" s="561"/>
      <c r="H54" s="562"/>
      <c r="I54" s="563"/>
      <c r="J54" s="557"/>
      <c r="K54" s="557"/>
      <c r="L54" s="557"/>
      <c r="M54" s="560"/>
    </row>
    <row r="55" spans="1:13" s="90" customFormat="1" ht="12.75" customHeight="1">
      <c r="A55" s="609" t="s">
        <v>2</v>
      </c>
      <c r="B55" s="610"/>
      <c r="C55" s="611"/>
      <c r="D55" s="615"/>
      <c r="E55" s="615"/>
      <c r="F55" s="617">
        <f>SUM(F34:F54)</f>
        <v>70</v>
      </c>
      <c r="G55" s="615"/>
      <c r="H55" s="615"/>
      <c r="I55" s="617">
        <f>SUM(I34:I54)</f>
        <v>99</v>
      </c>
      <c r="J55" s="615"/>
      <c r="K55" s="615"/>
      <c r="L55" s="615"/>
      <c r="M55" s="622">
        <f>SUM(M34:M54)</f>
        <v>169</v>
      </c>
    </row>
    <row r="56" spans="1:13" s="90" customFormat="1" ht="13.5" customHeight="1" thickBot="1">
      <c r="A56" s="612"/>
      <c r="B56" s="613"/>
      <c r="C56" s="614"/>
      <c r="D56" s="616"/>
      <c r="E56" s="616"/>
      <c r="F56" s="618"/>
      <c r="G56" s="616"/>
      <c r="H56" s="616"/>
      <c r="I56" s="618"/>
      <c r="J56" s="616"/>
      <c r="K56" s="616"/>
      <c r="L56" s="616"/>
      <c r="M56" s="623"/>
    </row>
    <row r="57" spans="1:13" ht="13.5" customHeight="1">
      <c r="A57" s="183"/>
      <c r="B57" s="183"/>
      <c r="C57" s="183"/>
      <c r="D57" s="183"/>
      <c r="E57" s="183"/>
      <c r="F57" s="188"/>
      <c r="G57" s="189"/>
      <c r="H57" s="171"/>
      <c r="I57" s="171"/>
      <c r="J57" s="171"/>
      <c r="K57" s="171"/>
      <c r="L57" s="171"/>
      <c r="M57" s="171"/>
    </row>
    <row r="58" spans="1:13" ht="13.5" customHeight="1">
      <c r="A58" s="183"/>
      <c r="B58" s="183"/>
      <c r="C58" s="183"/>
      <c r="D58" s="183"/>
      <c r="E58" s="183"/>
      <c r="F58" s="188"/>
      <c r="G58" s="189"/>
      <c r="H58" s="171"/>
      <c r="I58" s="171"/>
      <c r="J58" s="171"/>
      <c r="K58" s="171"/>
      <c r="L58" s="171"/>
      <c r="M58" s="171"/>
    </row>
    <row r="59" spans="1:13" ht="13.5" customHeight="1">
      <c r="A59" s="183"/>
      <c r="B59" s="183"/>
      <c r="C59" s="183"/>
      <c r="D59" s="183"/>
      <c r="E59" s="183"/>
      <c r="F59" s="188"/>
      <c r="G59" s="189"/>
      <c r="H59" s="171"/>
      <c r="I59" s="171"/>
      <c r="J59" s="171"/>
      <c r="K59" s="171"/>
      <c r="L59" s="171"/>
      <c r="M59" s="171"/>
    </row>
    <row r="60" spans="1:13" ht="15.75">
      <c r="A60" s="5" t="s">
        <v>277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2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1:13" ht="15.75">
      <c r="A62" s="5" t="s">
        <v>278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2" customHeight="1" thickBo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</row>
    <row r="64" spans="1:11" ht="12.75" customHeight="1">
      <c r="A64" s="605" t="s">
        <v>255</v>
      </c>
      <c r="B64" s="606"/>
      <c r="C64" s="606"/>
      <c r="D64" s="605" t="s">
        <v>279</v>
      </c>
      <c r="E64" s="586"/>
      <c r="F64" s="605" t="s">
        <v>280</v>
      </c>
      <c r="G64" s="586"/>
      <c r="H64" s="605" t="s">
        <v>281</v>
      </c>
      <c r="I64" s="586"/>
      <c r="J64" s="605" t="s">
        <v>282</v>
      </c>
      <c r="K64" s="586"/>
    </row>
    <row r="65" spans="1:11" ht="12.75" customHeight="1">
      <c r="A65" s="607"/>
      <c r="B65" s="608"/>
      <c r="C65" s="608"/>
      <c r="D65" s="607"/>
      <c r="E65" s="587"/>
      <c r="F65" s="607"/>
      <c r="G65" s="587"/>
      <c r="H65" s="607"/>
      <c r="I65" s="587"/>
      <c r="J65" s="607"/>
      <c r="K65" s="587"/>
    </row>
    <row r="66" spans="1:11" ht="13.5" customHeight="1" thickBot="1">
      <c r="A66" s="627"/>
      <c r="B66" s="628"/>
      <c r="C66" s="628"/>
      <c r="D66" s="627"/>
      <c r="E66" s="588"/>
      <c r="F66" s="627"/>
      <c r="G66" s="588"/>
      <c r="H66" s="627"/>
      <c r="I66" s="588"/>
      <c r="J66" s="627"/>
      <c r="K66" s="588"/>
    </row>
    <row r="67" spans="1:12" s="48" customFormat="1" ht="25.5" customHeight="1" thickBot="1">
      <c r="A67" s="556" t="s">
        <v>283</v>
      </c>
      <c r="B67" s="556"/>
      <c r="C67" s="556"/>
      <c r="D67" s="556" t="s">
        <v>284</v>
      </c>
      <c r="E67" s="556"/>
      <c r="F67" s="624" t="s">
        <v>284</v>
      </c>
      <c r="G67" s="625"/>
      <c r="H67" s="624" t="s">
        <v>284</v>
      </c>
      <c r="I67" s="625"/>
      <c r="J67" s="556" t="s">
        <v>284</v>
      </c>
      <c r="K67" s="556"/>
      <c r="L67" s="190"/>
    </row>
    <row r="68" spans="1:13" s="90" customFormat="1" ht="12.75" customHeight="1">
      <c r="A68" s="609" t="s">
        <v>2</v>
      </c>
      <c r="B68" s="610"/>
      <c r="C68" s="611"/>
      <c r="D68" s="609"/>
      <c r="E68" s="611"/>
      <c r="F68" s="609"/>
      <c r="G68" s="611"/>
      <c r="H68" s="609"/>
      <c r="I68" s="611"/>
      <c r="J68" s="609" t="s">
        <v>284</v>
      </c>
      <c r="K68" s="611"/>
      <c r="L68" s="626"/>
      <c r="M68" s="626"/>
    </row>
    <row r="69" spans="1:13" s="90" customFormat="1" ht="13.5" customHeight="1" thickBot="1">
      <c r="A69" s="612"/>
      <c r="B69" s="613"/>
      <c r="C69" s="614"/>
      <c r="D69" s="612"/>
      <c r="E69" s="614"/>
      <c r="F69" s="612"/>
      <c r="G69" s="614"/>
      <c r="H69" s="612"/>
      <c r="I69" s="614"/>
      <c r="J69" s="612"/>
      <c r="K69" s="614"/>
      <c r="L69" s="626"/>
      <c r="M69" s="626"/>
    </row>
    <row r="71" spans="1:13" ht="15.75">
      <c r="A71" s="5" t="s">
        <v>285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ht="13.5" thickBot="1"/>
    <row r="73" spans="1:11" ht="12.75" customHeight="1">
      <c r="A73" s="605" t="s">
        <v>255</v>
      </c>
      <c r="B73" s="606"/>
      <c r="C73" s="606"/>
      <c r="D73" s="605" t="s">
        <v>279</v>
      </c>
      <c r="E73" s="586"/>
      <c r="F73" s="605" t="s">
        <v>286</v>
      </c>
      <c r="G73" s="586"/>
      <c r="H73" s="605" t="s">
        <v>281</v>
      </c>
      <c r="I73" s="586"/>
      <c r="J73" s="605" t="s">
        <v>282</v>
      </c>
      <c r="K73" s="586"/>
    </row>
    <row r="74" spans="1:11" ht="12.75" customHeight="1">
      <c r="A74" s="607"/>
      <c r="B74" s="608"/>
      <c r="C74" s="608"/>
      <c r="D74" s="607"/>
      <c r="E74" s="587"/>
      <c r="F74" s="607"/>
      <c r="G74" s="587"/>
      <c r="H74" s="607"/>
      <c r="I74" s="587"/>
      <c r="J74" s="607"/>
      <c r="K74" s="587"/>
    </row>
    <row r="75" spans="1:11" ht="13.5" customHeight="1" thickBot="1">
      <c r="A75" s="627"/>
      <c r="B75" s="628"/>
      <c r="C75" s="628"/>
      <c r="D75" s="627"/>
      <c r="E75" s="588"/>
      <c r="F75" s="627"/>
      <c r="G75" s="588"/>
      <c r="H75" s="627"/>
      <c r="I75" s="588"/>
      <c r="J75" s="627"/>
      <c r="K75" s="588"/>
    </row>
    <row r="76" spans="1:12" s="48" customFormat="1" ht="25.5" customHeight="1" thickBot="1">
      <c r="A76" s="556" t="s">
        <v>287</v>
      </c>
      <c r="B76" s="556"/>
      <c r="C76" s="556"/>
      <c r="D76" s="556" t="s">
        <v>288</v>
      </c>
      <c r="E76" s="556"/>
      <c r="F76" s="647" t="s">
        <v>284</v>
      </c>
      <c r="G76" s="648"/>
      <c r="H76" s="647"/>
      <c r="I76" s="648"/>
      <c r="J76" s="577"/>
      <c r="K76" s="577"/>
      <c r="L76" s="190"/>
    </row>
    <row r="77" spans="1:13" ht="12.75" customHeight="1">
      <c r="A77" s="629" t="s">
        <v>2</v>
      </c>
      <c r="B77" s="630"/>
      <c r="C77" s="631"/>
      <c r="D77" s="635"/>
      <c r="E77" s="636"/>
      <c r="F77" s="639">
        <f>SUM(F76)</f>
        <v>0</v>
      </c>
      <c r="G77" s="640"/>
      <c r="H77" s="643">
        <f>SUM(H76)</f>
        <v>0</v>
      </c>
      <c r="I77" s="644"/>
      <c r="J77" s="643">
        <f>SUM(J76)</f>
        <v>0</v>
      </c>
      <c r="K77" s="644"/>
      <c r="L77" s="649"/>
      <c r="M77" s="649"/>
    </row>
    <row r="78" spans="1:13" ht="13.5" customHeight="1" thickBot="1">
      <c r="A78" s="632"/>
      <c r="B78" s="633"/>
      <c r="C78" s="634"/>
      <c r="D78" s="637"/>
      <c r="E78" s="638"/>
      <c r="F78" s="641"/>
      <c r="G78" s="642"/>
      <c r="H78" s="645"/>
      <c r="I78" s="646"/>
      <c r="J78" s="645"/>
      <c r="K78" s="646"/>
      <c r="L78" s="649"/>
      <c r="M78" s="649"/>
    </row>
    <row r="80" spans="1:13" ht="15.75">
      <c r="A80" s="5" t="s">
        <v>289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ht="13.5" thickBot="1"/>
    <row r="82" spans="1:11" ht="12.75" customHeight="1">
      <c r="A82" s="605" t="s">
        <v>255</v>
      </c>
      <c r="B82" s="606"/>
      <c r="C82" s="606"/>
      <c r="D82" s="605" t="s">
        <v>279</v>
      </c>
      <c r="E82" s="586"/>
      <c r="F82" s="605" t="s">
        <v>280</v>
      </c>
      <c r="G82" s="586"/>
      <c r="H82" s="605" t="s">
        <v>281</v>
      </c>
      <c r="I82" s="586"/>
      <c r="J82" s="605" t="s">
        <v>282</v>
      </c>
      <c r="K82" s="586"/>
    </row>
    <row r="83" spans="1:11" ht="12.75" customHeight="1">
      <c r="A83" s="607"/>
      <c r="B83" s="608"/>
      <c r="C83" s="608"/>
      <c r="D83" s="607"/>
      <c r="E83" s="587"/>
      <c r="F83" s="607"/>
      <c r="G83" s="587"/>
      <c r="H83" s="607"/>
      <c r="I83" s="587"/>
      <c r="J83" s="607"/>
      <c r="K83" s="587"/>
    </row>
    <row r="84" spans="1:11" ht="13.5" customHeight="1" thickBot="1">
      <c r="A84" s="627"/>
      <c r="B84" s="628"/>
      <c r="C84" s="628"/>
      <c r="D84" s="627"/>
      <c r="E84" s="588"/>
      <c r="F84" s="627"/>
      <c r="G84" s="588"/>
      <c r="H84" s="627"/>
      <c r="I84" s="588"/>
      <c r="J84" s="627"/>
      <c r="K84" s="588"/>
    </row>
    <row r="85" spans="1:12" s="48" customFormat="1" ht="25.5" customHeight="1" thickBot="1">
      <c r="A85" s="556" t="s">
        <v>287</v>
      </c>
      <c r="B85" s="556"/>
      <c r="C85" s="556"/>
      <c r="D85" s="556" t="s">
        <v>290</v>
      </c>
      <c r="E85" s="556"/>
      <c r="F85" s="624" t="s">
        <v>284</v>
      </c>
      <c r="G85" s="625"/>
      <c r="H85" s="624"/>
      <c r="I85" s="625"/>
      <c r="J85" s="556"/>
      <c r="K85" s="556"/>
      <c r="L85" s="190"/>
    </row>
    <row r="86" spans="1:13" ht="12.75" customHeight="1">
      <c r="A86" s="629" t="s">
        <v>2</v>
      </c>
      <c r="B86" s="630"/>
      <c r="C86" s="631"/>
      <c r="D86" s="635"/>
      <c r="E86" s="636"/>
      <c r="F86" s="635"/>
      <c r="G86" s="636"/>
      <c r="H86" s="609">
        <f>SUM(H85)</f>
        <v>0</v>
      </c>
      <c r="I86" s="611"/>
      <c r="J86" s="609">
        <f>SUM(J85)</f>
        <v>0</v>
      </c>
      <c r="K86" s="611"/>
      <c r="L86" s="649"/>
      <c r="M86" s="649"/>
    </row>
    <row r="87" spans="1:13" ht="13.5" customHeight="1" thickBot="1">
      <c r="A87" s="632"/>
      <c r="B87" s="633"/>
      <c r="C87" s="634"/>
      <c r="D87" s="637"/>
      <c r="E87" s="638"/>
      <c r="F87" s="637"/>
      <c r="G87" s="638"/>
      <c r="H87" s="612"/>
      <c r="I87" s="614"/>
      <c r="J87" s="612"/>
      <c r="K87" s="614"/>
      <c r="L87" s="649"/>
      <c r="M87" s="649"/>
    </row>
    <row r="89" spans="1:13" ht="15.75">
      <c r="A89" s="5" t="s">
        <v>291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ht="13.5" thickBot="1"/>
    <row r="91" spans="1:11" ht="12.75" customHeight="1">
      <c r="A91" s="605" t="s">
        <v>255</v>
      </c>
      <c r="B91" s="606"/>
      <c r="C91" s="606"/>
      <c r="D91" s="605" t="s">
        <v>279</v>
      </c>
      <c r="E91" s="586"/>
      <c r="F91" s="605" t="s">
        <v>280</v>
      </c>
      <c r="G91" s="586"/>
      <c r="H91" s="605" t="s">
        <v>281</v>
      </c>
      <c r="I91" s="586"/>
      <c r="J91" s="605" t="s">
        <v>282</v>
      </c>
      <c r="K91" s="586"/>
    </row>
    <row r="92" spans="1:11" ht="12.75" customHeight="1">
      <c r="A92" s="607"/>
      <c r="B92" s="608"/>
      <c r="C92" s="608"/>
      <c r="D92" s="607"/>
      <c r="E92" s="587"/>
      <c r="F92" s="607"/>
      <c r="G92" s="587"/>
      <c r="H92" s="607"/>
      <c r="I92" s="587"/>
      <c r="J92" s="607"/>
      <c r="K92" s="587"/>
    </row>
    <row r="93" spans="1:11" ht="13.5" customHeight="1" thickBot="1">
      <c r="A93" s="627"/>
      <c r="B93" s="628"/>
      <c r="C93" s="628"/>
      <c r="D93" s="627"/>
      <c r="E93" s="588"/>
      <c r="F93" s="627"/>
      <c r="G93" s="588"/>
      <c r="H93" s="627"/>
      <c r="I93" s="588"/>
      <c r="J93" s="627"/>
      <c r="K93" s="588"/>
    </row>
    <row r="94" spans="1:12" s="48" customFormat="1" ht="25.5" customHeight="1" thickBot="1">
      <c r="A94" s="556" t="s">
        <v>287</v>
      </c>
      <c r="B94" s="556"/>
      <c r="C94" s="556"/>
      <c r="D94" s="556"/>
      <c r="E94" s="556"/>
      <c r="F94" s="624" t="s">
        <v>284</v>
      </c>
      <c r="G94" s="625"/>
      <c r="H94" s="624"/>
      <c r="I94" s="625"/>
      <c r="J94" s="556"/>
      <c r="K94" s="556"/>
      <c r="L94" s="190"/>
    </row>
    <row r="95" spans="1:13" ht="12.75" customHeight="1">
      <c r="A95" s="629" t="s">
        <v>2</v>
      </c>
      <c r="B95" s="630"/>
      <c r="C95" s="631"/>
      <c r="D95" s="635"/>
      <c r="E95" s="636"/>
      <c r="F95" s="635"/>
      <c r="G95" s="636"/>
      <c r="H95" s="609">
        <f>SUM(H94)</f>
        <v>0</v>
      </c>
      <c r="I95" s="611"/>
      <c r="J95" s="609">
        <f>SUM(J94)</f>
        <v>0</v>
      </c>
      <c r="K95" s="611"/>
      <c r="L95" s="649"/>
      <c r="M95" s="649"/>
    </row>
    <row r="96" spans="1:13" ht="13.5" customHeight="1" thickBot="1">
      <c r="A96" s="632"/>
      <c r="B96" s="633"/>
      <c r="C96" s="634"/>
      <c r="D96" s="637"/>
      <c r="E96" s="638"/>
      <c r="F96" s="637"/>
      <c r="G96" s="638"/>
      <c r="H96" s="612"/>
      <c r="I96" s="614"/>
      <c r="J96" s="612"/>
      <c r="K96" s="614"/>
      <c r="L96" s="649"/>
      <c r="M96" s="649"/>
    </row>
  </sheetData>
  <sheetProtection/>
  <mergeCells count="193"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K52:K54"/>
    <mergeCell ref="L52:L54"/>
    <mergeCell ref="M52:M54"/>
    <mergeCell ref="G52:G54"/>
    <mergeCell ref="H52:H54"/>
    <mergeCell ref="I52:I54"/>
    <mergeCell ref="J52:J5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75390625" style="21" customWidth="1"/>
    <col min="2" max="2" width="65.75390625" style="21" customWidth="1"/>
    <col min="3" max="5" width="15.75390625" style="21" bestFit="1" customWidth="1"/>
    <col min="6" max="6" width="18.00390625" style="21" bestFit="1" customWidth="1"/>
    <col min="7" max="7" width="11.375" style="48" bestFit="1" customWidth="1"/>
    <col min="8" max="16384" width="9.125" style="48" customWidth="1"/>
  </cols>
  <sheetData>
    <row r="1" spans="1:6" ht="15.75">
      <c r="A1" s="105" t="s">
        <v>463</v>
      </c>
      <c r="C1" s="650"/>
      <c r="D1" s="650"/>
      <c r="E1" s="650"/>
      <c r="F1" s="650"/>
    </row>
    <row r="2" spans="1:6" ht="15.75">
      <c r="A2" s="23"/>
      <c r="B2" s="23"/>
      <c r="C2" s="23"/>
      <c r="D2" s="23"/>
      <c r="E2" s="23"/>
      <c r="F2" s="23"/>
    </row>
    <row r="3" spans="1:6" ht="15.75">
      <c r="A3" s="554" t="s">
        <v>319</v>
      </c>
      <c r="B3" s="554"/>
      <c r="C3" s="554"/>
      <c r="D3" s="554"/>
      <c r="E3" s="554"/>
      <c r="F3" s="554"/>
    </row>
    <row r="4" spans="1:6" ht="15.75">
      <c r="A4" s="554" t="s">
        <v>292</v>
      </c>
      <c r="B4" s="554"/>
      <c r="C4" s="554"/>
      <c r="D4" s="554"/>
      <c r="E4" s="554"/>
      <c r="F4" s="554"/>
    </row>
    <row r="5" spans="1:6" ht="15.75">
      <c r="A5" s="554" t="s">
        <v>440</v>
      </c>
      <c r="B5" s="554"/>
      <c r="C5" s="554"/>
      <c r="D5" s="554"/>
      <c r="E5" s="554"/>
      <c r="F5" s="554"/>
    </row>
    <row r="6" spans="1:6" ht="16.5" thickBot="1">
      <c r="A6" s="23"/>
      <c r="B6" s="23"/>
      <c r="C6" s="48"/>
      <c r="D6" s="192"/>
      <c r="E6" s="48"/>
      <c r="F6" s="192" t="s">
        <v>373</v>
      </c>
    </row>
    <row r="7" spans="1:6" ht="15.75">
      <c r="A7" s="193" t="s">
        <v>23</v>
      </c>
      <c r="B7" s="651" t="s">
        <v>293</v>
      </c>
      <c r="C7" s="654" t="s">
        <v>294</v>
      </c>
      <c r="D7" s="655"/>
      <c r="E7" s="655"/>
      <c r="F7" s="651" t="s">
        <v>207</v>
      </c>
    </row>
    <row r="8" spans="1:6" ht="16.5" thickBot="1">
      <c r="A8" s="194"/>
      <c r="B8" s="652"/>
      <c r="C8" s="656"/>
      <c r="D8" s="657"/>
      <c r="E8" s="657"/>
      <c r="F8" s="652"/>
    </row>
    <row r="9" spans="1:6" ht="16.5" thickBot="1">
      <c r="A9" s="194"/>
      <c r="B9" s="652"/>
      <c r="C9" s="195" t="s">
        <v>421</v>
      </c>
      <c r="D9" s="195" t="s">
        <v>429</v>
      </c>
      <c r="E9" s="195" t="s">
        <v>441</v>
      </c>
      <c r="F9" s="652"/>
    </row>
    <row r="10" spans="1:6" ht="16.5" thickBot="1">
      <c r="A10" s="196" t="s">
        <v>24</v>
      </c>
      <c r="B10" s="653"/>
      <c r="C10" s="658" t="s">
        <v>295</v>
      </c>
      <c r="D10" s="659"/>
      <c r="E10" s="659"/>
      <c r="F10" s="653"/>
    </row>
    <row r="11" spans="1:6" ht="15.75">
      <c r="A11" s="191" t="s">
        <v>25</v>
      </c>
      <c r="B11" s="221" t="s">
        <v>301</v>
      </c>
      <c r="C11" s="197">
        <v>1450000</v>
      </c>
      <c r="D11" s="197">
        <v>1450000</v>
      </c>
      <c r="E11" s="197">
        <v>1450000</v>
      </c>
      <c r="F11" s="197">
        <f>SUM(C11:E11)</f>
        <v>4350000</v>
      </c>
    </row>
    <row r="12" spans="1:6" ht="31.5">
      <c r="A12" s="191" t="s">
        <v>19</v>
      </c>
      <c r="B12" s="222" t="s">
        <v>302</v>
      </c>
      <c r="C12" s="198"/>
      <c r="D12" s="198"/>
      <c r="E12" s="198"/>
      <c r="F12" s="197">
        <f>SUM(C12:E12)</f>
        <v>0</v>
      </c>
    </row>
    <row r="13" spans="1:2" s="169" customFormat="1" ht="15.75">
      <c r="A13" s="191" t="s">
        <v>26</v>
      </c>
      <c r="B13" s="221" t="s">
        <v>303</v>
      </c>
    </row>
    <row r="14" spans="1:6" s="169" customFormat="1" ht="31.5">
      <c r="A14" s="191" t="s">
        <v>64</v>
      </c>
      <c r="B14" s="222" t="s">
        <v>304</v>
      </c>
      <c r="C14" s="199"/>
      <c r="D14" s="199"/>
      <c r="E14" s="199"/>
      <c r="F14" s="197">
        <f>SUM(C14:E14)</f>
        <v>0</v>
      </c>
    </row>
    <row r="15" spans="1:6" s="169" customFormat="1" ht="15.75">
      <c r="A15" s="191" t="s">
        <v>65</v>
      </c>
      <c r="B15" s="221" t="s">
        <v>296</v>
      </c>
      <c r="C15" s="199">
        <v>40000</v>
      </c>
      <c r="D15" s="199">
        <v>40000</v>
      </c>
      <c r="E15" s="199">
        <v>40000</v>
      </c>
      <c r="F15" s="197">
        <f>SUM(C15:E15)</f>
        <v>120000</v>
      </c>
    </row>
    <row r="16" spans="1:6" s="169" customFormat="1" ht="15.75">
      <c r="A16" s="191" t="s">
        <v>70</v>
      </c>
      <c r="B16" s="221" t="s">
        <v>305</v>
      </c>
      <c r="C16" s="200"/>
      <c r="D16" s="200"/>
      <c r="E16" s="200"/>
      <c r="F16" s="200"/>
    </row>
    <row r="17" spans="1:6" s="204" customFormat="1" ht="15.75">
      <c r="A17" s="191" t="s">
        <v>154</v>
      </c>
      <c r="B17" s="202" t="s">
        <v>297</v>
      </c>
      <c r="C17" s="203">
        <f>SUM(C11:C16)</f>
        <v>1490000</v>
      </c>
      <c r="D17" s="203">
        <f>SUM(D11:D16)</f>
        <v>1490000</v>
      </c>
      <c r="E17" s="203">
        <f>SUM(E11:E16)</f>
        <v>1490000</v>
      </c>
      <c r="F17" s="203">
        <f>SUM(F11:F16)</f>
        <v>4470000</v>
      </c>
    </row>
    <row r="18" spans="1:6" s="209" customFormat="1" ht="18.75">
      <c r="A18" s="205" t="s">
        <v>156</v>
      </c>
      <c r="B18" s="206" t="s">
        <v>298</v>
      </c>
      <c r="C18" s="207">
        <f>C17*0.5</f>
        <v>745000</v>
      </c>
      <c r="D18" s="207">
        <f>D17*0.5</f>
        <v>745000</v>
      </c>
      <c r="E18" s="207">
        <f>E17*0.5</f>
        <v>745000</v>
      </c>
      <c r="F18" s="208">
        <f>SUM(C18:E18)</f>
        <v>2235000</v>
      </c>
    </row>
    <row r="19" spans="1:6" s="169" customFormat="1" ht="31.5">
      <c r="A19" s="210" t="s">
        <v>158</v>
      </c>
      <c r="B19" s="222" t="s">
        <v>306</v>
      </c>
      <c r="C19" s="199"/>
      <c r="D19" s="199"/>
      <c r="E19" s="199"/>
      <c r="F19" s="199">
        <f>SUM(C19:E19)</f>
        <v>0</v>
      </c>
    </row>
    <row r="20" spans="1:6" s="169" customFormat="1" ht="31.5">
      <c r="A20" s="210" t="s">
        <v>164</v>
      </c>
      <c r="B20" s="222" t="s">
        <v>307</v>
      </c>
      <c r="C20" s="199"/>
      <c r="D20" s="199"/>
      <c r="E20" s="199"/>
      <c r="F20" s="199">
        <f>SUM(C20:E20)</f>
        <v>0</v>
      </c>
    </row>
    <row r="21" spans="1:6" s="169" customFormat="1" ht="15.75">
      <c r="A21" s="210" t="s">
        <v>166</v>
      </c>
      <c r="B21" s="221" t="s">
        <v>308</v>
      </c>
      <c r="C21" s="199"/>
      <c r="D21" s="199"/>
      <c r="E21" s="199"/>
      <c r="F21" s="199"/>
    </row>
    <row r="22" spans="1:6" s="169" customFormat="1" ht="31.5">
      <c r="A22" s="210" t="s">
        <v>168</v>
      </c>
      <c r="B22" s="211" t="s">
        <v>309</v>
      </c>
      <c r="C22" s="199"/>
      <c r="D22" s="199"/>
      <c r="E22" s="199"/>
      <c r="F22" s="199"/>
    </row>
    <row r="23" spans="1:6" s="169" customFormat="1" ht="47.25">
      <c r="A23" s="210" t="s">
        <v>173</v>
      </c>
      <c r="B23" s="211" t="s">
        <v>338</v>
      </c>
      <c r="C23" s="199"/>
      <c r="D23" s="199"/>
      <c r="E23" s="199"/>
      <c r="F23" s="199"/>
    </row>
    <row r="24" spans="1:6" s="169" customFormat="1" ht="31.5">
      <c r="A24" s="210" t="s">
        <v>175</v>
      </c>
      <c r="B24" s="211" t="s">
        <v>310</v>
      </c>
      <c r="C24" s="199"/>
      <c r="D24" s="199"/>
      <c r="E24" s="199"/>
      <c r="F24" s="199"/>
    </row>
    <row r="25" spans="1:6" s="169" customFormat="1" ht="31.5">
      <c r="A25" s="210" t="s">
        <v>177</v>
      </c>
      <c r="B25" s="211" t="s">
        <v>311</v>
      </c>
      <c r="C25" s="212"/>
      <c r="D25" s="212"/>
      <c r="E25" s="212"/>
      <c r="F25" s="212"/>
    </row>
    <row r="26" spans="1:6" s="204" customFormat="1" ht="15.75">
      <c r="A26" s="201" t="s">
        <v>185</v>
      </c>
      <c r="B26" s="213" t="s">
        <v>299</v>
      </c>
      <c r="C26" s="214">
        <f>SUM(C19:C24)</f>
        <v>0</v>
      </c>
      <c r="D26" s="214">
        <f>SUM(D19:D24)</f>
        <v>0</v>
      </c>
      <c r="E26" s="214">
        <f>SUM(E19:E24)</f>
        <v>0</v>
      </c>
      <c r="F26" s="214">
        <f>SUM(F19:F24)</f>
        <v>0</v>
      </c>
    </row>
    <row r="27" spans="1:6" s="217" customFormat="1" ht="37.5">
      <c r="A27" s="285" t="s">
        <v>188</v>
      </c>
      <c r="B27" s="215" t="s">
        <v>300</v>
      </c>
      <c r="C27" s="216">
        <f>C18-C26</f>
        <v>745000</v>
      </c>
      <c r="D27" s="216">
        <f>D18-D26</f>
        <v>745000</v>
      </c>
      <c r="E27" s="216">
        <f>E18-E26</f>
        <v>745000</v>
      </c>
      <c r="F27" s="216">
        <f>SUM(C27:E27)</f>
        <v>2235000</v>
      </c>
    </row>
    <row r="28" spans="1:6" s="169" customFormat="1" ht="15.75">
      <c r="A28" s="218"/>
      <c r="B28" s="219"/>
      <c r="C28" s="199"/>
      <c r="D28" s="199"/>
      <c r="E28" s="199"/>
      <c r="F28" s="199"/>
    </row>
    <row r="29" spans="1:7" s="169" customFormat="1" ht="15.75">
      <c r="A29" s="218"/>
      <c r="B29" s="219"/>
      <c r="C29" s="199"/>
      <c r="D29" s="199"/>
      <c r="E29" s="199"/>
      <c r="F29" s="199"/>
      <c r="G29" s="199"/>
    </row>
    <row r="30" spans="1:6" s="169" customFormat="1" ht="15.75">
      <c r="A30" s="219"/>
      <c r="B30" s="219"/>
      <c r="C30" s="199"/>
      <c r="D30" s="199"/>
      <c r="E30" s="199"/>
      <c r="F30" s="199"/>
    </row>
    <row r="31" spans="1:6" s="169" customFormat="1" ht="15.75">
      <c r="A31" s="219"/>
      <c r="B31" s="219"/>
      <c r="C31" s="199"/>
      <c r="D31" s="199"/>
      <c r="E31" s="199"/>
      <c r="F31" s="199"/>
    </row>
    <row r="32" spans="1:6" s="169" customFormat="1" ht="15.75">
      <c r="A32" s="219"/>
      <c r="B32" s="219"/>
      <c r="C32" s="199"/>
      <c r="D32" s="199"/>
      <c r="E32" s="199"/>
      <c r="F32" s="199"/>
    </row>
    <row r="33" spans="1:6" s="169" customFormat="1" ht="15.75">
      <c r="A33" s="219"/>
      <c r="B33" s="220"/>
      <c r="C33" s="199"/>
      <c r="D33" s="199"/>
      <c r="E33" s="199"/>
      <c r="F33" s="199"/>
    </row>
    <row r="34" spans="1:6" s="169" customFormat="1" ht="15.75">
      <c r="A34" s="219"/>
      <c r="B34" s="219"/>
      <c r="C34" s="199"/>
      <c r="D34" s="199"/>
      <c r="E34" s="199"/>
      <c r="F34" s="199"/>
    </row>
    <row r="35" spans="1:6" s="169" customFormat="1" ht="15.75">
      <c r="A35" s="219"/>
      <c r="B35" s="219"/>
      <c r="C35" s="199"/>
      <c r="D35" s="199"/>
      <c r="E35" s="199"/>
      <c r="F35" s="199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125" style="0" customWidth="1"/>
    <col min="2" max="2" width="60.00390625" style="0" customWidth="1"/>
    <col min="3" max="3" width="12.25390625" style="0" customWidth="1"/>
  </cols>
  <sheetData>
    <row r="1" spans="1:15" ht="12.75">
      <c r="A1" s="661" t="s">
        <v>475</v>
      </c>
      <c r="B1" s="662"/>
      <c r="C1" s="662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5" spans="1:3" ht="21.75" customHeight="1">
      <c r="A5" s="660"/>
      <c r="B5" s="660"/>
      <c r="C5" s="660"/>
    </row>
    <row r="7" spans="1:3" ht="21" customHeight="1">
      <c r="A7" s="532" t="s">
        <v>318</v>
      </c>
      <c r="B7" s="532"/>
      <c r="C7" s="532"/>
    </row>
    <row r="8" spans="1:3" ht="19.5" customHeight="1">
      <c r="A8" s="532" t="s">
        <v>468</v>
      </c>
      <c r="B8" s="532"/>
      <c r="C8" s="532"/>
    </row>
    <row r="9" spans="1:3" ht="18" customHeight="1" thickBot="1">
      <c r="A9" s="532" t="s">
        <v>437</v>
      </c>
      <c r="B9" s="532"/>
      <c r="C9" s="532"/>
    </row>
    <row r="10" spans="1:3" ht="40.5" customHeight="1" thickBot="1">
      <c r="A10" s="422" t="s">
        <v>417</v>
      </c>
      <c r="B10" s="348" t="s">
        <v>0</v>
      </c>
      <c r="C10" s="349" t="s">
        <v>467</v>
      </c>
    </row>
    <row r="11" spans="1:3" ht="24" customHeight="1">
      <c r="A11" s="421"/>
      <c r="B11" s="420"/>
      <c r="C11" s="419"/>
    </row>
    <row r="12" ht="12.75">
      <c r="B12" s="365"/>
    </row>
    <row r="13" spans="1:2" ht="21" customHeight="1">
      <c r="A13" s="232" t="s">
        <v>25</v>
      </c>
      <c r="B13" s="418" t="s">
        <v>466</v>
      </c>
    </row>
    <row r="15" spans="1:3" ht="30.75" customHeight="1">
      <c r="A15" s="417" t="s">
        <v>419</v>
      </c>
      <c r="B15" s="299" t="s">
        <v>474</v>
      </c>
      <c r="C15" s="231">
        <f>120000+23616801-119999</f>
        <v>23616802</v>
      </c>
    </row>
    <row r="16" spans="1:3" ht="23.25" customHeight="1">
      <c r="A16" s="417" t="s">
        <v>390</v>
      </c>
      <c r="B16" s="299" t="s">
        <v>465</v>
      </c>
      <c r="C16" s="416">
        <f>32400+6376536-32399</f>
        <v>6376537</v>
      </c>
    </row>
    <row r="17" spans="2:3" ht="21" customHeight="1">
      <c r="B17" s="415" t="s">
        <v>2</v>
      </c>
      <c r="C17" s="233">
        <f>C15+C16</f>
        <v>29993339</v>
      </c>
    </row>
    <row r="18" spans="2:3" ht="21" customHeight="1">
      <c r="B18" s="415"/>
      <c r="C18" s="231"/>
    </row>
    <row r="19" spans="2:3" ht="11.25" customHeight="1">
      <c r="B19" s="415"/>
      <c r="C19" s="231"/>
    </row>
    <row r="20" spans="1:3" ht="30.75" customHeight="1">
      <c r="A20" s="664" t="s">
        <v>391</v>
      </c>
      <c r="B20" s="663" t="s">
        <v>473</v>
      </c>
      <c r="C20" s="231">
        <f>11527831+2034324</f>
        <v>13562155</v>
      </c>
    </row>
    <row r="21" spans="1:3" ht="18" customHeight="1">
      <c r="A21" s="367" t="s">
        <v>392</v>
      </c>
      <c r="B21" s="299" t="s">
        <v>465</v>
      </c>
      <c r="C21" s="231">
        <f>3112515+549267</f>
        <v>3661782</v>
      </c>
    </row>
    <row r="22" spans="2:3" ht="21.75" customHeight="1">
      <c r="B22" s="415" t="s">
        <v>2</v>
      </c>
      <c r="C22" s="233">
        <f>C20+C21</f>
        <v>17223937</v>
      </c>
    </row>
    <row r="25" spans="2:3" ht="12.75">
      <c r="B25" s="232" t="s">
        <v>464</v>
      </c>
      <c r="C25" s="233">
        <f>C17+C22</f>
        <v>47217276</v>
      </c>
    </row>
  </sheetData>
  <sheetProtection/>
  <mergeCells count="5">
    <mergeCell ref="A5:C5"/>
    <mergeCell ref="A7:C7"/>
    <mergeCell ref="A8:C8"/>
    <mergeCell ref="A9:C9"/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261" customWidth="1"/>
    <col min="2" max="2" width="64.625" style="2" customWidth="1"/>
    <col min="3" max="3" width="14.875" style="302" customWidth="1"/>
    <col min="4" max="4" width="4.875" style="2" customWidth="1"/>
    <col min="5" max="5" width="17.25390625" style="302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426" t="s">
        <v>477</v>
      </c>
      <c r="B1" s="427"/>
      <c r="C1" s="427"/>
      <c r="D1" s="427"/>
      <c r="E1" s="427"/>
      <c r="F1" s="427"/>
    </row>
    <row r="2" spans="1:6" ht="15">
      <c r="A2" s="431"/>
      <c r="B2" s="432"/>
      <c r="C2" s="432"/>
      <c r="D2" s="432"/>
      <c r="E2" s="432"/>
      <c r="F2" s="432"/>
    </row>
    <row r="3" spans="2:6" ht="15">
      <c r="B3" s="72"/>
      <c r="C3" s="72"/>
      <c r="D3" s="72"/>
      <c r="E3" s="72"/>
      <c r="F3" s="72"/>
    </row>
    <row r="4" spans="1:6" s="48" customFormat="1" ht="15.75">
      <c r="A4" s="262"/>
      <c r="B4" s="430"/>
      <c r="C4" s="430"/>
      <c r="D4" s="430"/>
      <c r="E4" s="430"/>
      <c r="F4" s="430"/>
    </row>
    <row r="5" spans="1:6" s="48" customFormat="1" ht="15.75">
      <c r="A5" s="262"/>
      <c r="B5" s="429" t="s">
        <v>318</v>
      </c>
      <c r="C5" s="429"/>
      <c r="D5" s="429"/>
      <c r="E5" s="429"/>
      <c r="F5" s="429"/>
    </row>
    <row r="6" spans="2:6" ht="15.75">
      <c r="B6" s="429" t="s">
        <v>94</v>
      </c>
      <c r="C6" s="429"/>
      <c r="D6" s="429"/>
      <c r="E6" s="429"/>
      <c r="F6" s="429"/>
    </row>
    <row r="7" spans="2:6" ht="12.75" customHeight="1">
      <c r="B7" s="428" t="s">
        <v>436</v>
      </c>
      <c r="C7" s="428"/>
      <c r="D7" s="428"/>
      <c r="E7" s="428"/>
      <c r="F7" s="428"/>
    </row>
    <row r="8" spans="1:6" s="1" customFormat="1" ht="15">
      <c r="A8" s="263"/>
      <c r="B8" s="2"/>
      <c r="C8" s="302"/>
      <c r="D8" s="2"/>
      <c r="E8" s="303"/>
      <c r="F8" s="2"/>
    </row>
    <row r="9" spans="1:5" s="1" customFormat="1" ht="18.75">
      <c r="A9" s="263" t="s">
        <v>25</v>
      </c>
      <c r="B9" s="89" t="s">
        <v>95</v>
      </c>
      <c r="C9" s="304"/>
      <c r="E9" s="90"/>
    </row>
    <row r="10" spans="1:6" ht="15.75">
      <c r="A10" s="261" t="s">
        <v>389</v>
      </c>
      <c r="B10" s="5" t="s">
        <v>96</v>
      </c>
      <c r="C10" s="304"/>
      <c r="D10" s="1"/>
      <c r="E10" s="305">
        <f>C11+C12</f>
        <v>23822983</v>
      </c>
      <c r="F10" s="1" t="s">
        <v>368</v>
      </c>
    </row>
    <row r="11" spans="2:8" ht="15.75">
      <c r="B11" s="91" t="s">
        <v>97</v>
      </c>
      <c r="C11" s="302">
        <f>'2.mell - bevétel'!H55</f>
        <v>21539872</v>
      </c>
      <c r="D11" s="2" t="s">
        <v>368</v>
      </c>
      <c r="E11" s="303"/>
      <c r="H11" s="66"/>
    </row>
    <row r="12" spans="1:6" s="1" customFormat="1" ht="15.75" customHeight="1">
      <c r="A12" s="263"/>
      <c r="B12" s="91" t="s">
        <v>98</v>
      </c>
      <c r="C12" s="302">
        <f>'2.mell - bevétel'!H62</f>
        <v>2283111</v>
      </c>
      <c r="D12" s="2" t="s">
        <v>368</v>
      </c>
      <c r="E12" s="303"/>
      <c r="F12" s="2"/>
    </row>
    <row r="13" spans="1:5" s="1" customFormat="1" ht="15.75">
      <c r="A13" s="263"/>
      <c r="B13" s="5"/>
      <c r="C13" s="304"/>
      <c r="E13" s="305"/>
    </row>
    <row r="14" spans="1:6" s="1" customFormat="1" ht="15.75">
      <c r="A14" s="263" t="s">
        <v>390</v>
      </c>
      <c r="B14" s="5" t="s">
        <v>99</v>
      </c>
      <c r="C14" s="304"/>
      <c r="E14" s="305">
        <f>'2.mell - bevétel'!H70</f>
        <v>59756623</v>
      </c>
      <c r="F14" s="1" t="s">
        <v>368</v>
      </c>
    </row>
    <row r="15" spans="1:5" s="1" customFormat="1" ht="15.75">
      <c r="A15" s="263"/>
      <c r="B15" s="20" t="s">
        <v>385</v>
      </c>
      <c r="C15" s="306">
        <v>78740410</v>
      </c>
      <c r="D15" s="297" t="s">
        <v>1</v>
      </c>
      <c r="E15" s="305"/>
    </row>
    <row r="16" spans="1:5" s="1" customFormat="1" ht="15.75">
      <c r="A16" s="263"/>
      <c r="B16" s="20" t="s">
        <v>386</v>
      </c>
      <c r="C16" s="306">
        <v>8748935</v>
      </c>
      <c r="D16" s="297" t="s">
        <v>1</v>
      </c>
      <c r="E16" s="305"/>
    </row>
    <row r="17" spans="1:5" s="1" customFormat="1" ht="30.75" customHeight="1">
      <c r="A17" s="263"/>
      <c r="B17" s="81" t="s">
        <v>430</v>
      </c>
      <c r="C17" s="296">
        <v>12595865</v>
      </c>
      <c r="D17" s="297" t="s">
        <v>1</v>
      </c>
      <c r="E17" s="292"/>
    </row>
    <row r="18" spans="1:6" s="1" customFormat="1" ht="15.75">
      <c r="A18" s="263" t="s">
        <v>391</v>
      </c>
      <c r="B18" s="5" t="s">
        <v>73</v>
      </c>
      <c r="C18" s="304"/>
      <c r="E18" s="305">
        <f>'2.mell - bevétel'!H82</f>
        <v>1495000</v>
      </c>
      <c r="F18" s="1" t="s">
        <v>368</v>
      </c>
    </row>
    <row r="19" spans="1:8" s="1" customFormat="1" ht="15.75">
      <c r="A19" s="263"/>
      <c r="B19" s="5"/>
      <c r="C19" s="304"/>
      <c r="E19" s="305"/>
      <c r="H19" s="67"/>
    </row>
    <row r="20" spans="1:6" s="1" customFormat="1" ht="15.75">
      <c r="A20" s="263" t="s">
        <v>392</v>
      </c>
      <c r="B20" s="5" t="s">
        <v>35</v>
      </c>
      <c r="C20" s="304"/>
      <c r="E20" s="305">
        <f>'2.mell - bevétel'!H95</f>
        <v>5402117</v>
      </c>
      <c r="F20" s="1" t="s">
        <v>368</v>
      </c>
    </row>
    <row r="21" spans="1:5" s="1" customFormat="1" ht="15.75">
      <c r="A21" s="263"/>
      <c r="B21" s="8"/>
      <c r="C21" s="307"/>
      <c r="E21" s="305"/>
    </row>
    <row r="22" spans="1:5" s="1" customFormat="1" ht="15.75">
      <c r="A22" s="263"/>
      <c r="B22" s="8"/>
      <c r="C22" s="304"/>
      <c r="E22" s="305"/>
    </row>
    <row r="23" spans="1:6" s="1" customFormat="1" ht="15.75">
      <c r="A23" s="263" t="s">
        <v>393</v>
      </c>
      <c r="B23" s="5" t="s">
        <v>100</v>
      </c>
      <c r="E23" s="305">
        <f>C24+C25</f>
        <v>0</v>
      </c>
      <c r="F23" s="1" t="s">
        <v>368</v>
      </c>
    </row>
    <row r="24" spans="1:8" s="4" customFormat="1" ht="32.25">
      <c r="A24" s="264"/>
      <c r="B24" s="91" t="s">
        <v>101</v>
      </c>
      <c r="C24" s="307">
        <v>0</v>
      </c>
      <c r="D24" s="1" t="s">
        <v>368</v>
      </c>
      <c r="E24" s="305"/>
      <c r="F24" s="1"/>
      <c r="G24" s="1"/>
      <c r="H24" s="68"/>
    </row>
    <row r="25" spans="2:8" ht="18.75">
      <c r="B25" s="48" t="s">
        <v>102</v>
      </c>
      <c r="C25" s="304">
        <v>0</v>
      </c>
      <c r="D25" s="1" t="s">
        <v>368</v>
      </c>
      <c r="E25" s="305"/>
      <c r="F25" s="1"/>
      <c r="G25" s="4"/>
      <c r="H25" s="69"/>
    </row>
    <row r="26" spans="1:8" s="1" customFormat="1" ht="18.75">
      <c r="A26" s="263"/>
      <c r="B26" s="56"/>
      <c r="C26" s="302"/>
      <c r="D26" s="2"/>
      <c r="E26" s="308"/>
      <c r="F26" s="4"/>
      <c r="H26" s="70"/>
    </row>
    <row r="27" spans="1:6" s="1" customFormat="1" ht="15.75">
      <c r="A27" s="263" t="s">
        <v>394</v>
      </c>
      <c r="B27" s="5" t="s">
        <v>84</v>
      </c>
      <c r="C27" s="304"/>
      <c r="E27" s="305">
        <f>C28+C29</f>
        <v>0</v>
      </c>
      <c r="F27" s="1" t="s">
        <v>368</v>
      </c>
    </row>
    <row r="28" spans="1:5" s="1" customFormat="1" ht="31.5">
      <c r="A28" s="263"/>
      <c r="B28" s="91" t="s">
        <v>103</v>
      </c>
      <c r="C28" s="304">
        <v>0</v>
      </c>
      <c r="D28" s="1" t="s">
        <v>368</v>
      </c>
      <c r="E28" s="305"/>
    </row>
    <row r="29" spans="1:5" s="1" customFormat="1" ht="15.75">
      <c r="A29" s="263"/>
      <c r="B29" s="48" t="s">
        <v>104</v>
      </c>
      <c r="C29" s="304">
        <v>0</v>
      </c>
      <c r="D29" s="1" t="s">
        <v>368</v>
      </c>
      <c r="E29" s="305"/>
    </row>
    <row r="30" spans="1:5" s="1" customFormat="1" ht="15.75">
      <c r="A30" s="263"/>
      <c r="B30" s="56"/>
      <c r="E30" s="90"/>
    </row>
    <row r="31" spans="1:6" s="1" customFormat="1" ht="15.75">
      <c r="A31" s="263" t="s">
        <v>395</v>
      </c>
      <c r="B31" s="5" t="s">
        <v>27</v>
      </c>
      <c r="E31" s="92">
        <f>SUM(E10:E30)</f>
        <v>90476723</v>
      </c>
      <c r="F31" s="1" t="s">
        <v>368</v>
      </c>
    </row>
    <row r="32" spans="1:5" s="1" customFormat="1" ht="15.75">
      <c r="A32" s="263"/>
      <c r="B32" s="48"/>
      <c r="E32" s="90"/>
    </row>
    <row r="33" spans="1:5" s="1" customFormat="1" ht="18.75">
      <c r="A33" s="263" t="s">
        <v>19</v>
      </c>
      <c r="B33" s="89" t="s">
        <v>105</v>
      </c>
      <c r="E33" s="90"/>
    </row>
    <row r="34" spans="1:6" s="1" customFormat="1" ht="15.75">
      <c r="A34" s="263" t="s">
        <v>396</v>
      </c>
      <c r="B34" s="9" t="s">
        <v>12</v>
      </c>
      <c r="C34" s="304"/>
      <c r="E34" s="305">
        <f>C36+C37+C38+C39+C40</f>
        <v>38335346</v>
      </c>
      <c r="F34" s="1" t="s">
        <v>368</v>
      </c>
    </row>
    <row r="35" spans="1:5" s="1" customFormat="1" ht="15.75">
      <c r="A35" s="263"/>
      <c r="B35" s="8" t="s">
        <v>11</v>
      </c>
      <c r="C35" s="304"/>
      <c r="E35" s="305"/>
    </row>
    <row r="36" spans="1:5" s="1" customFormat="1" ht="15.75">
      <c r="A36" s="263" t="s">
        <v>398</v>
      </c>
      <c r="B36" s="48" t="s">
        <v>403</v>
      </c>
      <c r="C36" s="304">
        <f>'4.mell. - kiadás'!E33</f>
        <v>12100053</v>
      </c>
      <c r="D36" s="1" t="s">
        <v>368</v>
      </c>
      <c r="E36" s="305"/>
    </row>
    <row r="37" spans="1:5" s="1" customFormat="1" ht="15.75">
      <c r="A37" s="263" t="s">
        <v>399</v>
      </c>
      <c r="B37" s="48" t="s">
        <v>404</v>
      </c>
      <c r="C37" s="304">
        <f>'4.mell. - kiadás'!F33</f>
        <v>2535278</v>
      </c>
      <c r="D37" s="1" t="s">
        <v>368</v>
      </c>
      <c r="E37" s="305"/>
    </row>
    <row r="38" spans="1:5" s="1" customFormat="1" ht="15.75">
      <c r="A38" s="263" t="s">
        <v>400</v>
      </c>
      <c r="B38" s="48" t="s">
        <v>405</v>
      </c>
      <c r="C38" s="304">
        <f>'4.mell. - kiadás'!G33</f>
        <v>16237133</v>
      </c>
      <c r="D38" s="1" t="s">
        <v>368</v>
      </c>
      <c r="E38" s="305"/>
    </row>
    <row r="39" spans="1:5" s="1" customFormat="1" ht="15.75">
      <c r="A39" s="263" t="s">
        <v>401</v>
      </c>
      <c r="B39" s="93" t="s">
        <v>406</v>
      </c>
      <c r="C39" s="304">
        <f>'4.mell. - kiadás'!H33</f>
        <v>1459000</v>
      </c>
      <c r="D39" s="1" t="s">
        <v>368</v>
      </c>
      <c r="E39" s="305"/>
    </row>
    <row r="40" spans="1:5" s="1" customFormat="1" ht="15.75">
      <c r="A40" s="263" t="s">
        <v>402</v>
      </c>
      <c r="B40" s="229" t="s">
        <v>407</v>
      </c>
      <c r="C40" s="304">
        <f>'4.mell. - kiadás'!I33+'4.mell. - kiadás'!J33</f>
        <v>6003882</v>
      </c>
      <c r="D40" s="1" t="s">
        <v>368</v>
      </c>
      <c r="E40" s="305"/>
    </row>
    <row r="41" spans="1:6" s="1" customFormat="1" ht="15.75">
      <c r="A41" s="263" t="s">
        <v>397</v>
      </c>
      <c r="B41" s="9" t="s">
        <v>13</v>
      </c>
      <c r="C41" s="304"/>
      <c r="E41" s="309">
        <f>C43+C44+C45</f>
        <v>63030990</v>
      </c>
      <c r="F41" s="1" t="s">
        <v>368</v>
      </c>
    </row>
    <row r="42" spans="1:5" s="1" customFormat="1" ht="15.75">
      <c r="A42" s="263"/>
      <c r="B42" s="8" t="s">
        <v>11</v>
      </c>
      <c r="C42" s="304"/>
      <c r="E42" s="305"/>
    </row>
    <row r="43" spans="1:5" s="1" customFormat="1" ht="15.75">
      <c r="A43" s="263" t="s">
        <v>411</v>
      </c>
      <c r="B43" s="48" t="s">
        <v>408</v>
      </c>
      <c r="C43" s="307">
        <f>'4.mell. - kiadás'!L33</f>
        <v>15813714</v>
      </c>
      <c r="D43" s="1" t="s">
        <v>368</v>
      </c>
      <c r="E43" s="305"/>
    </row>
    <row r="44" spans="1:5" s="1" customFormat="1" ht="15.75">
      <c r="A44" s="263" t="s">
        <v>412</v>
      </c>
      <c r="B44" s="48" t="s">
        <v>409</v>
      </c>
      <c r="C44" s="307">
        <f>'4.mell. - kiadás'!M33</f>
        <v>47217276</v>
      </c>
      <c r="D44" s="1" t="s">
        <v>368</v>
      </c>
      <c r="E44" s="305"/>
    </row>
    <row r="45" spans="1:7" ht="15.75">
      <c r="A45" s="261" t="s">
        <v>413</v>
      </c>
      <c r="B45" s="48" t="s">
        <v>410</v>
      </c>
      <c r="C45" s="307">
        <f>'4.mell. - kiadás'!N33</f>
        <v>0</v>
      </c>
      <c r="D45" s="1" t="s">
        <v>368</v>
      </c>
      <c r="E45" s="305"/>
      <c r="F45" s="1"/>
      <c r="G45" s="1"/>
    </row>
    <row r="46" spans="1:5" s="1" customFormat="1" ht="15.75">
      <c r="A46" s="263"/>
      <c r="B46" s="48"/>
      <c r="C46" s="307"/>
      <c r="E46" s="305"/>
    </row>
    <row r="47" spans="1:6" s="1" customFormat="1" ht="15.75">
      <c r="A47" s="263" t="s">
        <v>414</v>
      </c>
      <c r="B47" s="18" t="s">
        <v>106</v>
      </c>
      <c r="C47" s="307"/>
      <c r="E47" s="305">
        <f>C48</f>
        <v>795449</v>
      </c>
      <c r="F47" s="1" t="s">
        <v>368</v>
      </c>
    </row>
    <row r="48" spans="1:5" s="1" customFormat="1" ht="15.75">
      <c r="A48" s="263"/>
      <c r="B48" s="48" t="s">
        <v>356</v>
      </c>
      <c r="C48" s="304">
        <f>'4.mell. - kiadás'!S33</f>
        <v>795449</v>
      </c>
      <c r="D48" s="1" t="s">
        <v>368</v>
      </c>
      <c r="E48" s="305"/>
    </row>
    <row r="49" spans="1:7" s="4" customFormat="1" ht="18.75">
      <c r="A49" s="264"/>
      <c r="B49" s="48" t="s">
        <v>107</v>
      </c>
      <c r="C49" s="304">
        <v>0</v>
      </c>
      <c r="D49" s="1" t="s">
        <v>368</v>
      </c>
      <c r="E49" s="305"/>
      <c r="F49" s="1"/>
      <c r="G49" s="2"/>
    </row>
    <row r="50" spans="2:7" ht="15.75">
      <c r="B50" s="48"/>
      <c r="C50" s="307"/>
      <c r="D50" s="1"/>
      <c r="E50" s="305"/>
      <c r="F50" s="1"/>
      <c r="G50" s="1"/>
    </row>
    <row r="51" spans="1:7" ht="15.75">
      <c r="A51" s="261" t="s">
        <v>415</v>
      </c>
      <c r="B51" s="5" t="s">
        <v>28</v>
      </c>
      <c r="C51" s="307"/>
      <c r="D51" s="1"/>
      <c r="E51" s="303">
        <f>SUM(E34:E50)</f>
        <v>102161785</v>
      </c>
      <c r="F51" s="2" t="s">
        <v>368</v>
      </c>
      <c r="G51" s="1"/>
    </row>
    <row r="52" spans="2:7" ht="15.75">
      <c r="B52" s="48"/>
      <c r="C52" s="304"/>
      <c r="D52" s="1"/>
      <c r="E52" s="309"/>
      <c r="F52" s="1"/>
      <c r="G52" s="1"/>
    </row>
    <row r="53" spans="1:7" ht="18.75">
      <c r="A53" s="261" t="s">
        <v>26</v>
      </c>
      <c r="B53" s="5" t="s">
        <v>29</v>
      </c>
      <c r="C53" s="304"/>
      <c r="D53" s="1"/>
      <c r="E53" s="303">
        <f>E31-E51</f>
        <v>-11685062</v>
      </c>
      <c r="F53" s="2" t="s">
        <v>368</v>
      </c>
      <c r="G53" s="4"/>
    </row>
    <row r="54" spans="2:5" ht="15.75">
      <c r="B54" s="48"/>
      <c r="C54" s="304"/>
      <c r="D54" s="1"/>
      <c r="E54" s="303"/>
    </row>
    <row r="55" spans="1:6" ht="32.25">
      <c r="A55" s="265" t="s">
        <v>64</v>
      </c>
      <c r="B55" s="94" t="s">
        <v>357</v>
      </c>
      <c r="C55" s="310"/>
      <c r="D55" s="4"/>
      <c r="E55" s="303">
        <f>'2.mell - bevétel'!H107</f>
        <v>11685062</v>
      </c>
      <c r="F55" s="2" t="s">
        <v>368</v>
      </c>
    </row>
    <row r="56" spans="1:7" s="1" customFormat="1" ht="15.75">
      <c r="A56" s="263"/>
      <c r="B56" s="48"/>
      <c r="C56" s="302"/>
      <c r="D56" s="2"/>
      <c r="E56" s="303"/>
      <c r="F56" s="2"/>
      <c r="G56" s="2"/>
    </row>
    <row r="57" spans="1:6" ht="15.75">
      <c r="A57" s="261" t="s">
        <v>65</v>
      </c>
      <c r="B57" s="5" t="s">
        <v>44</v>
      </c>
      <c r="E57" s="303">
        <f>E53+E55</f>
        <v>0</v>
      </c>
      <c r="F57" s="2" t="s">
        <v>368</v>
      </c>
    </row>
    <row r="58" spans="1:5" s="1" customFormat="1" ht="10.5" customHeight="1">
      <c r="A58" s="263"/>
      <c r="B58" s="3"/>
      <c r="C58" s="304"/>
      <c r="E58" s="311"/>
    </row>
    <row r="59" spans="2:6" ht="15.75">
      <c r="B59" s="3"/>
      <c r="C59" s="304"/>
      <c r="D59" s="1"/>
      <c r="E59" s="311"/>
      <c r="F59" s="5"/>
    </row>
    <row r="60" spans="2:6" ht="15.75">
      <c r="B60" s="5"/>
      <c r="E60" s="312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0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26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00390625" style="55" customWidth="1"/>
    <col min="2" max="2" width="3.125" style="52" customWidth="1"/>
    <col min="3" max="3" width="4.25390625" style="52" customWidth="1"/>
    <col min="4" max="5" width="3.125" style="52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426" t="s">
        <v>478</v>
      </c>
      <c r="B1" s="427"/>
      <c r="C1" s="427"/>
      <c r="D1" s="427"/>
      <c r="E1" s="427"/>
      <c r="F1" s="427"/>
      <c r="G1" s="427"/>
      <c r="H1" s="427"/>
      <c r="I1" s="427"/>
    </row>
    <row r="2" spans="1:9" ht="15.75">
      <c r="A2" s="300"/>
      <c r="B2" s="301"/>
      <c r="C2" s="301"/>
      <c r="D2" s="301"/>
      <c r="E2" s="301"/>
      <c r="F2" s="301"/>
      <c r="G2" s="301"/>
      <c r="H2" s="301"/>
      <c r="I2" s="301"/>
    </row>
    <row r="3" spans="5:9" ht="15.75">
      <c r="E3" s="72"/>
      <c r="F3" s="72"/>
      <c r="G3" s="72"/>
      <c r="H3" s="72"/>
      <c r="I3" s="72"/>
    </row>
    <row r="4" spans="1:9" ht="15.75">
      <c r="A4" s="448"/>
      <c r="B4" s="448"/>
      <c r="C4" s="448"/>
      <c r="D4" s="448"/>
      <c r="E4" s="448"/>
      <c r="F4" s="448"/>
      <c r="G4" s="448"/>
      <c r="H4" s="448"/>
      <c r="I4" s="448"/>
    </row>
    <row r="5" spans="1:9" s="9" customFormat="1" ht="15.75">
      <c r="A5" s="448" t="s">
        <v>318</v>
      </c>
      <c r="B5" s="448"/>
      <c r="C5" s="448"/>
      <c r="D5" s="448"/>
      <c r="E5" s="448"/>
      <c r="F5" s="448"/>
      <c r="G5" s="448"/>
      <c r="H5" s="448"/>
      <c r="I5" s="448"/>
    </row>
    <row r="6" spans="1:9" s="9" customFormat="1" ht="15.75">
      <c r="A6" s="448" t="s">
        <v>320</v>
      </c>
      <c r="B6" s="448"/>
      <c r="C6" s="448"/>
      <c r="D6" s="448"/>
      <c r="E6" s="448"/>
      <c r="F6" s="448"/>
      <c r="G6" s="448"/>
      <c r="H6" s="448"/>
      <c r="I6" s="448"/>
    </row>
    <row r="7" spans="1:9" ht="15.75">
      <c r="A7" s="448" t="s">
        <v>437</v>
      </c>
      <c r="B7" s="448"/>
      <c r="C7" s="448"/>
      <c r="D7" s="448"/>
      <c r="E7" s="448"/>
      <c r="F7" s="448"/>
      <c r="G7" s="448"/>
      <c r="H7" s="448"/>
      <c r="I7" s="448"/>
    </row>
    <row r="8" ht="15.75" hidden="1"/>
    <row r="9" spans="8:9" ht="16.5" thickBot="1">
      <c r="H9" s="57"/>
      <c r="I9" s="58" t="s">
        <v>365</v>
      </c>
    </row>
    <row r="10" spans="1:9" ht="15.75">
      <c r="A10" s="449" t="s">
        <v>16</v>
      </c>
      <c r="B10" s="450"/>
      <c r="C10" s="450"/>
      <c r="D10" s="450"/>
      <c r="E10" s="450"/>
      <c r="F10" s="451"/>
      <c r="G10" s="59" t="s">
        <v>14</v>
      </c>
      <c r="H10" s="59" t="s">
        <v>14</v>
      </c>
      <c r="I10" s="59" t="s">
        <v>15</v>
      </c>
    </row>
    <row r="11" spans="1:9" ht="15.75">
      <c r="A11" s="452"/>
      <c r="B11" s="453"/>
      <c r="C11" s="453"/>
      <c r="D11" s="453"/>
      <c r="E11" s="453"/>
      <c r="F11" s="454"/>
      <c r="G11" s="60" t="s">
        <v>6</v>
      </c>
      <c r="H11" s="60" t="s">
        <v>6</v>
      </c>
      <c r="I11" s="60"/>
    </row>
    <row r="12" spans="1:9" ht="16.5" thickBot="1">
      <c r="A12" s="455"/>
      <c r="B12" s="456"/>
      <c r="C12" s="456"/>
      <c r="D12" s="456"/>
      <c r="E12" s="456"/>
      <c r="F12" s="457"/>
      <c r="G12" s="61" t="s">
        <v>422</v>
      </c>
      <c r="H12" s="61" t="s">
        <v>437</v>
      </c>
      <c r="I12" s="61" t="s">
        <v>17</v>
      </c>
    </row>
    <row r="13" spans="1:9" ht="15.75">
      <c r="A13" s="6"/>
      <c r="B13" s="6"/>
      <c r="C13" s="6"/>
      <c r="D13" s="6"/>
      <c r="E13" s="6"/>
      <c r="F13" s="6"/>
      <c r="G13" s="6"/>
      <c r="H13" s="6"/>
      <c r="I13" s="6"/>
    </row>
    <row r="14" spans="1:9" ht="32.25" customHeight="1">
      <c r="A14" s="18" t="s">
        <v>30</v>
      </c>
      <c r="B14" s="436" t="s">
        <v>46</v>
      </c>
      <c r="C14" s="436"/>
      <c r="D14" s="436"/>
      <c r="E14" s="436"/>
      <c r="F14" s="436"/>
      <c r="G14" s="74"/>
      <c r="H14" s="313"/>
      <c r="I14" s="74"/>
    </row>
    <row r="15" spans="1:9" ht="10.5" customHeight="1">
      <c r="A15" s="18"/>
      <c r="B15" s="73"/>
      <c r="C15" s="73"/>
      <c r="D15" s="73"/>
      <c r="E15" s="73"/>
      <c r="F15" s="73"/>
      <c r="G15" s="74"/>
      <c r="H15" s="313"/>
      <c r="I15" s="74"/>
    </row>
    <row r="16" spans="1:9" ht="15.75">
      <c r="A16" s="18"/>
      <c r="B16" s="18" t="s">
        <v>30</v>
      </c>
      <c r="C16" s="18" t="s">
        <v>47</v>
      </c>
      <c r="D16" s="18"/>
      <c r="E16" s="18"/>
      <c r="F16" s="18"/>
      <c r="G16" s="314"/>
      <c r="H16" s="314"/>
      <c r="I16" s="18"/>
    </row>
    <row r="17" spans="1:9" ht="6.75" customHeight="1">
      <c r="A17" s="18"/>
      <c r="B17" s="18"/>
      <c r="C17" s="18"/>
      <c r="D17" s="18"/>
      <c r="E17" s="18"/>
      <c r="F17" s="18"/>
      <c r="G17" s="314"/>
      <c r="H17" s="314"/>
      <c r="I17" s="18"/>
    </row>
    <row r="18" spans="1:9" ht="15.75">
      <c r="A18" s="18"/>
      <c r="B18" s="18"/>
      <c r="C18" s="18" t="s">
        <v>25</v>
      </c>
      <c r="D18" s="436" t="s">
        <v>48</v>
      </c>
      <c r="E18" s="436"/>
      <c r="F18" s="436"/>
      <c r="G18" s="313"/>
      <c r="H18" s="313"/>
      <c r="I18" s="74"/>
    </row>
    <row r="19" spans="1:9" ht="15.75">
      <c r="A19" s="18"/>
      <c r="B19" s="18"/>
      <c r="C19" s="18"/>
      <c r="D19" s="73"/>
      <c r="E19" s="73"/>
      <c r="F19" s="73"/>
      <c r="G19" s="313"/>
      <c r="H19" s="313"/>
      <c r="I19" s="74"/>
    </row>
    <row r="20" spans="1:9" ht="15.75">
      <c r="A20" s="18"/>
      <c r="B20" s="18"/>
      <c r="C20" s="18"/>
      <c r="D20" s="18" t="s">
        <v>25</v>
      </c>
      <c r="E20" s="436" t="s">
        <v>49</v>
      </c>
      <c r="F20" s="436"/>
      <c r="G20" s="313"/>
      <c r="H20" s="313"/>
      <c r="I20" s="74"/>
    </row>
    <row r="21" spans="1:9" ht="15.75">
      <c r="A21" s="20"/>
      <c r="B21" s="20"/>
      <c r="C21" s="20"/>
      <c r="D21" s="20"/>
      <c r="E21" s="20" t="s">
        <v>36</v>
      </c>
      <c r="F21" s="20" t="s">
        <v>31</v>
      </c>
      <c r="G21" s="315"/>
      <c r="H21" s="315"/>
      <c r="I21" s="75"/>
    </row>
    <row r="22" spans="1:9" ht="15.75">
      <c r="A22" s="20"/>
      <c r="B22" s="20"/>
      <c r="C22" s="20"/>
      <c r="D22" s="20"/>
      <c r="E22" s="20"/>
      <c r="F22" s="20" t="s">
        <v>50</v>
      </c>
      <c r="G22" s="315"/>
      <c r="I22" s="75"/>
    </row>
    <row r="23" spans="1:9" ht="31.5">
      <c r="A23" s="20"/>
      <c r="B23" s="20"/>
      <c r="C23" s="20"/>
      <c r="D23" s="20"/>
      <c r="E23" s="20" t="s">
        <v>37</v>
      </c>
      <c r="F23" s="76" t="s">
        <v>32</v>
      </c>
      <c r="G23" s="316"/>
      <c r="I23" s="75"/>
    </row>
    <row r="24" spans="1:9" ht="31.5">
      <c r="A24" s="20"/>
      <c r="B24" s="20"/>
      <c r="C24" s="20"/>
      <c r="D24" s="20"/>
      <c r="E24" s="20" t="s">
        <v>51</v>
      </c>
      <c r="F24" s="76" t="s">
        <v>52</v>
      </c>
      <c r="G24" s="315">
        <v>1074860</v>
      </c>
      <c r="H24" s="317">
        <v>1074860</v>
      </c>
      <c r="I24" s="75">
        <f>H24/G24*100</f>
        <v>100</v>
      </c>
    </row>
    <row r="25" spans="1:9" ht="15.75">
      <c r="A25" s="20"/>
      <c r="B25" s="20"/>
      <c r="C25" s="20"/>
      <c r="D25" s="20"/>
      <c r="E25" s="20"/>
      <c r="F25" s="20" t="s">
        <v>50</v>
      </c>
      <c r="G25" s="315"/>
      <c r="H25" s="317"/>
      <c r="I25" s="75"/>
    </row>
    <row r="26" spans="1:9" ht="15.75">
      <c r="A26" s="20"/>
      <c r="B26" s="20"/>
      <c r="C26" s="20"/>
      <c r="D26" s="20"/>
      <c r="E26" s="20" t="s">
        <v>53</v>
      </c>
      <c r="F26" s="76" t="s">
        <v>54</v>
      </c>
      <c r="G26" s="315">
        <v>1024000</v>
      </c>
      <c r="H26" s="317">
        <v>1024000</v>
      </c>
      <c r="I26" s="75">
        <f>H26/G26*100</f>
        <v>100</v>
      </c>
    </row>
    <row r="27" spans="1:9" ht="15.75">
      <c r="A27" s="20"/>
      <c r="B27" s="20"/>
      <c r="C27" s="20"/>
      <c r="D27" s="20"/>
      <c r="E27" s="20"/>
      <c r="F27" s="20" t="s">
        <v>50</v>
      </c>
      <c r="G27" s="315"/>
      <c r="H27" s="317"/>
      <c r="I27" s="75"/>
    </row>
    <row r="28" spans="1:9" ht="21" customHeight="1">
      <c r="A28" s="20"/>
      <c r="B28" s="20"/>
      <c r="C28" s="20"/>
      <c r="D28" s="20"/>
      <c r="E28" s="20" t="s">
        <v>55</v>
      </c>
      <c r="F28" s="76" t="s">
        <v>56</v>
      </c>
      <c r="G28" s="315">
        <v>100000</v>
      </c>
      <c r="H28" s="317">
        <v>100000</v>
      </c>
      <c r="I28" s="75">
        <f>H28/G28*100</f>
        <v>100</v>
      </c>
    </row>
    <row r="29" spans="1:9" ht="15.75">
      <c r="A29" s="20"/>
      <c r="B29" s="20"/>
      <c r="C29" s="20"/>
      <c r="D29" s="20"/>
      <c r="E29" s="20"/>
      <c r="F29" s="20" t="s">
        <v>50</v>
      </c>
      <c r="G29" s="315"/>
      <c r="H29" s="317"/>
      <c r="I29" s="75"/>
    </row>
    <row r="30" spans="1:9" ht="15.75">
      <c r="A30" s="20"/>
      <c r="B30" s="20"/>
      <c r="C30" s="20"/>
      <c r="D30" s="20"/>
      <c r="E30" s="20" t="s">
        <v>57</v>
      </c>
      <c r="F30" s="76" t="s">
        <v>58</v>
      </c>
      <c r="G30" s="315">
        <v>692350</v>
      </c>
      <c r="H30" s="317">
        <v>692350</v>
      </c>
      <c r="I30" s="75">
        <f>H30/G30*100</f>
        <v>100</v>
      </c>
    </row>
    <row r="31" spans="1:9" s="49" customFormat="1" ht="15.75">
      <c r="A31" s="20"/>
      <c r="B31" s="20"/>
      <c r="C31" s="20"/>
      <c r="D31" s="20"/>
      <c r="E31" s="20"/>
      <c r="F31" s="20" t="s">
        <v>50</v>
      </c>
      <c r="G31" s="315"/>
      <c r="H31" s="318"/>
      <c r="I31" s="75"/>
    </row>
    <row r="32" spans="1:9" ht="15.75">
      <c r="A32" s="20"/>
      <c r="B32" s="20"/>
      <c r="C32" s="20"/>
      <c r="D32" s="20" t="s">
        <v>38</v>
      </c>
      <c r="E32" s="20" t="s">
        <v>59</v>
      </c>
      <c r="F32" s="20"/>
      <c r="G32" s="315">
        <v>5000000</v>
      </c>
      <c r="H32" s="317">
        <v>5000000</v>
      </c>
      <c r="I32" s="75">
        <f>H32/G32*100</f>
        <v>100</v>
      </c>
    </row>
    <row r="33" spans="1:9" ht="15.75">
      <c r="A33" s="20"/>
      <c r="B33" s="20"/>
      <c r="C33" s="20"/>
      <c r="D33" s="20"/>
      <c r="E33" s="20"/>
      <c r="F33" s="20" t="s">
        <v>50</v>
      </c>
      <c r="G33" s="315"/>
      <c r="H33" s="317"/>
      <c r="I33" s="75"/>
    </row>
    <row r="34" spans="1:9" ht="15.75">
      <c r="A34" s="20"/>
      <c r="B34" s="20"/>
      <c r="C34" s="20"/>
      <c r="D34" s="20" t="s">
        <v>39</v>
      </c>
      <c r="E34" s="20" t="s">
        <v>90</v>
      </c>
      <c r="F34" s="20"/>
      <c r="G34" s="315">
        <v>51000</v>
      </c>
      <c r="H34" s="317">
        <v>51000</v>
      </c>
      <c r="I34" s="75">
        <f>H34/G34*100</f>
        <v>100</v>
      </c>
    </row>
    <row r="35" spans="1:9" ht="15.75">
      <c r="A35" s="20"/>
      <c r="B35" s="20"/>
      <c r="C35" s="20"/>
      <c r="D35" s="20" t="s">
        <v>91</v>
      </c>
      <c r="E35" s="20" t="s">
        <v>312</v>
      </c>
      <c r="F35" s="20"/>
      <c r="G35" s="315">
        <v>3573995</v>
      </c>
      <c r="H35" s="317">
        <v>3798101</v>
      </c>
      <c r="I35" s="75">
        <f>H35/G35*100</f>
        <v>106.27046204597377</v>
      </c>
    </row>
    <row r="36" spans="1:9" s="49" customFormat="1" ht="15.75">
      <c r="A36" s="20"/>
      <c r="B36" s="20"/>
      <c r="C36" s="20"/>
      <c r="D36" s="20" t="s">
        <v>19</v>
      </c>
      <c r="E36" s="20" t="s">
        <v>60</v>
      </c>
      <c r="F36" s="20"/>
      <c r="G36" s="315"/>
      <c r="I36" s="75"/>
    </row>
    <row r="37" spans="1:9" ht="15.75">
      <c r="A37" s="20"/>
      <c r="B37" s="20"/>
      <c r="C37" s="20"/>
      <c r="D37" s="20"/>
      <c r="E37" s="20"/>
      <c r="F37" s="20" t="s">
        <v>50</v>
      </c>
      <c r="G37" s="315"/>
      <c r="I37" s="75"/>
    </row>
    <row r="38" spans="1:9" ht="15.75">
      <c r="A38" s="20"/>
      <c r="B38" s="20"/>
      <c r="D38" s="20" t="s">
        <v>70</v>
      </c>
      <c r="E38" s="20" t="s">
        <v>423</v>
      </c>
      <c r="F38" s="20"/>
      <c r="G38" s="315">
        <v>1009100</v>
      </c>
      <c r="H38" s="317">
        <v>990400</v>
      </c>
      <c r="I38" s="75">
        <f>H38/G38*100</f>
        <v>98.14686354176989</v>
      </c>
    </row>
    <row r="39" spans="1:9" ht="31.5" customHeight="1">
      <c r="A39" s="78"/>
      <c r="B39" s="78"/>
      <c r="C39" s="79"/>
      <c r="D39" s="439" t="s">
        <v>61</v>
      </c>
      <c r="E39" s="439"/>
      <c r="F39" s="439"/>
      <c r="G39" s="319">
        <f>SUM(G21:G38)</f>
        <v>12525305</v>
      </c>
      <c r="H39" s="320">
        <f>SUM(H21:H38)</f>
        <v>12730711</v>
      </c>
      <c r="I39" s="266">
        <f>H39/G39*100</f>
        <v>101.63992812949465</v>
      </c>
    </row>
    <row r="40" spans="1:9" ht="33" customHeight="1">
      <c r="A40" s="20"/>
      <c r="B40" s="20"/>
      <c r="C40" s="267" t="s">
        <v>33</v>
      </c>
      <c r="D40" s="436" t="s">
        <v>62</v>
      </c>
      <c r="E40" s="436"/>
      <c r="F40" s="436"/>
      <c r="G40" s="313"/>
      <c r="H40" s="286"/>
      <c r="I40" s="75"/>
    </row>
    <row r="41" spans="1:9" ht="15.75">
      <c r="A41" s="20"/>
      <c r="B41" s="20"/>
      <c r="C41" s="20"/>
      <c r="D41" s="20" t="s">
        <v>25</v>
      </c>
      <c r="E41" s="20" t="s">
        <v>92</v>
      </c>
      <c r="F41" s="20"/>
      <c r="G41" s="315"/>
      <c r="H41" s="321"/>
      <c r="I41" s="75"/>
    </row>
    <row r="42" spans="1:9" ht="30.75" customHeight="1">
      <c r="A42" s="20"/>
      <c r="B42" s="20"/>
      <c r="C42" s="20"/>
      <c r="D42" s="20" t="s">
        <v>19</v>
      </c>
      <c r="E42" s="435" t="s">
        <v>93</v>
      </c>
      <c r="F42" s="435"/>
      <c r="G42" s="315">
        <v>2574000</v>
      </c>
      <c r="H42" s="321">
        <v>1868000</v>
      </c>
      <c r="I42" s="88">
        <f>H42/G42*100</f>
        <v>72.57187257187258</v>
      </c>
    </row>
    <row r="43" spans="1:9" ht="15.75">
      <c r="A43" s="20"/>
      <c r="B43" s="20"/>
      <c r="C43" s="20"/>
      <c r="D43" s="20" t="s">
        <v>26</v>
      </c>
      <c r="E43" s="20" t="s">
        <v>63</v>
      </c>
      <c r="F43" s="20"/>
      <c r="G43" s="315"/>
      <c r="H43" s="321"/>
      <c r="I43" s="75"/>
    </row>
    <row r="44" spans="1:9" ht="15.75">
      <c r="A44" s="20"/>
      <c r="B44" s="20"/>
      <c r="C44" s="20"/>
      <c r="D44" s="20"/>
      <c r="E44" s="20" t="s">
        <v>343</v>
      </c>
      <c r="F44" s="20" t="s">
        <v>344</v>
      </c>
      <c r="G44" s="315">
        <v>387520</v>
      </c>
      <c r="H44" s="321">
        <f>387520+70000+276800</f>
        <v>734320</v>
      </c>
      <c r="I44" s="88">
        <f>H44/G44*100</f>
        <v>189.49215524360034</v>
      </c>
    </row>
    <row r="45" spans="1:9" ht="15.75">
      <c r="A45" s="20"/>
      <c r="B45" s="20"/>
      <c r="C45" s="20"/>
      <c r="D45" s="20"/>
      <c r="E45" s="20" t="s">
        <v>345</v>
      </c>
      <c r="F45" s="20" t="s">
        <v>346</v>
      </c>
      <c r="G45" s="315">
        <v>3100000</v>
      </c>
      <c r="H45" s="321">
        <f>3100000+1150000</f>
        <v>4250000</v>
      </c>
      <c r="I45" s="88">
        <f>H45/G45*100</f>
        <v>137.09677419354838</v>
      </c>
    </row>
    <row r="46" spans="1:9" ht="15.75" customHeight="1">
      <c r="A46" s="20"/>
      <c r="B46" s="20"/>
      <c r="C46" s="20"/>
      <c r="D46" s="20" t="s">
        <v>64</v>
      </c>
      <c r="E46" s="435" t="s">
        <v>316</v>
      </c>
      <c r="F46" s="441"/>
      <c r="G46" s="81"/>
      <c r="H46" s="322">
        <f>63053+62789+30999</f>
        <v>156841</v>
      </c>
      <c r="I46" s="88"/>
    </row>
    <row r="47" spans="1:9" ht="33.75" customHeight="1">
      <c r="A47" s="78"/>
      <c r="B47" s="78"/>
      <c r="C47" s="439" t="s">
        <v>66</v>
      </c>
      <c r="D47" s="439"/>
      <c r="E47" s="439"/>
      <c r="F47" s="439"/>
      <c r="G47" s="323">
        <f>SUM(G41:G46)</f>
        <v>6061520</v>
      </c>
      <c r="H47" s="324">
        <f>SUM(H41:H46)</f>
        <v>7009161</v>
      </c>
      <c r="I47" s="266">
        <f>H47/G47*100</f>
        <v>115.63371893518458</v>
      </c>
    </row>
    <row r="48" spans="1:9" ht="12" customHeight="1">
      <c r="A48" s="20"/>
      <c r="B48" s="20"/>
      <c r="C48" s="20"/>
      <c r="D48" s="20"/>
      <c r="E48" s="20"/>
      <c r="F48" s="20"/>
      <c r="G48" s="315"/>
      <c r="H48" s="321"/>
      <c r="I48" s="75"/>
    </row>
    <row r="49" spans="1:9" ht="31.5" customHeight="1">
      <c r="A49" s="20"/>
      <c r="B49" s="20"/>
      <c r="C49" s="267" t="s">
        <v>416</v>
      </c>
      <c r="D49" s="436" t="s">
        <v>67</v>
      </c>
      <c r="E49" s="436"/>
      <c r="F49" s="436"/>
      <c r="G49" s="313"/>
      <c r="H49" s="325"/>
      <c r="I49" s="74"/>
    </row>
    <row r="50" spans="1:9" ht="15.75">
      <c r="A50" s="20"/>
      <c r="B50" s="20"/>
      <c r="C50" s="20"/>
      <c r="D50" s="20" t="s">
        <v>25</v>
      </c>
      <c r="E50" s="435" t="s">
        <v>34</v>
      </c>
      <c r="F50" s="435"/>
      <c r="G50" s="316"/>
      <c r="H50" s="322"/>
      <c r="I50" s="76"/>
    </row>
    <row r="51" spans="1:9" ht="31.5">
      <c r="A51" s="20"/>
      <c r="B51" s="20"/>
      <c r="C51" s="20"/>
      <c r="D51" s="20"/>
      <c r="E51" s="20" t="s">
        <v>39</v>
      </c>
      <c r="F51" s="76" t="s">
        <v>68</v>
      </c>
      <c r="G51" s="315">
        <v>1800000</v>
      </c>
      <c r="H51" s="322">
        <v>1800000</v>
      </c>
      <c r="I51" s="75">
        <f>H51/G51*100</f>
        <v>100</v>
      </c>
    </row>
    <row r="52" spans="1:9" ht="12" customHeight="1">
      <c r="A52" s="20"/>
      <c r="B52" s="20"/>
      <c r="C52" s="20"/>
      <c r="D52" s="20"/>
      <c r="E52" s="20"/>
      <c r="F52" s="20"/>
      <c r="G52" s="315"/>
      <c r="H52" s="321"/>
      <c r="I52" s="75"/>
    </row>
    <row r="53" spans="1:9" ht="31.5" customHeight="1">
      <c r="A53" s="78"/>
      <c r="B53" s="78"/>
      <c r="C53" s="439" t="s">
        <v>69</v>
      </c>
      <c r="D53" s="439"/>
      <c r="E53" s="439"/>
      <c r="F53" s="439"/>
      <c r="G53" s="323">
        <f>SUM(G51:G52)</f>
        <v>1800000</v>
      </c>
      <c r="H53" s="324">
        <f>SUM(H51:H52)</f>
        <v>1800000</v>
      </c>
      <c r="I53" s="266">
        <f>H53/G53*100</f>
        <v>100</v>
      </c>
    </row>
    <row r="54" spans="1:9" ht="10.5" customHeight="1">
      <c r="A54" s="20"/>
      <c r="B54" s="20"/>
      <c r="C54" s="20"/>
      <c r="D54" s="20"/>
      <c r="E54" s="20"/>
      <c r="F54" s="20"/>
      <c r="G54" s="315"/>
      <c r="H54" s="321"/>
      <c r="I54" s="75"/>
    </row>
    <row r="55" spans="1:9" ht="29.25" customHeight="1">
      <c r="A55" s="80"/>
      <c r="B55" s="436" t="s">
        <v>71</v>
      </c>
      <c r="C55" s="436"/>
      <c r="D55" s="436"/>
      <c r="E55" s="436"/>
      <c r="F55" s="436"/>
      <c r="G55" s="326">
        <f>G39+G47+G53</f>
        <v>20386825</v>
      </c>
      <c r="H55" s="327">
        <f>H39+H47+H53</f>
        <v>21539872</v>
      </c>
      <c r="I55" s="83">
        <f>H55/G55*100</f>
        <v>105.65584390899514</v>
      </c>
    </row>
    <row r="56" spans="1:9" ht="21.75" customHeight="1">
      <c r="A56" s="80"/>
      <c r="B56" s="73"/>
      <c r="C56" s="73"/>
      <c r="D56" s="73"/>
      <c r="E56" s="73"/>
      <c r="F56" s="73"/>
      <c r="G56" s="326"/>
      <c r="H56" s="327"/>
      <c r="I56" s="83"/>
    </row>
    <row r="57" spans="1:9" ht="19.5" customHeight="1">
      <c r="A57" s="80"/>
      <c r="B57" s="73" t="s">
        <v>314</v>
      </c>
      <c r="C57" s="436" t="s">
        <v>315</v>
      </c>
      <c r="D57" s="436"/>
      <c r="E57" s="436"/>
      <c r="F57" s="436"/>
      <c r="G57" s="326"/>
      <c r="H57" s="327"/>
      <c r="I57" s="83"/>
    </row>
    <row r="58" spans="1:9" ht="15.75">
      <c r="A58" s="80"/>
      <c r="B58" s="73"/>
      <c r="C58" s="81" t="s">
        <v>25</v>
      </c>
      <c r="D58" s="435" t="s">
        <v>426</v>
      </c>
      <c r="E58" s="435"/>
      <c r="F58" s="435"/>
      <c r="G58" s="326"/>
      <c r="H58" s="322"/>
      <c r="I58" s="83"/>
    </row>
    <row r="59" spans="1:9" ht="15.75" customHeight="1">
      <c r="A59" s="80"/>
      <c r="B59" s="73"/>
      <c r="C59" s="81" t="s">
        <v>19</v>
      </c>
      <c r="D59" s="447" t="s">
        <v>249</v>
      </c>
      <c r="E59" s="447"/>
      <c r="F59" s="447"/>
      <c r="G59" s="328">
        <v>46400</v>
      </c>
      <c r="H59" s="322">
        <v>84000</v>
      </c>
      <c r="I59" s="83"/>
    </row>
    <row r="60" spans="1:9" ht="15.75">
      <c r="A60" s="80"/>
      <c r="B60" s="73"/>
      <c r="C60" s="81" t="s">
        <v>26</v>
      </c>
      <c r="D60" s="440" t="s">
        <v>443</v>
      </c>
      <c r="E60" s="458"/>
      <c r="F60" s="458"/>
      <c r="G60" s="328"/>
      <c r="H60" s="322">
        <f>602179+471569+354656</f>
        <v>1428404</v>
      </c>
      <c r="I60" s="83"/>
    </row>
    <row r="61" spans="1:9" ht="15.75">
      <c r="A61" s="80"/>
      <c r="B61" s="73"/>
      <c r="C61" s="435" t="s">
        <v>472</v>
      </c>
      <c r="D61" s="441"/>
      <c r="E61" s="441"/>
      <c r="F61" s="441"/>
      <c r="G61" s="328"/>
      <c r="H61" s="322">
        <v>770707</v>
      </c>
      <c r="I61" s="83"/>
    </row>
    <row r="62" spans="1:9" ht="31.5" customHeight="1">
      <c r="A62" s="80"/>
      <c r="B62" s="436" t="s">
        <v>317</v>
      </c>
      <c r="C62" s="436"/>
      <c r="D62" s="436"/>
      <c r="E62" s="436"/>
      <c r="F62" s="436"/>
      <c r="G62" s="326">
        <f>SUM(G58:G61)</f>
        <v>46400</v>
      </c>
      <c r="H62" s="327">
        <f>SUM(H58:H61)</f>
        <v>2283111</v>
      </c>
      <c r="I62" s="83"/>
    </row>
    <row r="63" spans="1:9" ht="36" customHeight="1">
      <c r="A63" s="436" t="s">
        <v>72</v>
      </c>
      <c r="B63" s="436"/>
      <c r="C63" s="436"/>
      <c r="D63" s="436"/>
      <c r="E63" s="436"/>
      <c r="F63" s="436"/>
      <c r="G63" s="84">
        <f>G55+G62</f>
        <v>20433225</v>
      </c>
      <c r="H63" s="287">
        <f>H55+H62</f>
        <v>23822983</v>
      </c>
      <c r="I63" s="223">
        <f>I55</f>
        <v>105.65584390899514</v>
      </c>
    </row>
    <row r="64" spans="1:9" ht="33" customHeight="1">
      <c r="A64" s="236" t="s">
        <v>314</v>
      </c>
      <c r="B64" s="436" t="s">
        <v>374</v>
      </c>
      <c r="C64" s="436"/>
      <c r="D64" s="436"/>
      <c r="E64" s="436"/>
      <c r="F64" s="436"/>
      <c r="G64" s="84"/>
      <c r="H64" s="287"/>
      <c r="I64" s="223"/>
    </row>
    <row r="65" spans="1:9" ht="15" customHeight="1">
      <c r="A65" s="73"/>
      <c r="B65" s="73" t="s">
        <v>25</v>
      </c>
      <c r="C65" s="440" t="s">
        <v>375</v>
      </c>
      <c r="D65" s="440"/>
      <c r="E65" s="440"/>
      <c r="F65" s="440"/>
      <c r="G65" s="317">
        <v>78740410</v>
      </c>
      <c r="H65" s="288">
        <v>14356553</v>
      </c>
      <c r="I65" s="223"/>
    </row>
    <row r="66" spans="1:9" ht="15" customHeight="1">
      <c r="A66" s="73"/>
      <c r="B66" s="73"/>
      <c r="C66" s="440" t="s">
        <v>376</v>
      </c>
      <c r="D66" s="440"/>
      <c r="E66" s="440"/>
      <c r="F66" s="440"/>
      <c r="G66" s="317">
        <v>8748935</v>
      </c>
      <c r="H66" s="288">
        <v>766387</v>
      </c>
      <c r="I66" s="223"/>
    </row>
    <row r="67" spans="1:9" ht="34.5" customHeight="1">
      <c r="A67" s="73"/>
      <c r="B67" s="293" t="s">
        <v>19</v>
      </c>
      <c r="C67" s="435" t="s">
        <v>430</v>
      </c>
      <c r="D67" s="441"/>
      <c r="E67" s="441"/>
      <c r="F67" s="441"/>
      <c r="G67" s="317">
        <v>12595865</v>
      </c>
      <c r="H67" s="288"/>
      <c r="I67" s="223"/>
    </row>
    <row r="68" spans="1:9" ht="18.75" customHeight="1">
      <c r="A68" s="73"/>
      <c r="B68" s="293" t="s">
        <v>26</v>
      </c>
      <c r="C68" s="435" t="s">
        <v>471</v>
      </c>
      <c r="D68" s="441"/>
      <c r="E68" s="441"/>
      <c r="F68" s="441"/>
      <c r="G68" s="317"/>
      <c r="H68" s="288">
        <v>14640346</v>
      </c>
      <c r="I68" s="223"/>
    </row>
    <row r="69" spans="1:9" ht="18.75" customHeight="1">
      <c r="A69" s="73"/>
      <c r="B69" s="293" t="s">
        <v>64</v>
      </c>
      <c r="C69" s="435" t="s">
        <v>470</v>
      </c>
      <c r="D69" s="441"/>
      <c r="E69" s="441"/>
      <c r="F69" s="441"/>
      <c r="G69" s="317"/>
      <c r="H69" s="288">
        <v>29993337</v>
      </c>
      <c r="I69" s="223"/>
    </row>
    <row r="70" spans="1:9" ht="36" customHeight="1">
      <c r="A70" s="436" t="s">
        <v>377</v>
      </c>
      <c r="B70" s="436"/>
      <c r="C70" s="436"/>
      <c r="D70" s="436"/>
      <c r="E70" s="436"/>
      <c r="F70" s="436"/>
      <c r="G70" s="84">
        <f>G65+G66+G67</f>
        <v>100085210</v>
      </c>
      <c r="H70" s="287">
        <f>H65+H66+H67+H68+H69</f>
        <v>59756623</v>
      </c>
      <c r="I70" s="223"/>
    </row>
    <row r="71" spans="1:9" ht="6" customHeight="1">
      <c r="A71" s="73"/>
      <c r="B71" s="73"/>
      <c r="C71" s="73"/>
      <c r="D71" s="73"/>
      <c r="E71" s="73"/>
      <c r="F71" s="73"/>
      <c r="G71" s="84"/>
      <c r="H71" s="287"/>
      <c r="I71" s="223"/>
    </row>
    <row r="72" spans="1:9" ht="15.75">
      <c r="A72" s="18" t="s">
        <v>33</v>
      </c>
      <c r="B72" s="18" t="s">
        <v>73</v>
      </c>
      <c r="C72" s="18"/>
      <c r="D72" s="18"/>
      <c r="E72" s="18"/>
      <c r="F72" s="18"/>
      <c r="G72" s="18"/>
      <c r="H72" s="329"/>
      <c r="I72" s="75"/>
    </row>
    <row r="73" spans="1:9" ht="9" customHeight="1">
      <c r="A73" s="20"/>
      <c r="B73" s="20"/>
      <c r="C73" s="20"/>
      <c r="D73" s="20"/>
      <c r="E73" s="20"/>
      <c r="F73" s="20"/>
      <c r="G73" s="315"/>
      <c r="H73" s="321"/>
      <c r="I73" s="75"/>
    </row>
    <row r="74" spans="1:9" ht="15.75">
      <c r="A74" s="18"/>
      <c r="B74" s="18" t="s">
        <v>25</v>
      </c>
      <c r="C74" s="18" t="s">
        <v>74</v>
      </c>
      <c r="D74" s="18"/>
      <c r="E74" s="18"/>
      <c r="F74" s="18"/>
      <c r="G74" s="18"/>
      <c r="H74" s="329"/>
      <c r="I74" s="75"/>
    </row>
    <row r="75" spans="1:9" s="9" customFormat="1" ht="15.75">
      <c r="A75" s="20"/>
      <c r="B75" s="20"/>
      <c r="C75" s="20" t="s">
        <v>25</v>
      </c>
      <c r="D75" s="20" t="s">
        <v>75</v>
      </c>
      <c r="E75" s="20"/>
      <c r="F75" s="20"/>
      <c r="G75" s="330">
        <v>800000</v>
      </c>
      <c r="H75" s="321">
        <v>800000</v>
      </c>
      <c r="I75" s="75">
        <f>H75/G75*100</f>
        <v>100</v>
      </c>
    </row>
    <row r="76" spans="1:9" ht="15.75">
      <c r="A76" s="18"/>
      <c r="B76" s="18" t="s">
        <v>19</v>
      </c>
      <c r="C76" s="18" t="s">
        <v>76</v>
      </c>
      <c r="D76" s="18"/>
      <c r="E76" s="18"/>
      <c r="F76" s="18"/>
      <c r="G76" s="330"/>
      <c r="H76" s="329"/>
      <c r="I76" s="75"/>
    </row>
    <row r="77" spans="1:9" ht="15.75">
      <c r="A77" s="20"/>
      <c r="B77" s="20"/>
      <c r="C77" s="20" t="s">
        <v>25</v>
      </c>
      <c r="D77" s="20" t="s">
        <v>77</v>
      </c>
      <c r="E77" s="20"/>
      <c r="F77" s="20"/>
      <c r="G77" s="330">
        <v>650000</v>
      </c>
      <c r="H77" s="321">
        <v>650000</v>
      </c>
      <c r="I77" s="75">
        <f>H77/G77*100</f>
        <v>100</v>
      </c>
    </row>
    <row r="78" spans="1:9" ht="15.75">
      <c r="A78" s="18"/>
      <c r="B78" s="18" t="s">
        <v>64</v>
      </c>
      <c r="C78" s="18" t="s">
        <v>78</v>
      </c>
      <c r="D78" s="18"/>
      <c r="E78" s="18"/>
      <c r="F78" s="18"/>
      <c r="G78" s="330"/>
      <c r="H78" s="329"/>
      <c r="I78" s="75"/>
    </row>
    <row r="79" spans="1:9" ht="15.75">
      <c r="A79" s="20"/>
      <c r="B79" s="20"/>
      <c r="C79" s="18" t="s">
        <v>25</v>
      </c>
      <c r="D79" s="20" t="s">
        <v>79</v>
      </c>
      <c r="E79" s="20"/>
      <c r="F79" s="20"/>
      <c r="G79" s="330">
        <v>5000</v>
      </c>
      <c r="H79" s="321">
        <v>5000</v>
      </c>
      <c r="I79" s="75">
        <f>H79/G79*100</f>
        <v>100</v>
      </c>
    </row>
    <row r="80" spans="1:9" ht="15.75">
      <c r="A80" s="20"/>
      <c r="B80" s="20"/>
      <c r="C80" s="18" t="s">
        <v>26</v>
      </c>
      <c r="D80" s="20" t="s">
        <v>80</v>
      </c>
      <c r="E80" s="20"/>
      <c r="F80" s="20"/>
      <c r="G80" s="330">
        <v>40000</v>
      </c>
      <c r="H80" s="321">
        <v>40000</v>
      </c>
      <c r="I80" s="75">
        <f>H80/G80*100</f>
        <v>100</v>
      </c>
    </row>
    <row r="81" spans="1:9" ht="9" customHeight="1">
      <c r="A81" s="80"/>
      <c r="B81" s="80"/>
      <c r="C81" s="80"/>
      <c r="D81" s="80"/>
      <c r="E81" s="80"/>
      <c r="F81" s="80"/>
      <c r="G81" s="330"/>
      <c r="H81" s="331"/>
      <c r="I81" s="75"/>
    </row>
    <row r="82" spans="1:9" s="9" customFormat="1" ht="15.75">
      <c r="A82" s="18" t="s">
        <v>40</v>
      </c>
      <c r="B82" s="80"/>
      <c r="C82" s="80"/>
      <c r="D82" s="80"/>
      <c r="E82" s="80"/>
      <c r="F82" s="80"/>
      <c r="G82" s="326">
        <f>G75+G77+G79+G80</f>
        <v>1495000</v>
      </c>
      <c r="H82" s="327">
        <f>H75+H77+H79+H80</f>
        <v>1495000</v>
      </c>
      <c r="I82" s="83">
        <f>H82/G82*100</f>
        <v>100</v>
      </c>
    </row>
    <row r="83" spans="1:9" ht="3" customHeight="1">
      <c r="A83" s="80"/>
      <c r="B83" s="80"/>
      <c r="C83" s="80"/>
      <c r="D83" s="80"/>
      <c r="E83" s="80"/>
      <c r="F83" s="80"/>
      <c r="G83" s="330"/>
      <c r="H83" s="331"/>
      <c r="I83" s="75"/>
    </row>
    <row r="84" spans="1:9" ht="15.75">
      <c r="A84" s="18" t="s">
        <v>81</v>
      </c>
      <c r="B84" s="18" t="s">
        <v>35</v>
      </c>
      <c r="C84" s="18"/>
      <c r="D84" s="18"/>
      <c r="E84" s="18"/>
      <c r="F84" s="18"/>
      <c r="G84" s="18"/>
      <c r="H84" s="329"/>
      <c r="I84" s="75"/>
    </row>
    <row r="85" spans="1:9" ht="9" customHeight="1">
      <c r="A85" s="80"/>
      <c r="B85" s="80"/>
      <c r="C85" s="80"/>
      <c r="D85" s="80"/>
      <c r="E85" s="80"/>
      <c r="F85" s="80"/>
      <c r="G85" s="330"/>
      <c r="H85" s="331"/>
      <c r="I85" s="75"/>
    </row>
    <row r="86" spans="1:9" ht="15.75">
      <c r="A86" s="80"/>
      <c r="B86" s="80" t="s">
        <v>25</v>
      </c>
      <c r="C86" s="82" t="s">
        <v>313</v>
      </c>
      <c r="D86" s="82"/>
      <c r="E86" s="82"/>
      <c r="F86" s="82"/>
      <c r="G86" s="330"/>
      <c r="H86" s="331"/>
      <c r="I86" s="75"/>
    </row>
    <row r="87" spans="1:9" ht="30.75" customHeight="1">
      <c r="A87" s="80"/>
      <c r="B87" s="80"/>
      <c r="C87" s="80" t="s">
        <v>25</v>
      </c>
      <c r="D87" s="446" t="s">
        <v>336</v>
      </c>
      <c r="E87" s="446"/>
      <c r="F87" s="446"/>
      <c r="G87" s="330">
        <v>42520</v>
      </c>
      <c r="H87" s="331">
        <v>42520</v>
      </c>
      <c r="I87" s="75">
        <f>H87/G87*100</f>
        <v>100</v>
      </c>
    </row>
    <row r="88" spans="1:9" ht="15.75" customHeight="1">
      <c r="A88" s="80"/>
      <c r="B88" s="80"/>
      <c r="C88" s="80">
        <v>2</v>
      </c>
      <c r="D88" s="437" t="s">
        <v>347</v>
      </c>
      <c r="E88" s="438"/>
      <c r="F88" s="438"/>
      <c r="G88" s="330">
        <v>5000</v>
      </c>
      <c r="H88" s="331">
        <v>5000</v>
      </c>
      <c r="I88" s="75">
        <f>H88/G88*100</f>
        <v>100</v>
      </c>
    </row>
    <row r="89" spans="1:9" ht="15.75">
      <c r="A89" s="80"/>
      <c r="B89" s="80" t="s">
        <v>19</v>
      </c>
      <c r="C89" s="82" t="s">
        <v>82</v>
      </c>
      <c r="D89" s="82"/>
      <c r="E89" s="82"/>
      <c r="F89" s="82"/>
      <c r="G89" s="330"/>
      <c r="H89" s="331"/>
      <c r="I89" s="75"/>
    </row>
    <row r="90" spans="1:9" ht="15.75">
      <c r="A90" s="80"/>
      <c r="B90" s="80"/>
      <c r="C90" s="80" t="s">
        <v>25</v>
      </c>
      <c r="D90" s="82" t="s">
        <v>45</v>
      </c>
      <c r="E90" s="82"/>
      <c r="F90" s="82"/>
      <c r="G90" s="330">
        <v>578690</v>
      </c>
      <c r="H90" s="331">
        <f>523586+259055</f>
        <v>782641</v>
      </c>
      <c r="I90" s="75">
        <f>H90/G90*100</f>
        <v>135.24356736767527</v>
      </c>
    </row>
    <row r="91" spans="1:9" ht="15.75">
      <c r="A91" s="80"/>
      <c r="B91" s="80"/>
      <c r="C91" s="80" t="s">
        <v>19</v>
      </c>
      <c r="D91" s="82" t="s">
        <v>366</v>
      </c>
      <c r="E91" s="82"/>
      <c r="F91" s="82"/>
      <c r="G91" s="330">
        <f>11480</f>
        <v>11480</v>
      </c>
      <c r="H91" s="331">
        <f>11480+141368+69945</f>
        <v>222793</v>
      </c>
      <c r="I91" s="75">
        <f>H91/G91*100</f>
        <v>1940.705574912892</v>
      </c>
    </row>
    <row r="92" spans="1:9" ht="15.75">
      <c r="A92" s="80"/>
      <c r="B92" s="80"/>
      <c r="C92" s="80" t="s">
        <v>26</v>
      </c>
      <c r="D92" s="82" t="s">
        <v>367</v>
      </c>
      <c r="E92" s="82"/>
      <c r="F92" s="82"/>
      <c r="G92" s="330">
        <f>223912+23778369</f>
        <v>24002281</v>
      </c>
      <c r="H92" s="331">
        <f>4083193+265970</f>
        <v>4349163</v>
      </c>
      <c r="I92" s="75">
        <f>H92/G92*100</f>
        <v>18.119790364924068</v>
      </c>
    </row>
    <row r="93" spans="1:9" ht="15.75">
      <c r="A93" s="80"/>
      <c r="B93" s="80" t="s">
        <v>26</v>
      </c>
      <c r="C93" s="82" t="s">
        <v>83</v>
      </c>
      <c r="D93" s="80"/>
      <c r="E93" s="80"/>
      <c r="F93" s="80"/>
      <c r="G93" s="330"/>
      <c r="H93" s="331"/>
      <c r="I93" s="75"/>
    </row>
    <row r="94" spans="1:9" ht="6" customHeight="1">
      <c r="A94" s="80"/>
      <c r="B94" s="80"/>
      <c r="C94" s="80"/>
      <c r="D94" s="80"/>
      <c r="E94" s="80"/>
      <c r="F94" s="80"/>
      <c r="G94" s="330"/>
      <c r="H94" s="331"/>
      <c r="I94" s="75"/>
    </row>
    <row r="95" spans="1:9" ht="15.75">
      <c r="A95" s="18" t="s">
        <v>18</v>
      </c>
      <c r="B95" s="80"/>
      <c r="C95" s="80"/>
      <c r="D95" s="80"/>
      <c r="E95" s="80"/>
      <c r="F95" s="80"/>
      <c r="G95" s="326">
        <f>SUM(G87:G94)</f>
        <v>24639971</v>
      </c>
      <c r="H95" s="327">
        <f>H87+H90+H93+H88+H91+H92</f>
        <v>5402117</v>
      </c>
      <c r="I95" s="83">
        <f>H95/G95*100</f>
        <v>21.9242019400104</v>
      </c>
    </row>
    <row r="96" spans="1:9" ht="17.25" customHeight="1">
      <c r="A96" s="86" t="s">
        <v>85</v>
      </c>
      <c r="B96" s="86"/>
      <c r="C96" s="86"/>
      <c r="D96" s="86"/>
      <c r="E96" s="86"/>
      <c r="F96" s="86"/>
      <c r="G96" s="85">
        <f>G95+G82+G70+G63</f>
        <v>146653406</v>
      </c>
      <c r="H96" s="289">
        <f>H95+H82+H63+H70</f>
        <v>90476723</v>
      </c>
      <c r="I96" s="83">
        <f>H96/G96*100</f>
        <v>61.69425277446335</v>
      </c>
    </row>
    <row r="97" spans="1:9" ht="15.75">
      <c r="A97" s="18" t="s">
        <v>86</v>
      </c>
      <c r="B97" s="436" t="s">
        <v>87</v>
      </c>
      <c r="C97" s="436"/>
      <c r="D97" s="436"/>
      <c r="E97" s="436"/>
      <c r="F97" s="436"/>
      <c r="G97" s="18"/>
      <c r="H97" s="322"/>
      <c r="I97" s="75"/>
    </row>
    <row r="98" spans="1:9" ht="15.75">
      <c r="A98" s="18"/>
      <c r="B98" s="73" t="s">
        <v>25</v>
      </c>
      <c r="C98" s="436" t="s">
        <v>88</v>
      </c>
      <c r="D98" s="436"/>
      <c r="E98" s="436"/>
      <c r="F98" s="436"/>
      <c r="G98" s="330"/>
      <c r="H98" s="322"/>
      <c r="I98" s="75"/>
    </row>
    <row r="99" spans="1:9" ht="15.75">
      <c r="A99" s="18"/>
      <c r="B99" s="73"/>
      <c r="C99" s="81" t="s">
        <v>25</v>
      </c>
      <c r="D99" s="435" t="s">
        <v>427</v>
      </c>
      <c r="E99" s="435"/>
      <c r="F99" s="435"/>
      <c r="G99" s="330">
        <v>815473</v>
      </c>
      <c r="H99" s="331">
        <v>795449</v>
      </c>
      <c r="I99" s="75">
        <f>H99/G99*100</f>
        <v>97.5444925828323</v>
      </c>
    </row>
    <row r="100" spans="1:9" ht="17.25" customHeight="1">
      <c r="A100" s="20"/>
      <c r="B100" s="20"/>
      <c r="C100" s="234" t="s">
        <v>19</v>
      </c>
      <c r="D100" s="444" t="s">
        <v>444</v>
      </c>
      <c r="E100" s="445"/>
      <c r="F100" s="445"/>
      <c r="G100" s="332"/>
      <c r="H100" s="321">
        <v>357916</v>
      </c>
      <c r="I100" s="75"/>
    </row>
    <row r="101" spans="1:9" ht="51" customHeight="1">
      <c r="A101" s="20"/>
      <c r="B101" s="20"/>
      <c r="C101" s="234" t="s">
        <v>26</v>
      </c>
      <c r="D101" s="444" t="s">
        <v>442</v>
      </c>
      <c r="E101" s="445"/>
      <c r="F101" s="445"/>
      <c r="G101" s="332"/>
      <c r="H101" s="321">
        <v>564000</v>
      </c>
      <c r="I101" s="75"/>
    </row>
    <row r="102" spans="1:9" ht="21.75" customHeight="1">
      <c r="A102" s="20"/>
      <c r="B102" s="20"/>
      <c r="C102" s="234" t="s">
        <v>64</v>
      </c>
      <c r="D102" s="433" t="s">
        <v>424</v>
      </c>
      <c r="E102" s="434"/>
      <c r="F102" s="434"/>
      <c r="G102" s="332">
        <v>1000000</v>
      </c>
      <c r="H102" s="321"/>
      <c r="I102" s="75"/>
    </row>
    <row r="103" spans="1:9" ht="34.5" customHeight="1">
      <c r="A103" s="20"/>
      <c r="B103" s="20"/>
      <c r="C103" s="234" t="s">
        <v>65</v>
      </c>
      <c r="D103" s="442" t="s">
        <v>428</v>
      </c>
      <c r="E103" s="443"/>
      <c r="F103" s="443"/>
      <c r="G103" s="332">
        <v>659121</v>
      </c>
      <c r="H103" s="321"/>
      <c r="I103" s="75"/>
    </row>
    <row r="104" spans="1:9" ht="18" customHeight="1">
      <c r="A104" s="20"/>
      <c r="B104" s="20"/>
      <c r="C104" s="234" t="s">
        <v>70</v>
      </c>
      <c r="D104" s="442" t="s">
        <v>445</v>
      </c>
      <c r="E104" s="443"/>
      <c r="F104" s="443"/>
      <c r="G104" s="332">
        <v>180996</v>
      </c>
      <c r="H104" s="321"/>
      <c r="I104" s="75"/>
    </row>
    <row r="105" spans="1:9" ht="18" customHeight="1">
      <c r="A105" s="20"/>
      <c r="B105" s="20"/>
      <c r="C105" s="234" t="s">
        <v>154</v>
      </c>
      <c r="D105" s="433" t="s">
        <v>446</v>
      </c>
      <c r="E105" s="434"/>
      <c r="F105" s="434"/>
      <c r="G105" s="332">
        <v>739032</v>
      </c>
      <c r="H105" s="321"/>
      <c r="I105" s="75"/>
    </row>
    <row r="106" spans="1:9" ht="18" customHeight="1">
      <c r="A106" s="20"/>
      <c r="B106" s="20"/>
      <c r="C106" s="234" t="s">
        <v>156</v>
      </c>
      <c r="D106" s="433" t="s">
        <v>447</v>
      </c>
      <c r="E106" s="434"/>
      <c r="F106" s="434"/>
      <c r="G106" s="332">
        <v>7416061</v>
      </c>
      <c r="H106" s="321">
        <f>103950+150000+200000+9513747</f>
        <v>9967697</v>
      </c>
      <c r="I106" s="75"/>
    </row>
    <row r="107" spans="1:9" ht="16.5">
      <c r="A107" s="86" t="s">
        <v>87</v>
      </c>
      <c r="B107" s="86"/>
      <c r="C107" s="86"/>
      <c r="D107" s="86"/>
      <c r="E107" s="86"/>
      <c r="F107" s="86"/>
      <c r="G107" s="235">
        <f>SUM(G99:G106)</f>
        <v>10810683</v>
      </c>
      <c r="H107" s="290">
        <f>H99+H100+H102+H103+H104+H105+H106+H101</f>
        <v>11685062</v>
      </c>
      <c r="I107" s="75">
        <f>H107/G107*100</f>
        <v>108.08810137157847</v>
      </c>
    </row>
    <row r="108" spans="1:9" ht="10.5" customHeight="1">
      <c r="A108" s="20"/>
      <c r="B108" s="20"/>
      <c r="C108" s="20"/>
      <c r="D108" s="20"/>
      <c r="E108" s="20"/>
      <c r="F108" s="20"/>
      <c r="G108" s="48"/>
      <c r="H108" s="291"/>
      <c r="I108" s="75"/>
    </row>
    <row r="109" spans="1:9" ht="18.75">
      <c r="A109" s="19" t="s">
        <v>89</v>
      </c>
      <c r="B109" s="19"/>
      <c r="C109" s="19"/>
      <c r="D109" s="19"/>
      <c r="E109" s="19"/>
      <c r="F109" s="19"/>
      <c r="G109" s="87">
        <f>G96+G107</f>
        <v>157464089</v>
      </c>
      <c r="H109" s="289">
        <f>H96+H107</f>
        <v>102161785</v>
      </c>
      <c r="I109" s="83">
        <f>H109/G109*100</f>
        <v>64.87941831613429</v>
      </c>
    </row>
    <row r="110" spans="7:9" ht="15.75">
      <c r="G110" s="6"/>
      <c r="H110" s="6"/>
      <c r="I110" s="7"/>
    </row>
    <row r="111" spans="7:9" ht="15.75">
      <c r="G111" s="62"/>
      <c r="H111" s="77"/>
      <c r="I111" s="11"/>
    </row>
    <row r="112" ht="9" customHeight="1">
      <c r="I112" s="11"/>
    </row>
    <row r="113" spans="1:9" s="9" customFormat="1" ht="15.75">
      <c r="A113" s="54"/>
      <c r="B113" s="53"/>
      <c r="C113" s="53"/>
      <c r="D113" s="53"/>
      <c r="E113" s="53"/>
      <c r="H113" s="77"/>
      <c r="I113" s="10"/>
    </row>
    <row r="114" ht="9" customHeight="1">
      <c r="I114" s="11"/>
    </row>
    <row r="115" ht="9" customHeight="1">
      <c r="I115" s="11"/>
    </row>
    <row r="121" ht="15.75">
      <c r="I121" s="11"/>
    </row>
    <row r="126" ht="15.75">
      <c r="I126" s="11"/>
    </row>
  </sheetData>
  <sheetProtection/>
  <mergeCells count="44">
    <mergeCell ref="D105:F105"/>
    <mergeCell ref="E50:F50"/>
    <mergeCell ref="B62:F62"/>
    <mergeCell ref="D88:F88"/>
    <mergeCell ref="C53:F53"/>
    <mergeCell ref="A70:F70"/>
    <mergeCell ref="B64:F64"/>
    <mergeCell ref="D102:F102"/>
    <mergeCell ref="C66:F66"/>
    <mergeCell ref="B55:F55"/>
    <mergeCell ref="D106:F106"/>
    <mergeCell ref="C67:F67"/>
    <mergeCell ref="D104:F104"/>
    <mergeCell ref="D103:F103"/>
    <mergeCell ref="C65:F65"/>
    <mergeCell ref="D100:F100"/>
    <mergeCell ref="D87:F87"/>
    <mergeCell ref="B97:F97"/>
    <mergeCell ref="D99:F99"/>
    <mergeCell ref="D101:F101"/>
    <mergeCell ref="C98:F98"/>
    <mergeCell ref="D39:F39"/>
    <mergeCell ref="C47:F47"/>
    <mergeCell ref="E42:F42"/>
    <mergeCell ref="E46:F46"/>
    <mergeCell ref="D40:F40"/>
    <mergeCell ref="C68:F68"/>
    <mergeCell ref="C69:F69"/>
    <mergeCell ref="C61:F61"/>
    <mergeCell ref="A4:I4"/>
    <mergeCell ref="A5:I5"/>
    <mergeCell ref="A6:I6"/>
    <mergeCell ref="A7:I7"/>
    <mergeCell ref="B14:F14"/>
    <mergeCell ref="A1:I1"/>
    <mergeCell ref="A10:F12"/>
    <mergeCell ref="D18:F18"/>
    <mergeCell ref="E20:F20"/>
    <mergeCell ref="D49:F49"/>
    <mergeCell ref="A63:F63"/>
    <mergeCell ref="C57:F57"/>
    <mergeCell ref="D58:F58"/>
    <mergeCell ref="D60:F60"/>
    <mergeCell ref="D59:F59"/>
  </mergeCells>
  <printOptions horizontalCentered="1"/>
  <pageMargins left="0.1968503937007874" right="0.1968503937007874" top="0.1968503937007874" bottom="0" header="0.5118110236220472" footer="0.5118110236220472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5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141" customWidth="1"/>
    <col min="2" max="2" width="9.125" style="141" customWidth="1"/>
    <col min="3" max="3" width="61.125" style="141" customWidth="1"/>
    <col min="4" max="7" width="26.25390625" style="141" customWidth="1"/>
    <col min="8" max="16384" width="9.125" style="141" customWidth="1"/>
  </cols>
  <sheetData>
    <row r="2" spans="1:7" ht="15.75">
      <c r="A2" s="460" t="s">
        <v>479</v>
      </c>
      <c r="B2" s="461"/>
      <c r="C2" s="461"/>
      <c r="D2" s="461"/>
      <c r="E2" s="461"/>
      <c r="F2" s="461"/>
      <c r="G2" s="461"/>
    </row>
    <row r="4" spans="3:7" s="64" customFormat="1" ht="15" customHeight="1">
      <c r="C4" s="462"/>
      <c r="D4" s="462"/>
      <c r="E4" s="462"/>
      <c r="F4" s="462"/>
      <c r="G4" s="462"/>
    </row>
    <row r="5" spans="4:7" s="138" customFormat="1" ht="15" customHeight="1">
      <c r="D5" s="139"/>
      <c r="E5" s="334"/>
      <c r="F5" s="334"/>
      <c r="G5" s="334"/>
    </row>
    <row r="6" spans="3:7" s="103" customFormat="1" ht="15" customHeight="1">
      <c r="C6" s="463" t="s">
        <v>318</v>
      </c>
      <c r="D6" s="463"/>
      <c r="E6" s="463"/>
      <c r="F6" s="463"/>
      <c r="G6" s="463"/>
    </row>
    <row r="7" spans="3:7" s="103" customFormat="1" ht="15.75">
      <c r="C7" s="464" t="s">
        <v>194</v>
      </c>
      <c r="D7" s="464"/>
      <c r="E7" s="464"/>
      <c r="F7" s="464"/>
      <c r="G7" s="464"/>
    </row>
    <row r="8" spans="3:7" s="103" customFormat="1" ht="15" customHeight="1">
      <c r="C8" s="463" t="s">
        <v>437</v>
      </c>
      <c r="D8" s="463"/>
      <c r="E8" s="463"/>
      <c r="F8" s="463"/>
      <c r="G8" s="463"/>
    </row>
    <row r="9" spans="3:7" s="136" customFormat="1" ht="12" customHeight="1" thickBot="1">
      <c r="C9" s="137"/>
      <c r="D9" s="140"/>
      <c r="E9" s="335"/>
      <c r="F9" s="335"/>
      <c r="G9" s="336" t="s">
        <v>425</v>
      </c>
    </row>
    <row r="10" spans="1:7" s="136" customFormat="1" ht="16.5" customHeight="1" thickBot="1">
      <c r="A10" s="465" t="s">
        <v>417</v>
      </c>
      <c r="B10" s="467" t="s">
        <v>109</v>
      </c>
      <c r="C10" s="470" t="s">
        <v>110</v>
      </c>
      <c r="D10" s="473" t="s">
        <v>195</v>
      </c>
      <c r="E10" s="476" t="s">
        <v>196</v>
      </c>
      <c r="F10" s="476"/>
      <c r="G10" s="477"/>
    </row>
    <row r="11" spans="1:7" s="136" customFormat="1" ht="33" customHeight="1" thickBot="1">
      <c r="A11" s="466"/>
      <c r="B11" s="468"/>
      <c r="C11" s="471"/>
      <c r="D11" s="474"/>
      <c r="E11" s="337" t="s">
        <v>197</v>
      </c>
      <c r="F11" s="338" t="s">
        <v>198</v>
      </c>
      <c r="G11" s="339" t="s">
        <v>199</v>
      </c>
    </row>
    <row r="12" spans="1:7" s="136" customFormat="1" ht="22.5" customHeight="1">
      <c r="A12" s="466"/>
      <c r="B12" s="468"/>
      <c r="C12" s="471"/>
      <c r="D12" s="474"/>
      <c r="E12" s="478" t="s">
        <v>200</v>
      </c>
      <c r="F12" s="479"/>
      <c r="G12" s="480"/>
    </row>
    <row r="13" spans="1:7" ht="12.75">
      <c r="A13" s="466"/>
      <c r="B13" s="468"/>
      <c r="C13" s="471"/>
      <c r="D13" s="474"/>
      <c r="E13" s="481"/>
      <c r="F13" s="482"/>
      <c r="G13" s="483"/>
    </row>
    <row r="14" spans="1:7" ht="3" customHeight="1" thickBot="1">
      <c r="A14" s="268"/>
      <c r="B14" s="469"/>
      <c r="C14" s="472"/>
      <c r="D14" s="475"/>
      <c r="E14" s="484"/>
      <c r="F14" s="485"/>
      <c r="G14" s="486"/>
    </row>
    <row r="15" spans="1:7" ht="30.75" thickBot="1">
      <c r="A15" s="269" t="s">
        <v>25</v>
      </c>
      <c r="B15" s="225" t="s">
        <v>126</v>
      </c>
      <c r="C15" s="294" t="s">
        <v>127</v>
      </c>
      <c r="D15" s="340">
        <f>SUM(E15:G15)</f>
        <v>775707</v>
      </c>
      <c r="E15" s="341">
        <f>5000+770707</f>
        <v>775707</v>
      </c>
      <c r="F15" s="341"/>
      <c r="G15" s="342"/>
    </row>
    <row r="16" spans="1:7" ht="15">
      <c r="A16" s="270" t="s">
        <v>19</v>
      </c>
      <c r="B16" s="225" t="s">
        <v>128</v>
      </c>
      <c r="C16" s="224" t="s">
        <v>342</v>
      </c>
      <c r="D16" s="341">
        <f>SUM(E16:G16)</f>
        <v>5000</v>
      </c>
      <c r="E16" s="341">
        <v>5000</v>
      </c>
      <c r="F16" s="341"/>
      <c r="G16" s="342"/>
    </row>
    <row r="17" spans="1:7" ht="15">
      <c r="A17" s="270" t="s">
        <v>26</v>
      </c>
      <c r="B17" s="100" t="s">
        <v>129</v>
      </c>
      <c r="C17" s="99" t="s">
        <v>130</v>
      </c>
      <c r="D17" s="343">
        <f>SUM(E17:G17)</f>
        <v>54000</v>
      </c>
      <c r="E17" s="343"/>
      <c r="F17" s="343">
        <v>54000</v>
      </c>
      <c r="G17" s="344"/>
    </row>
    <row r="18" spans="1:7" ht="15">
      <c r="A18" s="270" t="s">
        <v>64</v>
      </c>
      <c r="B18" s="100" t="s">
        <v>201</v>
      </c>
      <c r="C18" s="99" t="s">
        <v>202</v>
      </c>
      <c r="D18" s="343">
        <f>SUM(E18:G18)</f>
        <v>66173555</v>
      </c>
      <c r="E18" s="343">
        <f>19886231+63053+62789+70000+276800+1150000+14640346+30999+29993337</f>
        <v>66173555</v>
      </c>
      <c r="F18" s="343"/>
      <c r="G18" s="344"/>
    </row>
    <row r="19" spans="1:7" ht="15">
      <c r="A19" s="270" t="s">
        <v>65</v>
      </c>
      <c r="B19" s="144" t="s">
        <v>369</v>
      </c>
      <c r="C19" s="99" t="s">
        <v>370</v>
      </c>
      <c r="D19" s="343">
        <f>SUM(E19:G19)</f>
        <v>11685062</v>
      </c>
      <c r="E19" s="343">
        <f>1717365+9967697</f>
        <v>11685062</v>
      </c>
      <c r="F19" s="343"/>
      <c r="G19" s="344"/>
    </row>
    <row r="20" spans="1:7" ht="15">
      <c r="A20" s="270" t="s">
        <v>70</v>
      </c>
      <c r="B20" s="144" t="s">
        <v>431</v>
      </c>
      <c r="C20" s="99" t="s">
        <v>432</v>
      </c>
      <c r="D20" s="343">
        <f>SUM(E20:G20)</f>
        <v>1428404</v>
      </c>
      <c r="E20" s="343">
        <f>602179+471569+354656</f>
        <v>1428404</v>
      </c>
      <c r="F20" s="343"/>
      <c r="G20" s="344"/>
    </row>
    <row r="21" spans="1:7" ht="15">
      <c r="A21" s="270" t="s">
        <v>154</v>
      </c>
      <c r="B21" s="100" t="s">
        <v>379</v>
      </c>
      <c r="C21" s="99" t="s">
        <v>378</v>
      </c>
      <c r="D21" s="343">
        <f>SUM(E21:G21)</f>
        <v>19206133</v>
      </c>
      <c r="E21" s="343">
        <v>19206133</v>
      </c>
      <c r="F21" s="343"/>
      <c r="G21" s="344"/>
    </row>
    <row r="22" spans="1:7" ht="15">
      <c r="A22" s="270" t="s">
        <v>156</v>
      </c>
      <c r="B22" s="144">
        <v>104051</v>
      </c>
      <c r="C22" s="99" t="s">
        <v>341</v>
      </c>
      <c r="D22" s="343">
        <f>SUM(E22:G22)</f>
        <v>84000</v>
      </c>
      <c r="E22" s="343"/>
      <c r="F22" s="343"/>
      <c r="G22" s="344">
        <v>84000</v>
      </c>
    </row>
    <row r="23" spans="1:7" ht="15">
      <c r="A23" s="270" t="s">
        <v>158</v>
      </c>
      <c r="B23" s="144">
        <v>107051</v>
      </c>
      <c r="C23" s="101" t="s">
        <v>321</v>
      </c>
      <c r="D23" s="343">
        <f>SUM(E23:G23)</f>
        <v>1259924</v>
      </c>
      <c r="E23" s="343">
        <f>930924+329000</f>
        <v>1259924</v>
      </c>
      <c r="F23" s="343"/>
      <c r="G23" s="344"/>
    </row>
    <row r="24" spans="1:7" ht="30.75" thickBot="1">
      <c r="A24" s="271" t="s">
        <v>164</v>
      </c>
      <c r="B24" s="144">
        <v>900020</v>
      </c>
      <c r="C24" s="99" t="s">
        <v>203</v>
      </c>
      <c r="D24" s="343">
        <f>SUM(E24:G24)</f>
        <v>1490000</v>
      </c>
      <c r="E24" s="343">
        <v>1490000</v>
      </c>
      <c r="F24" s="343"/>
      <c r="G24" s="344"/>
    </row>
    <row r="25" spans="1:7" ht="30" customHeight="1" thickBot="1">
      <c r="A25" s="272" t="s">
        <v>166</v>
      </c>
      <c r="B25" s="145"/>
      <c r="C25" s="145" t="s">
        <v>2</v>
      </c>
      <c r="D25" s="345">
        <f>SUM(D15:D24)</f>
        <v>102161785</v>
      </c>
      <c r="E25" s="345">
        <f>SUM(E15:E24)</f>
        <v>102023785</v>
      </c>
      <c r="F25" s="345">
        <f>SUM(F15:F24)</f>
        <v>54000</v>
      </c>
      <c r="G25" s="345">
        <f>SUM(G15:G24)</f>
        <v>84000</v>
      </c>
    </row>
  </sheetData>
  <sheetProtection/>
  <mergeCells count="11">
    <mergeCell ref="A10:A13"/>
    <mergeCell ref="B10:B14"/>
    <mergeCell ref="C10:C14"/>
    <mergeCell ref="D10:D14"/>
    <mergeCell ref="E10:G10"/>
    <mergeCell ref="E12:G14"/>
    <mergeCell ref="A2:G2"/>
    <mergeCell ref="C4:G4"/>
    <mergeCell ref="C6:G6"/>
    <mergeCell ref="C7:G7"/>
    <mergeCell ref="C8:G8"/>
  </mergeCells>
  <printOptions horizontalCentered="1"/>
  <pageMargins left="0" right="0" top="0.7874015748031497" bottom="0.7480314960629921" header="0.31496062992125984" footer="0.31496062992125984"/>
  <pageSetup fitToHeight="0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3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5.875" style="12" customWidth="1"/>
    <col min="5" max="5" width="13.875" style="12" customWidth="1"/>
    <col min="6" max="6" width="12.75390625" style="12" customWidth="1"/>
    <col min="7" max="7" width="11.875" style="12" customWidth="1"/>
    <col min="8" max="8" width="10.375" style="12" customWidth="1"/>
    <col min="9" max="9" width="10.25390625" style="12" customWidth="1"/>
    <col min="10" max="10" width="11.00390625" style="12" customWidth="1"/>
    <col min="11" max="11" width="16.87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519" t="s">
        <v>480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</row>
    <row r="3" spans="2:18" ht="15.75" customHeight="1"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</row>
    <row r="4" spans="2:21" s="96" customFormat="1" ht="15.75" customHeight="1"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</row>
    <row r="5" spans="2:18" s="96" customFormat="1" ht="15.75" customHeight="1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21" s="96" customFormat="1" ht="15.75" customHeight="1">
      <c r="B6" s="488" t="s">
        <v>318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</row>
    <row r="7" spans="2:21" s="96" customFormat="1" ht="15.75" customHeight="1">
      <c r="B7" s="488" t="s">
        <v>108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</row>
    <row r="8" spans="2:21" s="96" customFormat="1" ht="15.75" customHeight="1">
      <c r="B8" s="488" t="s">
        <v>436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</row>
    <row r="9" spans="20:21" s="96" customFormat="1" ht="15.75" thickBot="1">
      <c r="T9" s="487" t="s">
        <v>425</v>
      </c>
      <c r="U9" s="487"/>
    </row>
    <row r="10" spans="1:21" s="97" customFormat="1" ht="20.25" customHeight="1" thickBot="1">
      <c r="A10" s="511" t="s">
        <v>417</v>
      </c>
      <c r="B10" s="503" t="s">
        <v>109</v>
      </c>
      <c r="C10" s="521" t="s">
        <v>110</v>
      </c>
      <c r="D10" s="492" t="s">
        <v>111</v>
      </c>
      <c r="E10" s="500" t="s">
        <v>112</v>
      </c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2"/>
      <c r="T10" s="509" t="s">
        <v>3</v>
      </c>
      <c r="U10" s="510"/>
    </row>
    <row r="11" spans="1:21" s="97" customFormat="1" ht="38.25" customHeight="1" thickBot="1">
      <c r="A11" s="512"/>
      <c r="B11" s="504"/>
      <c r="C11" s="522"/>
      <c r="D11" s="493"/>
      <c r="E11" s="527" t="s">
        <v>41</v>
      </c>
      <c r="F11" s="528"/>
      <c r="G11" s="528"/>
      <c r="H11" s="528"/>
      <c r="I11" s="528"/>
      <c r="J11" s="528"/>
      <c r="K11" s="529"/>
      <c r="L11" s="500" t="s">
        <v>42</v>
      </c>
      <c r="M11" s="501"/>
      <c r="N11" s="501"/>
      <c r="O11" s="502"/>
      <c r="P11" s="524" t="s">
        <v>113</v>
      </c>
      <c r="Q11" s="525"/>
      <c r="R11" s="525"/>
      <c r="S11" s="526"/>
      <c r="T11" s="498" t="s">
        <v>5</v>
      </c>
      <c r="U11" s="499"/>
    </row>
    <row r="12" spans="1:21" s="97" customFormat="1" ht="21" customHeight="1" thickBot="1">
      <c r="A12" s="512"/>
      <c r="B12" s="504"/>
      <c r="C12" s="522"/>
      <c r="D12" s="493"/>
      <c r="E12" s="492" t="s">
        <v>114</v>
      </c>
      <c r="F12" s="492" t="s">
        <v>115</v>
      </c>
      <c r="G12" s="492" t="s">
        <v>116</v>
      </c>
      <c r="H12" s="492" t="s">
        <v>117</v>
      </c>
      <c r="I12" s="492" t="s">
        <v>118</v>
      </c>
      <c r="J12" s="489" t="s">
        <v>349</v>
      </c>
      <c r="K12" s="514" t="s">
        <v>119</v>
      </c>
      <c r="L12" s="489" t="s">
        <v>120</v>
      </c>
      <c r="M12" s="489" t="s">
        <v>43</v>
      </c>
      <c r="N12" s="492" t="s">
        <v>204</v>
      </c>
      <c r="O12" s="506" t="s">
        <v>205</v>
      </c>
      <c r="P12" s="492" t="s">
        <v>351</v>
      </c>
      <c r="Q12" s="492" t="s">
        <v>121</v>
      </c>
      <c r="R12" s="492" t="s">
        <v>122</v>
      </c>
      <c r="S12" s="506" t="s">
        <v>206</v>
      </c>
      <c r="T12" s="134" t="s">
        <v>123</v>
      </c>
      <c r="U12" s="135" t="s">
        <v>124</v>
      </c>
    </row>
    <row r="13" spans="1:21" s="97" customFormat="1" ht="18.75" customHeight="1">
      <c r="A13" s="512"/>
      <c r="B13" s="504"/>
      <c r="C13" s="522"/>
      <c r="D13" s="493"/>
      <c r="E13" s="493"/>
      <c r="F13" s="493"/>
      <c r="G13" s="493"/>
      <c r="H13" s="493"/>
      <c r="I13" s="493"/>
      <c r="J13" s="517"/>
      <c r="K13" s="515"/>
      <c r="L13" s="490"/>
      <c r="M13" s="490"/>
      <c r="N13" s="493"/>
      <c r="O13" s="507"/>
      <c r="P13" s="493"/>
      <c r="Q13" s="493"/>
      <c r="R13" s="493"/>
      <c r="S13" s="507"/>
      <c r="T13" s="496" t="s">
        <v>125</v>
      </c>
      <c r="U13" s="497"/>
    </row>
    <row r="14" spans="1:21" s="97" customFormat="1" ht="20.25" customHeight="1" thickBot="1">
      <c r="A14" s="513"/>
      <c r="B14" s="505"/>
      <c r="C14" s="523"/>
      <c r="D14" s="494"/>
      <c r="E14" s="494"/>
      <c r="F14" s="494"/>
      <c r="G14" s="494"/>
      <c r="H14" s="494"/>
      <c r="I14" s="494"/>
      <c r="J14" s="518"/>
      <c r="K14" s="516"/>
      <c r="L14" s="491"/>
      <c r="M14" s="491"/>
      <c r="N14" s="494"/>
      <c r="O14" s="508"/>
      <c r="P14" s="494"/>
      <c r="Q14" s="494"/>
      <c r="R14" s="494"/>
      <c r="S14" s="508"/>
      <c r="T14" s="498"/>
      <c r="U14" s="499"/>
    </row>
    <row r="15" spans="1:21" s="96" customFormat="1" ht="30.75" thickBot="1">
      <c r="A15" s="273" t="s">
        <v>25</v>
      </c>
      <c r="B15" s="98" t="s">
        <v>126</v>
      </c>
      <c r="C15" s="99" t="s">
        <v>127</v>
      </c>
      <c r="D15" s="238">
        <f>K15+O15+S15</f>
        <v>15342573</v>
      </c>
      <c r="E15" s="239">
        <f>3890040+206837+120162+79523+655921</f>
        <v>4952483</v>
      </c>
      <c r="F15" s="240">
        <f>897530+84203+21028+13916+28536+114786</f>
        <v>1159999</v>
      </c>
      <c r="G15" s="240">
        <f>3185236+80000</f>
        <v>3265236</v>
      </c>
      <c r="H15" s="240"/>
      <c r="I15" s="240">
        <f>259540+150000+39600</f>
        <v>449140</v>
      </c>
      <c r="J15" s="240">
        <f>9513747+1150000-206837-84203-177800-80000-40000-39600-152400-2583591-1383168-563804+152398</f>
        <v>5504742</v>
      </c>
      <c r="K15" s="241">
        <f>SUM(E15:J15)</f>
        <v>15331600</v>
      </c>
      <c r="L15" s="242">
        <v>10973</v>
      </c>
      <c r="M15" s="242"/>
      <c r="N15" s="242"/>
      <c r="O15" s="243">
        <f>SUM(L15:N15)</f>
        <v>10973</v>
      </c>
      <c r="P15" s="244"/>
      <c r="Q15" s="245"/>
      <c r="R15" s="246"/>
      <c r="S15" s="246">
        <f>SUM(P15:R15)</f>
        <v>0</v>
      </c>
      <c r="T15" s="247"/>
      <c r="U15" s="248"/>
    </row>
    <row r="16" spans="1:21" s="96" customFormat="1" ht="15">
      <c r="A16" s="274" t="s">
        <v>19</v>
      </c>
      <c r="B16" s="100" t="s">
        <v>128</v>
      </c>
      <c r="C16" s="99" t="s">
        <v>21</v>
      </c>
      <c r="D16" s="238">
        <f>K16+O16+S16</f>
        <v>226534</v>
      </c>
      <c r="E16" s="239"/>
      <c r="F16" s="240"/>
      <c r="G16" s="240">
        <f>181534+15000+30000</f>
        <v>226534</v>
      </c>
      <c r="H16" s="240"/>
      <c r="I16" s="240"/>
      <c r="J16" s="240"/>
      <c r="K16" s="241">
        <f>SUM(E16:J16)</f>
        <v>226534</v>
      </c>
      <c r="L16" s="242"/>
      <c r="M16" s="242"/>
      <c r="N16" s="242"/>
      <c r="O16" s="243">
        <f>SUM(L16:N16)</f>
        <v>0</v>
      </c>
      <c r="P16" s="243"/>
      <c r="Q16" s="245"/>
      <c r="R16" s="246"/>
      <c r="S16" s="246">
        <f>SUM(P16:R16)</f>
        <v>0</v>
      </c>
      <c r="T16" s="249"/>
      <c r="U16" s="250"/>
    </row>
    <row r="17" spans="1:21" s="96" customFormat="1" ht="30">
      <c r="A17" s="274" t="s">
        <v>26</v>
      </c>
      <c r="B17" s="100" t="s">
        <v>129</v>
      </c>
      <c r="C17" s="99" t="s">
        <v>380</v>
      </c>
      <c r="D17" s="238">
        <f>K17+O17+S17</f>
        <v>11480</v>
      </c>
      <c r="E17" s="239"/>
      <c r="F17" s="240"/>
      <c r="G17" s="240">
        <v>11480</v>
      </c>
      <c r="H17" s="240"/>
      <c r="I17" s="240"/>
      <c r="J17" s="240"/>
      <c r="K17" s="241">
        <f>SUM(E17:J17)</f>
        <v>11480</v>
      </c>
      <c r="L17" s="242"/>
      <c r="M17" s="242"/>
      <c r="N17" s="242"/>
      <c r="O17" s="243"/>
      <c r="P17" s="243"/>
      <c r="Q17" s="245"/>
      <c r="R17" s="246"/>
      <c r="S17" s="246"/>
      <c r="T17" s="249"/>
      <c r="U17" s="250"/>
    </row>
    <row r="18" spans="1:21" s="96" customFormat="1" ht="30">
      <c r="A18" s="274" t="s">
        <v>64</v>
      </c>
      <c r="B18" s="100" t="s">
        <v>201</v>
      </c>
      <c r="C18" s="99" t="s">
        <v>350</v>
      </c>
      <c r="D18" s="238">
        <f>K18+O18+S18</f>
        <v>795449</v>
      </c>
      <c r="E18" s="239"/>
      <c r="F18" s="240"/>
      <c r="G18" s="240"/>
      <c r="H18" s="240"/>
      <c r="I18" s="240"/>
      <c r="J18" s="240"/>
      <c r="K18" s="241">
        <f>SUM(E18:J18)</f>
        <v>0</v>
      </c>
      <c r="L18" s="242"/>
      <c r="M18" s="242"/>
      <c r="N18" s="242"/>
      <c r="O18" s="243">
        <f>SUM(L18:N18)</f>
        <v>0</v>
      </c>
      <c r="P18" s="243">
        <v>795449</v>
      </c>
      <c r="Q18" s="245"/>
      <c r="R18" s="246"/>
      <c r="S18" s="246">
        <f>SUM(P18:R18)</f>
        <v>795449</v>
      </c>
      <c r="T18" s="249"/>
      <c r="U18" s="250"/>
    </row>
    <row r="19" spans="1:21" s="96" customFormat="1" ht="15">
      <c r="A19" s="274" t="s">
        <v>65</v>
      </c>
      <c r="B19" s="100" t="s">
        <v>431</v>
      </c>
      <c r="C19" s="99" t="s">
        <v>432</v>
      </c>
      <c r="D19" s="238">
        <f>K19+O19+S19</f>
        <v>1757784</v>
      </c>
      <c r="E19" s="239">
        <f>326119+548682+429676+326120</f>
        <v>1630597</v>
      </c>
      <c r="F19" s="240">
        <f>31797+53497+41893</f>
        <v>127187</v>
      </c>
      <c r="G19" s="240"/>
      <c r="H19" s="240"/>
      <c r="I19" s="240"/>
      <c r="J19" s="240"/>
      <c r="K19" s="241">
        <f>SUM(E19:J19)</f>
        <v>1757784</v>
      </c>
      <c r="L19" s="242"/>
      <c r="M19" s="242"/>
      <c r="N19" s="242"/>
      <c r="O19" s="243"/>
      <c r="P19" s="243"/>
      <c r="Q19" s="245"/>
      <c r="R19" s="246"/>
      <c r="S19" s="246"/>
      <c r="T19" s="249"/>
      <c r="U19" s="250"/>
    </row>
    <row r="20" spans="1:21" s="96" customFormat="1" ht="30">
      <c r="A20" s="274" t="s">
        <v>70</v>
      </c>
      <c r="B20" s="100" t="s">
        <v>352</v>
      </c>
      <c r="C20" s="99" t="s">
        <v>353</v>
      </c>
      <c r="D20" s="238">
        <f>K20+O20+S20</f>
        <v>47633176</v>
      </c>
      <c r="E20" s="239"/>
      <c r="F20" s="240"/>
      <c r="G20" s="240">
        <f>215900+200000</f>
        <v>415900</v>
      </c>
      <c r="H20" s="240"/>
      <c r="I20" s="240"/>
      <c r="J20" s="240"/>
      <c r="K20" s="241">
        <f>SUM(E20:J20)</f>
        <v>415900</v>
      </c>
      <c r="L20" s="242"/>
      <c r="M20" s="242">
        <f>152400+14640346+29993337+2583591-152398</f>
        <v>47217276</v>
      </c>
      <c r="N20" s="242"/>
      <c r="O20" s="243">
        <f>SUM(L20:N20)</f>
        <v>47217276</v>
      </c>
      <c r="P20" s="243"/>
      <c r="Q20" s="245"/>
      <c r="R20" s="246"/>
      <c r="S20" s="246"/>
      <c r="T20" s="249"/>
      <c r="U20" s="250"/>
    </row>
    <row r="21" spans="1:21" s="96" customFormat="1" ht="18.75" customHeight="1">
      <c r="A21" s="274" t="s">
        <v>154</v>
      </c>
      <c r="B21" s="100" t="s">
        <v>379</v>
      </c>
      <c r="C21" s="99" t="s">
        <v>378</v>
      </c>
      <c r="D21" s="238">
        <f>K21+O21+S21</f>
        <v>19206133</v>
      </c>
      <c r="E21" s="251"/>
      <c r="F21" s="252"/>
      <c r="G21" s="252">
        <v>3877369</v>
      </c>
      <c r="H21" s="252"/>
      <c r="I21" s="252"/>
      <c r="J21" s="252"/>
      <c r="K21" s="253">
        <f>SUM(E21:J21)</f>
        <v>3877369</v>
      </c>
      <c r="L21" s="253">
        <v>15328764</v>
      </c>
      <c r="M21" s="253"/>
      <c r="N21" s="253"/>
      <c r="O21" s="243">
        <f>SUM(L21:N21)</f>
        <v>15328764</v>
      </c>
      <c r="P21" s="254"/>
      <c r="Q21" s="254"/>
      <c r="R21" s="255"/>
      <c r="S21" s="255"/>
      <c r="T21" s="256"/>
      <c r="U21" s="257"/>
    </row>
    <row r="22" spans="1:21" s="96" customFormat="1" ht="29.25" customHeight="1">
      <c r="A22" s="274" t="s">
        <v>156</v>
      </c>
      <c r="B22" s="100" t="s">
        <v>131</v>
      </c>
      <c r="C22" s="237" t="s">
        <v>132</v>
      </c>
      <c r="D22" s="238">
        <f>K22+O22+S22</f>
        <v>1476820</v>
      </c>
      <c r="E22" s="239"/>
      <c r="F22" s="240"/>
      <c r="G22" s="240">
        <v>1372870</v>
      </c>
      <c r="H22" s="242"/>
      <c r="I22" s="240"/>
      <c r="J22" s="240"/>
      <c r="K22" s="241">
        <f>SUM(E22:I22)</f>
        <v>1372870</v>
      </c>
      <c r="L22" s="242">
        <v>103950</v>
      </c>
      <c r="M22" s="242"/>
      <c r="N22" s="242"/>
      <c r="O22" s="243">
        <f>SUM(L22:N22)</f>
        <v>103950</v>
      </c>
      <c r="P22" s="243"/>
      <c r="Q22" s="245"/>
      <c r="R22" s="246"/>
      <c r="S22" s="246">
        <f>SUM(P22:R22)</f>
        <v>0</v>
      </c>
      <c r="T22" s="258"/>
      <c r="U22" s="250"/>
    </row>
    <row r="23" spans="1:21" s="96" customFormat="1" ht="15">
      <c r="A23" s="274" t="s">
        <v>158</v>
      </c>
      <c r="B23" s="100" t="s">
        <v>133</v>
      </c>
      <c r="C23" s="99" t="s">
        <v>134</v>
      </c>
      <c r="D23" s="238">
        <f>K23+O23+S23</f>
        <v>829779</v>
      </c>
      <c r="E23" s="239">
        <f>258000-15000-50000</f>
        <v>193000</v>
      </c>
      <c r="F23" s="240">
        <v>45279</v>
      </c>
      <c r="G23" s="240">
        <f>571500+20000</f>
        <v>591500</v>
      </c>
      <c r="H23" s="242"/>
      <c r="I23" s="240"/>
      <c r="J23" s="240"/>
      <c r="K23" s="241">
        <f>SUM(E23:I23)</f>
        <v>829779</v>
      </c>
      <c r="L23" s="242"/>
      <c r="M23" s="242"/>
      <c r="N23" s="242"/>
      <c r="O23" s="243">
        <f>SUM(L23:N23)</f>
        <v>0</v>
      </c>
      <c r="P23" s="243"/>
      <c r="Q23" s="245"/>
      <c r="R23" s="246"/>
      <c r="S23" s="246">
        <f>SUM(P23:R23)</f>
        <v>0</v>
      </c>
      <c r="T23" s="258"/>
      <c r="U23" s="250"/>
    </row>
    <row r="24" spans="1:21" s="96" customFormat="1" ht="30">
      <c r="A24" s="274" t="s">
        <v>164</v>
      </c>
      <c r="B24" s="100" t="s">
        <v>135</v>
      </c>
      <c r="C24" s="99" t="s">
        <v>136</v>
      </c>
      <c r="D24" s="238">
        <f>K24+O24+S24</f>
        <v>492059</v>
      </c>
      <c r="E24" s="239"/>
      <c r="F24" s="240"/>
      <c r="G24" s="240">
        <f>274259+177800+40000</f>
        <v>492059</v>
      </c>
      <c r="H24" s="242"/>
      <c r="I24" s="240"/>
      <c r="J24" s="240"/>
      <c r="K24" s="241">
        <f>SUM(E24:I24)</f>
        <v>492059</v>
      </c>
      <c r="L24" s="242"/>
      <c r="M24" s="242"/>
      <c r="N24" s="242"/>
      <c r="O24" s="243">
        <f>SUM(L24:N24)</f>
        <v>0</v>
      </c>
      <c r="P24" s="243"/>
      <c r="Q24" s="245"/>
      <c r="R24" s="246"/>
      <c r="S24" s="246">
        <f>SUM(P24:R24)</f>
        <v>0</v>
      </c>
      <c r="T24" s="247"/>
      <c r="U24" s="250"/>
    </row>
    <row r="25" spans="1:21" s="96" customFormat="1" ht="15">
      <c r="A25" s="274" t="s">
        <v>166</v>
      </c>
      <c r="B25" s="100" t="s">
        <v>137</v>
      </c>
      <c r="C25" s="99" t="s">
        <v>20</v>
      </c>
      <c r="D25" s="238">
        <f>K25+O25+S25</f>
        <v>93500</v>
      </c>
      <c r="E25" s="239"/>
      <c r="F25" s="240"/>
      <c r="G25" s="240">
        <v>93500</v>
      </c>
      <c r="H25" s="242"/>
      <c r="I25" s="240"/>
      <c r="J25" s="240"/>
      <c r="K25" s="241">
        <f>SUM(E25:I25)</f>
        <v>93500</v>
      </c>
      <c r="L25" s="242"/>
      <c r="M25" s="242"/>
      <c r="N25" s="242"/>
      <c r="O25" s="243">
        <f>SUM(L25:N25)</f>
        <v>0</v>
      </c>
      <c r="P25" s="243"/>
      <c r="Q25" s="245"/>
      <c r="R25" s="246"/>
      <c r="S25" s="246">
        <f>SUM(P25:R25)</f>
        <v>0</v>
      </c>
      <c r="T25" s="258"/>
      <c r="U25" s="250"/>
    </row>
    <row r="26" spans="1:21" s="96" customFormat="1" ht="15">
      <c r="A26" s="274" t="s">
        <v>168</v>
      </c>
      <c r="B26" s="100" t="s">
        <v>138</v>
      </c>
      <c r="C26" s="99" t="s">
        <v>22</v>
      </c>
      <c r="D26" s="238">
        <f>K26+O26+S26</f>
        <v>1609646</v>
      </c>
      <c r="E26" s="239">
        <v>193200</v>
      </c>
      <c r="F26" s="240">
        <v>33907</v>
      </c>
      <c r="G26" s="240">
        <v>1018092</v>
      </c>
      <c r="H26" s="240"/>
      <c r="I26" s="240"/>
      <c r="J26" s="240"/>
      <c r="K26" s="241">
        <f>SUM(E26:I26)</f>
        <v>1245199</v>
      </c>
      <c r="L26" s="242">
        <f>381000-16553</f>
        <v>364447</v>
      </c>
      <c r="M26" s="242"/>
      <c r="N26" s="242"/>
      <c r="O26" s="243">
        <f>SUM(L26:N26)</f>
        <v>364447</v>
      </c>
      <c r="P26" s="243"/>
      <c r="Q26" s="245"/>
      <c r="R26" s="246"/>
      <c r="S26" s="246">
        <f>SUM(P26:R26)</f>
        <v>0</v>
      </c>
      <c r="T26" s="258"/>
      <c r="U26" s="250"/>
    </row>
    <row r="27" spans="1:21" s="96" customFormat="1" ht="30">
      <c r="A27" s="274" t="s">
        <v>173</v>
      </c>
      <c r="B27" s="100" t="s">
        <v>322</v>
      </c>
      <c r="C27" s="99" t="s">
        <v>323</v>
      </c>
      <c r="D27" s="238">
        <f>K27+O27+S27</f>
        <v>1978684</v>
      </c>
      <c r="E27" s="239">
        <f>500000+50000</f>
        <v>550000</v>
      </c>
      <c r="F27" s="240">
        <f>258509+19175</f>
        <v>277684</v>
      </c>
      <c r="G27" s="240">
        <v>1151000</v>
      </c>
      <c r="H27" s="240"/>
      <c r="I27" s="240"/>
      <c r="J27" s="240"/>
      <c r="K27" s="241">
        <f>SUM(E27:I27)</f>
        <v>1978684</v>
      </c>
      <c r="L27" s="242"/>
      <c r="M27" s="242"/>
      <c r="N27" s="242"/>
      <c r="O27" s="243">
        <f>SUM(L27:N27)</f>
        <v>0</v>
      </c>
      <c r="P27" s="243"/>
      <c r="Q27" s="245"/>
      <c r="R27" s="246"/>
      <c r="S27" s="246">
        <f>SUM(P27:R27)</f>
        <v>0</v>
      </c>
      <c r="T27" s="258"/>
      <c r="U27" s="250"/>
    </row>
    <row r="28" spans="1:21" s="96" customFormat="1" ht="15">
      <c r="A28" s="274" t="s">
        <v>175</v>
      </c>
      <c r="B28" s="100" t="s">
        <v>433</v>
      </c>
      <c r="C28" s="99" t="s">
        <v>434</v>
      </c>
      <c r="D28" s="238">
        <f>K28+O28+S28</f>
        <v>50000</v>
      </c>
      <c r="E28" s="239"/>
      <c r="F28" s="240"/>
      <c r="G28" s="240"/>
      <c r="H28" s="240"/>
      <c r="I28" s="240">
        <v>50000</v>
      </c>
      <c r="J28" s="240"/>
      <c r="K28" s="241">
        <f>SUM(E28:I28)</f>
        <v>50000</v>
      </c>
      <c r="L28" s="242"/>
      <c r="M28" s="242"/>
      <c r="N28" s="242"/>
      <c r="O28" s="243"/>
      <c r="P28" s="243"/>
      <c r="Q28" s="245"/>
      <c r="R28" s="246"/>
      <c r="S28" s="246"/>
      <c r="T28" s="258"/>
      <c r="U28" s="250"/>
    </row>
    <row r="29" spans="1:21" s="96" customFormat="1" ht="29.25" customHeight="1">
      <c r="A29" s="274" t="s">
        <v>177</v>
      </c>
      <c r="B29" s="100">
        <v>104051</v>
      </c>
      <c r="C29" s="295" t="s">
        <v>249</v>
      </c>
      <c r="D29" s="238">
        <f>K29+O29+S29</f>
        <v>84000</v>
      </c>
      <c r="E29" s="239"/>
      <c r="F29" s="240"/>
      <c r="G29" s="240"/>
      <c r="H29" s="240">
        <v>84000</v>
      </c>
      <c r="I29" s="240"/>
      <c r="J29" s="240"/>
      <c r="K29" s="241">
        <f>SUM(E29:I29)</f>
        <v>84000</v>
      </c>
      <c r="L29" s="242"/>
      <c r="M29" s="242"/>
      <c r="N29" s="242"/>
      <c r="O29" s="243">
        <f>SUM(L29:N29)</f>
        <v>0</v>
      </c>
      <c r="P29" s="243"/>
      <c r="Q29" s="245"/>
      <c r="R29" s="246"/>
      <c r="S29" s="246">
        <f>SUM(P29:R29)</f>
        <v>0</v>
      </c>
      <c r="T29" s="258"/>
      <c r="U29" s="250"/>
    </row>
    <row r="30" spans="1:21" s="96" customFormat="1" ht="15">
      <c r="A30" s="274" t="s">
        <v>185</v>
      </c>
      <c r="B30" s="100" t="s">
        <v>139</v>
      </c>
      <c r="C30" s="101" t="s">
        <v>324</v>
      </c>
      <c r="D30" s="238">
        <f>K30+O30+S30</f>
        <v>2068213</v>
      </c>
      <c r="E30" s="239"/>
      <c r="F30" s="240"/>
      <c r="G30" s="240">
        <f>1392413+70000+276800+329000</f>
        <v>2068213</v>
      </c>
      <c r="H30" s="240"/>
      <c r="I30" s="240"/>
      <c r="J30" s="240"/>
      <c r="K30" s="241">
        <f>SUM(E30:I30)</f>
        <v>2068213</v>
      </c>
      <c r="L30" s="242"/>
      <c r="M30" s="242"/>
      <c r="N30" s="242"/>
      <c r="O30" s="243">
        <f>SUM(L30:N30)</f>
        <v>0</v>
      </c>
      <c r="P30" s="243"/>
      <c r="Q30" s="245"/>
      <c r="R30" s="246"/>
      <c r="S30" s="246">
        <f>SUM(P30:R30)</f>
        <v>0</v>
      </c>
      <c r="T30" s="258"/>
      <c r="U30" s="250"/>
    </row>
    <row r="31" spans="1:21" s="96" customFormat="1" ht="15">
      <c r="A31" s="274" t="s">
        <v>188</v>
      </c>
      <c r="B31" s="100">
        <v>107055</v>
      </c>
      <c r="C31" s="102" t="s">
        <v>325</v>
      </c>
      <c r="D31" s="238">
        <f>K31+O31+S31</f>
        <v>6566955</v>
      </c>
      <c r="E31" s="239">
        <f>3271699+52764+52764+978723-978723+26382+1177164</f>
        <v>4580773</v>
      </c>
      <c r="F31" s="240">
        <f>660287+10289+10025+171277-171277+4617+206004</f>
        <v>891222</v>
      </c>
      <c r="G31" s="240">
        <f>829380+260000</f>
        <v>1089380</v>
      </c>
      <c r="H31" s="240"/>
      <c r="I31" s="240"/>
      <c r="J31" s="240"/>
      <c r="K31" s="241">
        <f>SUM(E31:I31)</f>
        <v>6561375</v>
      </c>
      <c r="L31" s="242">
        <v>5580</v>
      </c>
      <c r="M31" s="242"/>
      <c r="N31" s="242"/>
      <c r="O31" s="243">
        <f>SUM(L31:N31)</f>
        <v>5580</v>
      </c>
      <c r="P31" s="243"/>
      <c r="Q31" s="245"/>
      <c r="R31" s="246"/>
      <c r="S31" s="246">
        <f>SUM(P31:R31)</f>
        <v>0</v>
      </c>
      <c r="T31" s="258">
        <v>1</v>
      </c>
      <c r="U31" s="250">
        <v>1</v>
      </c>
    </row>
    <row r="32" spans="1:21" s="96" customFormat="1" ht="30.75" thickBot="1">
      <c r="A32" s="275" t="s">
        <v>189</v>
      </c>
      <c r="B32" s="100">
        <v>107060</v>
      </c>
      <c r="C32" s="99" t="s">
        <v>140</v>
      </c>
      <c r="D32" s="238">
        <f>K32+O32+S32</f>
        <v>1939000</v>
      </c>
      <c r="E32" s="239"/>
      <c r="F32" s="240"/>
      <c r="G32" s="240">
        <v>564000</v>
      </c>
      <c r="H32" s="240">
        <v>1375000</v>
      </c>
      <c r="I32" s="240"/>
      <c r="J32" s="240"/>
      <c r="K32" s="241">
        <f>SUM(E32:I32)</f>
        <v>1939000</v>
      </c>
      <c r="L32" s="242"/>
      <c r="M32" s="242"/>
      <c r="N32" s="242"/>
      <c r="O32" s="243">
        <f>SUM(L32:N32)</f>
        <v>0</v>
      </c>
      <c r="P32" s="243"/>
      <c r="Q32" s="245"/>
      <c r="R32" s="246"/>
      <c r="S32" s="246">
        <f>SUM(P32:R32)</f>
        <v>0</v>
      </c>
      <c r="T32" s="258"/>
      <c r="U32" s="250"/>
    </row>
    <row r="33" spans="1:21" s="96" customFormat="1" ht="33.75" customHeight="1" thickBot="1">
      <c r="A33" s="276" t="s">
        <v>245</v>
      </c>
      <c r="B33" s="147"/>
      <c r="C33" s="148" t="s">
        <v>207</v>
      </c>
      <c r="D33" s="244">
        <f>SUM(D15:D32)</f>
        <v>102161785</v>
      </c>
      <c r="E33" s="244">
        <f>SUM(E15:E32)</f>
        <v>12100053</v>
      </c>
      <c r="F33" s="244">
        <f>SUM(F15:F32)</f>
        <v>2535278</v>
      </c>
      <c r="G33" s="244">
        <f>SUM(G15:G32)</f>
        <v>16237133</v>
      </c>
      <c r="H33" s="244">
        <f>SUM(H15:H32)</f>
        <v>1459000</v>
      </c>
      <c r="I33" s="244">
        <f>SUM(I15:I32)</f>
        <v>499140</v>
      </c>
      <c r="J33" s="244">
        <f>SUM(J15:J32)</f>
        <v>5504742</v>
      </c>
      <c r="K33" s="244">
        <f>SUM(K15:K32)</f>
        <v>38335346</v>
      </c>
      <c r="L33" s="244">
        <f>SUM(L15:L32)</f>
        <v>15813714</v>
      </c>
      <c r="M33" s="244">
        <f>SUM(M15:M32)</f>
        <v>47217276</v>
      </c>
      <c r="N33" s="244">
        <f>SUM(N15:N32)</f>
        <v>0</v>
      </c>
      <c r="O33" s="244">
        <f>SUM(O15:O32)</f>
        <v>63030990</v>
      </c>
      <c r="P33" s="244">
        <f>SUM(P15:P32)</f>
        <v>795449</v>
      </c>
      <c r="Q33" s="244"/>
      <c r="R33" s="244"/>
      <c r="S33" s="244">
        <f>SUM(S15:S32)</f>
        <v>795449</v>
      </c>
      <c r="T33" s="244">
        <f>SUM(T15:T32)</f>
        <v>1</v>
      </c>
      <c r="U33" s="259">
        <f>SUM(U15:U32)</f>
        <v>1</v>
      </c>
    </row>
  </sheetData>
  <sheetProtection/>
  <mergeCells count="33">
    <mergeCell ref="E12:E14"/>
    <mergeCell ref="R12:R14"/>
    <mergeCell ref="B6:U6"/>
    <mergeCell ref="H12:H14"/>
    <mergeCell ref="T13:U14"/>
    <mergeCell ref="G12:G14"/>
    <mergeCell ref="B4:U4"/>
    <mergeCell ref="I12:I14"/>
    <mergeCell ref="F12:F14"/>
    <mergeCell ref="P12:P14"/>
    <mergeCell ref="B8:U8"/>
    <mergeCell ref="L12:L14"/>
    <mergeCell ref="E10:S10"/>
    <mergeCell ref="A1:U1"/>
    <mergeCell ref="C10:C14"/>
    <mergeCell ref="P11:S11"/>
    <mergeCell ref="E11:K11"/>
    <mergeCell ref="T9:U9"/>
    <mergeCell ref="B3:R3"/>
    <mergeCell ref="A10:A14"/>
    <mergeCell ref="B7:U7"/>
    <mergeCell ref="M12:M14"/>
    <mergeCell ref="N12:N14"/>
    <mergeCell ref="T10:U10"/>
    <mergeCell ref="D10:D14"/>
    <mergeCell ref="S12:S14"/>
    <mergeCell ref="J12:J14"/>
    <mergeCell ref="L11:O11"/>
    <mergeCell ref="B10:B14"/>
    <mergeCell ref="T11:U11"/>
    <mergeCell ref="K12:K14"/>
    <mergeCell ref="O12:O14"/>
    <mergeCell ref="Q12:Q14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2" width="9.125" style="141" customWidth="1"/>
    <col min="3" max="3" width="63.125" style="141" customWidth="1"/>
    <col min="4" max="7" width="26.25390625" style="141" customWidth="1"/>
    <col min="8" max="16384" width="9.125" style="141" customWidth="1"/>
  </cols>
  <sheetData>
    <row r="2" spans="1:7" ht="12.75">
      <c r="A2" s="530" t="s">
        <v>481</v>
      </c>
      <c r="B2" s="427"/>
      <c r="C2" s="427"/>
      <c r="D2" s="427"/>
      <c r="E2" s="427"/>
      <c r="F2" s="427"/>
      <c r="G2" s="427"/>
    </row>
    <row r="4" spans="1:7" s="136" customFormat="1" ht="15.75">
      <c r="A4" s="459"/>
      <c r="B4" s="432"/>
      <c r="C4" s="432"/>
      <c r="D4" s="137"/>
      <c r="E4" s="333"/>
      <c r="F4" s="333"/>
      <c r="G4" s="333"/>
    </row>
    <row r="5" spans="3:7" s="64" customFormat="1" ht="15" customHeight="1">
      <c r="C5" s="462"/>
      <c r="D5" s="462"/>
      <c r="E5" s="462"/>
      <c r="F5" s="462"/>
      <c r="G5" s="462"/>
    </row>
    <row r="6" spans="4:7" s="138" customFormat="1" ht="15" customHeight="1">
      <c r="D6" s="139"/>
      <c r="E6" s="334"/>
      <c r="F6" s="334"/>
      <c r="G6" s="334"/>
    </row>
    <row r="7" spans="3:7" s="103" customFormat="1" ht="15" customHeight="1">
      <c r="C7" s="463" t="s">
        <v>318</v>
      </c>
      <c r="D7" s="463"/>
      <c r="E7" s="463"/>
      <c r="F7" s="463"/>
      <c r="G7" s="463"/>
    </row>
    <row r="8" spans="3:7" s="103" customFormat="1" ht="15.75">
      <c r="C8" s="464" t="s">
        <v>208</v>
      </c>
      <c r="D8" s="464"/>
      <c r="E8" s="464"/>
      <c r="F8" s="464"/>
      <c r="G8" s="464"/>
    </row>
    <row r="9" spans="3:7" s="103" customFormat="1" ht="15" customHeight="1">
      <c r="C9" s="463" t="s">
        <v>437</v>
      </c>
      <c r="D9" s="463"/>
      <c r="E9" s="463"/>
      <c r="F9" s="463"/>
      <c r="G9" s="463"/>
    </row>
    <row r="10" spans="3:7" s="136" customFormat="1" ht="12" customHeight="1" thickBot="1">
      <c r="C10" s="137"/>
      <c r="D10" s="140"/>
      <c r="E10" s="335"/>
      <c r="F10" s="335"/>
      <c r="G10" s="347" t="s">
        <v>372</v>
      </c>
    </row>
    <row r="11" spans="1:7" s="136" customFormat="1" ht="16.5" customHeight="1" thickBot="1">
      <c r="A11" s="465" t="s">
        <v>417</v>
      </c>
      <c r="B11" s="467" t="s">
        <v>109</v>
      </c>
      <c r="C11" s="470" t="s">
        <v>110</v>
      </c>
      <c r="D11" s="473" t="s">
        <v>209</v>
      </c>
      <c r="E11" s="476" t="s">
        <v>196</v>
      </c>
      <c r="F11" s="476"/>
      <c r="G11" s="477"/>
    </row>
    <row r="12" spans="1:7" s="136" customFormat="1" ht="33" customHeight="1" thickBot="1">
      <c r="A12" s="466"/>
      <c r="B12" s="468"/>
      <c r="C12" s="471"/>
      <c r="D12" s="474"/>
      <c r="E12" s="337" t="s">
        <v>197</v>
      </c>
      <c r="F12" s="338" t="s">
        <v>198</v>
      </c>
      <c r="G12" s="339" t="s">
        <v>199</v>
      </c>
    </row>
    <row r="13" spans="1:7" s="136" customFormat="1" ht="22.5" customHeight="1">
      <c r="A13" s="466"/>
      <c r="B13" s="468"/>
      <c r="C13" s="471"/>
      <c r="D13" s="474"/>
      <c r="E13" s="478" t="s">
        <v>200</v>
      </c>
      <c r="F13" s="479"/>
      <c r="G13" s="480"/>
    </row>
    <row r="14" spans="1:7" ht="12.75">
      <c r="A14" s="466"/>
      <c r="B14" s="468"/>
      <c r="C14" s="471"/>
      <c r="D14" s="474"/>
      <c r="E14" s="481"/>
      <c r="F14" s="482"/>
      <c r="G14" s="483"/>
    </row>
    <row r="15" spans="1:7" ht="3" customHeight="1" thickBot="1">
      <c r="A15" s="531"/>
      <c r="B15" s="469"/>
      <c r="C15" s="472"/>
      <c r="D15" s="475"/>
      <c r="E15" s="484"/>
      <c r="F15" s="485"/>
      <c r="G15" s="486"/>
    </row>
    <row r="16" spans="1:7" ht="30">
      <c r="A16" s="269" t="s">
        <v>25</v>
      </c>
      <c r="B16" s="98" t="s">
        <v>126</v>
      </c>
      <c r="C16" s="99" t="s">
        <v>127</v>
      </c>
      <c r="D16" s="341">
        <f>SUM(E16:G16)</f>
        <v>15314037</v>
      </c>
      <c r="E16" s="341">
        <f>17329083+1150000-177800-152400-40000-2583591-1177164-206004-563804+120162+79523+21028+13916+770707+152398</f>
        <v>14736054</v>
      </c>
      <c r="F16" s="341">
        <v>577983</v>
      </c>
      <c r="G16" s="341"/>
    </row>
    <row r="17" spans="1:7" ht="15">
      <c r="A17" s="270" t="s">
        <v>19</v>
      </c>
      <c r="B17" s="100" t="s">
        <v>128</v>
      </c>
      <c r="C17" s="99" t="s">
        <v>21</v>
      </c>
      <c r="D17" s="343">
        <f>SUM(E17:G17)</f>
        <v>226534</v>
      </c>
      <c r="E17" s="343">
        <f>196534+30000</f>
        <v>226534</v>
      </c>
      <c r="F17" s="343"/>
      <c r="G17" s="343"/>
    </row>
    <row r="18" spans="1:7" ht="15">
      <c r="A18" s="270" t="s">
        <v>26</v>
      </c>
      <c r="B18" s="100" t="s">
        <v>129</v>
      </c>
      <c r="C18" s="99" t="s">
        <v>380</v>
      </c>
      <c r="D18" s="343">
        <f>SUM(E18:G18)</f>
        <v>11480</v>
      </c>
      <c r="E18" s="343">
        <v>11480</v>
      </c>
      <c r="F18" s="343"/>
      <c r="G18" s="343"/>
    </row>
    <row r="19" spans="1:7" ht="15">
      <c r="A19" s="270" t="s">
        <v>64</v>
      </c>
      <c r="B19" s="100" t="s">
        <v>201</v>
      </c>
      <c r="C19" s="99" t="s">
        <v>358</v>
      </c>
      <c r="D19" s="343">
        <f>SUM(E19:G19)</f>
        <v>795449</v>
      </c>
      <c r="E19" s="343">
        <v>795449</v>
      </c>
      <c r="F19" s="343"/>
      <c r="G19" s="343"/>
    </row>
    <row r="20" spans="1:7" ht="15">
      <c r="A20" s="270" t="s">
        <v>65</v>
      </c>
      <c r="B20" s="100" t="s">
        <v>431</v>
      </c>
      <c r="C20" s="99" t="s">
        <v>432</v>
      </c>
      <c r="D20" s="343">
        <f>SUM(E20:G20)</f>
        <v>1786320</v>
      </c>
      <c r="E20" s="343">
        <f>960095+471569+354656</f>
        <v>1786320</v>
      </c>
      <c r="F20" s="343"/>
      <c r="G20" s="343"/>
    </row>
    <row r="21" spans="1:7" ht="15">
      <c r="A21" s="270" t="s">
        <v>70</v>
      </c>
      <c r="B21" s="100" t="s">
        <v>352</v>
      </c>
      <c r="C21" s="99" t="s">
        <v>359</v>
      </c>
      <c r="D21" s="343">
        <f>SUM(E21:G21)</f>
        <v>47633176</v>
      </c>
      <c r="E21" s="343">
        <f>415900+152400+14640346+29993337+2583591-152398</f>
        <v>47633176</v>
      </c>
      <c r="F21" s="343"/>
      <c r="G21" s="343"/>
    </row>
    <row r="22" spans="1:7" ht="15">
      <c r="A22" s="270" t="s">
        <v>154</v>
      </c>
      <c r="B22" s="100" t="s">
        <v>379</v>
      </c>
      <c r="C22" s="99" t="s">
        <v>378</v>
      </c>
      <c r="D22" s="343">
        <f>SUM(E22:G22)</f>
        <v>19206133</v>
      </c>
      <c r="E22" s="343">
        <v>19206133</v>
      </c>
      <c r="F22" s="343"/>
      <c r="G22" s="343"/>
    </row>
    <row r="23" spans="1:7" ht="15">
      <c r="A23" s="270" t="s">
        <v>156</v>
      </c>
      <c r="B23" s="100" t="s">
        <v>131</v>
      </c>
      <c r="C23" s="99" t="s">
        <v>132</v>
      </c>
      <c r="D23" s="343">
        <f>SUM(E23:G23)</f>
        <v>1476820</v>
      </c>
      <c r="E23" s="343">
        <f>1372870+103950</f>
        <v>1476820</v>
      </c>
      <c r="F23" s="343"/>
      <c r="G23" s="343"/>
    </row>
    <row r="24" spans="1:7" ht="15">
      <c r="A24" s="270" t="s">
        <v>158</v>
      </c>
      <c r="B24" s="100" t="s">
        <v>133</v>
      </c>
      <c r="C24" s="99" t="s">
        <v>134</v>
      </c>
      <c r="D24" s="343">
        <f>SUM(E24:G24)</f>
        <v>829779</v>
      </c>
      <c r="E24" s="343">
        <f>859779-50000+20000</f>
        <v>829779</v>
      </c>
      <c r="F24" s="343"/>
      <c r="G24" s="343"/>
    </row>
    <row r="25" spans="1:7" ht="15">
      <c r="A25" s="270" t="s">
        <v>164</v>
      </c>
      <c r="B25" s="100" t="s">
        <v>135</v>
      </c>
      <c r="C25" s="99" t="s">
        <v>136</v>
      </c>
      <c r="D25" s="343">
        <f>SUM(E25:G25)</f>
        <v>492059</v>
      </c>
      <c r="E25" s="343">
        <f>274259+177800-50000+20000+70000</f>
        <v>492059</v>
      </c>
      <c r="F25" s="343"/>
      <c r="G25" s="343"/>
    </row>
    <row r="26" spans="1:7" ht="15">
      <c r="A26" s="270" t="s">
        <v>166</v>
      </c>
      <c r="B26" s="100" t="s">
        <v>137</v>
      </c>
      <c r="C26" s="99" t="s">
        <v>20</v>
      </c>
      <c r="D26" s="343">
        <f>SUM(E26:G26)</f>
        <v>93500</v>
      </c>
      <c r="E26" s="343">
        <v>93500</v>
      </c>
      <c r="F26" s="343"/>
      <c r="G26" s="343"/>
    </row>
    <row r="27" spans="1:7" ht="15">
      <c r="A27" s="270" t="s">
        <v>168</v>
      </c>
      <c r="B27" s="100" t="s">
        <v>138</v>
      </c>
      <c r="C27" s="99" t="s">
        <v>22</v>
      </c>
      <c r="D27" s="343">
        <f>SUM(E27:G27)</f>
        <v>1609646</v>
      </c>
      <c r="E27" s="343">
        <v>1609646</v>
      </c>
      <c r="F27" s="343"/>
      <c r="G27" s="343"/>
    </row>
    <row r="28" spans="1:7" ht="15">
      <c r="A28" s="270" t="s">
        <v>173</v>
      </c>
      <c r="B28" s="100" t="s">
        <v>322</v>
      </c>
      <c r="C28" s="99" t="s">
        <v>323</v>
      </c>
      <c r="D28" s="343">
        <f>SUM(E28:G28)</f>
        <v>1978684</v>
      </c>
      <c r="E28" s="343">
        <f>1151000+50000+19175</f>
        <v>1220175</v>
      </c>
      <c r="F28" s="343">
        <v>758509</v>
      </c>
      <c r="G28" s="343"/>
    </row>
    <row r="29" spans="1:7" ht="15">
      <c r="A29" s="270" t="s">
        <v>175</v>
      </c>
      <c r="B29" s="100" t="s">
        <v>433</v>
      </c>
      <c r="C29" s="99" t="s">
        <v>434</v>
      </c>
      <c r="D29" s="343">
        <f>SUM(E29:G29)</f>
        <v>50000</v>
      </c>
      <c r="E29" s="343">
        <v>50000</v>
      </c>
      <c r="F29" s="343"/>
      <c r="G29" s="343"/>
    </row>
    <row r="30" spans="1:7" ht="15">
      <c r="A30" s="270" t="s">
        <v>177</v>
      </c>
      <c r="B30" s="100">
        <v>104051</v>
      </c>
      <c r="C30" s="102" t="s">
        <v>249</v>
      </c>
      <c r="D30" s="343">
        <f>SUM(E30:G30)</f>
        <v>84000</v>
      </c>
      <c r="E30" s="343"/>
      <c r="F30" s="343"/>
      <c r="G30" s="343">
        <v>84000</v>
      </c>
    </row>
    <row r="31" spans="1:7" ht="15">
      <c r="A31" s="270" t="s">
        <v>185</v>
      </c>
      <c r="B31" s="100" t="s">
        <v>139</v>
      </c>
      <c r="C31" s="101" t="s">
        <v>321</v>
      </c>
      <c r="D31" s="343">
        <f>SUM(E31:G31)</f>
        <v>2068213</v>
      </c>
      <c r="E31" s="343">
        <f>1392413+70000+276800+329000</f>
        <v>2068213</v>
      </c>
      <c r="F31" s="343"/>
      <c r="G31" s="343"/>
    </row>
    <row r="32" spans="1:7" ht="15">
      <c r="A32" s="270" t="s">
        <v>188</v>
      </c>
      <c r="B32" s="100">
        <v>107055</v>
      </c>
      <c r="C32" s="102" t="s">
        <v>325</v>
      </c>
      <c r="D32" s="343">
        <f>SUM(E32:G32)</f>
        <v>6566955</v>
      </c>
      <c r="E32" s="343">
        <f>4629999+62789+30999+1383168+260000</f>
        <v>6366955</v>
      </c>
      <c r="F32" s="343">
        <v>200000</v>
      </c>
      <c r="G32" s="343"/>
    </row>
    <row r="33" spans="1:7" ht="15.75" thickBot="1">
      <c r="A33" s="271" t="s">
        <v>189</v>
      </c>
      <c r="B33" s="100">
        <v>107060</v>
      </c>
      <c r="C33" s="101" t="s">
        <v>140</v>
      </c>
      <c r="D33" s="343">
        <f>SUM(E33:G33)</f>
        <v>1939000</v>
      </c>
      <c r="E33" s="343">
        <v>1939000</v>
      </c>
      <c r="F33" s="343"/>
      <c r="G33" s="343"/>
    </row>
    <row r="34" spans="1:7" ht="33" customHeight="1" thickBot="1">
      <c r="A34" s="272" t="s">
        <v>245</v>
      </c>
      <c r="B34" s="142"/>
      <c r="C34" s="143" t="s">
        <v>2</v>
      </c>
      <c r="D34" s="345">
        <f>SUM(D16:D33)</f>
        <v>102161785</v>
      </c>
      <c r="E34" s="345">
        <f>SUM(E16:E33)</f>
        <v>100541293</v>
      </c>
      <c r="F34" s="345">
        <f>SUM(F16:F33)</f>
        <v>1536492</v>
      </c>
      <c r="G34" s="345">
        <f>SUM(G16:G33)</f>
        <v>84000</v>
      </c>
    </row>
  </sheetData>
  <sheetProtection/>
  <mergeCells count="12">
    <mergeCell ref="A2:G2"/>
    <mergeCell ref="A4:C4"/>
    <mergeCell ref="C5:G5"/>
    <mergeCell ref="C7:G7"/>
    <mergeCell ref="C8:G8"/>
    <mergeCell ref="C9:G9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8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11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104" customFormat="1" ht="15.75">
      <c r="A1" s="426" t="s">
        <v>482</v>
      </c>
      <c r="B1" s="432"/>
      <c r="C1" s="432"/>
    </row>
    <row r="2" spans="1:3" ht="15.75">
      <c r="A2" s="146"/>
      <c r="B2" s="146"/>
      <c r="C2" s="71"/>
    </row>
    <row r="4" spans="1:3" s="97" customFormat="1" ht="15">
      <c r="A4" s="545"/>
      <c r="B4" s="545"/>
      <c r="C4" s="545"/>
    </row>
    <row r="5" spans="1:3" s="97" customFormat="1" ht="15.75">
      <c r="A5" s="105"/>
      <c r="B5" s="63"/>
      <c r="C5" s="63"/>
    </row>
    <row r="6" spans="1:3" ht="15.75">
      <c r="A6" s="546" t="s">
        <v>318</v>
      </c>
      <c r="B6" s="546"/>
      <c r="C6" s="546"/>
    </row>
    <row r="7" spans="1:3" ht="15.75">
      <c r="A7" s="448" t="s">
        <v>337</v>
      </c>
      <c r="B7" s="448"/>
      <c r="C7" s="448"/>
    </row>
    <row r="8" spans="1:4" ht="15.75">
      <c r="A8" s="448" t="s">
        <v>141</v>
      </c>
      <c r="B8" s="448"/>
      <c r="C8" s="448"/>
      <c r="D8" s="110"/>
    </row>
    <row r="9" spans="1:3" ht="15.75">
      <c r="A9" s="448" t="s">
        <v>437</v>
      </c>
      <c r="B9" s="448"/>
      <c r="C9" s="448"/>
    </row>
    <row r="10" ht="16.5" thickBot="1">
      <c r="C10" s="406" t="s">
        <v>372</v>
      </c>
    </row>
    <row r="11" spans="1:3" ht="15.75">
      <c r="A11" s="111" t="s">
        <v>23</v>
      </c>
      <c r="B11" s="106"/>
      <c r="C11" s="407" t="s">
        <v>14</v>
      </c>
    </row>
    <row r="12" spans="1:3" ht="15.75">
      <c r="A12" s="107"/>
      <c r="B12" s="108" t="s">
        <v>0</v>
      </c>
      <c r="C12" s="387"/>
    </row>
    <row r="13" spans="1:3" ht="34.5" customHeight="1" thickBot="1">
      <c r="A13" s="109" t="s">
        <v>24</v>
      </c>
      <c r="B13" s="112"/>
      <c r="C13" s="408" t="s">
        <v>6</v>
      </c>
    </row>
    <row r="14" spans="1:3" ht="20.25" customHeight="1">
      <c r="A14" s="551" t="s">
        <v>142</v>
      </c>
      <c r="B14" s="551"/>
      <c r="C14" s="551"/>
    </row>
    <row r="15" spans="1:3" ht="20.25" customHeight="1">
      <c r="A15" s="113" t="s">
        <v>25</v>
      </c>
      <c r="B15" s="114" t="s">
        <v>143</v>
      </c>
      <c r="C15" s="409"/>
    </row>
    <row r="16" spans="1:3" ht="20.25" customHeight="1">
      <c r="A16" s="113"/>
      <c r="B16" s="20" t="s">
        <v>144</v>
      </c>
      <c r="C16" s="409">
        <f>'2.mell - bevétel'!H55</f>
        <v>21539872</v>
      </c>
    </row>
    <row r="17" spans="1:5" ht="20.25" customHeight="1">
      <c r="A17" s="113"/>
      <c r="B17" s="76" t="s">
        <v>145</v>
      </c>
      <c r="C17" s="409">
        <f>'2.mell - bevétel'!H62</f>
        <v>2283111</v>
      </c>
      <c r="D17" s="74"/>
      <c r="E17" s="74"/>
    </row>
    <row r="18" spans="1:3" ht="20.25" customHeight="1">
      <c r="A18" s="113" t="s">
        <v>19</v>
      </c>
      <c r="B18" s="114" t="s">
        <v>146</v>
      </c>
      <c r="C18" s="409">
        <f>'2.mell - bevétel'!H82</f>
        <v>1495000</v>
      </c>
    </row>
    <row r="19" spans="1:3" ht="20.25" customHeight="1">
      <c r="A19" s="113" t="s">
        <v>26</v>
      </c>
      <c r="B19" s="114" t="s">
        <v>147</v>
      </c>
      <c r="C19" s="409">
        <f>'2.mell - bevétel'!H95</f>
        <v>5402117</v>
      </c>
    </row>
    <row r="20" spans="1:3" ht="20.25" customHeight="1">
      <c r="A20" s="113" t="s">
        <v>64</v>
      </c>
      <c r="B20" s="115" t="s">
        <v>148</v>
      </c>
      <c r="C20" s="409"/>
    </row>
    <row r="21" spans="1:5" ht="36" customHeight="1">
      <c r="A21" s="113"/>
      <c r="B21" s="76" t="s">
        <v>149</v>
      </c>
      <c r="C21" s="409"/>
      <c r="D21" s="76"/>
      <c r="E21" s="76"/>
    </row>
    <row r="22" spans="1:3" ht="20.25" customHeight="1">
      <c r="A22" s="113"/>
      <c r="B22" s="20" t="s">
        <v>150</v>
      </c>
      <c r="C22" s="409"/>
    </row>
    <row r="23" spans="1:3" ht="36" customHeight="1">
      <c r="A23" s="116"/>
      <c r="B23" s="117" t="s">
        <v>151</v>
      </c>
      <c r="C23" s="410">
        <f>SUM(C16:C22)</f>
        <v>30720100</v>
      </c>
    </row>
    <row r="24" spans="1:3" ht="21" customHeight="1">
      <c r="A24" s="110" t="s">
        <v>65</v>
      </c>
      <c r="B24" s="114" t="s">
        <v>152</v>
      </c>
      <c r="C24" s="311">
        <f>'4.mell. - kiadás'!E33</f>
        <v>12100053</v>
      </c>
    </row>
    <row r="25" spans="1:3" ht="21" customHeight="1">
      <c r="A25" s="110" t="s">
        <v>70</v>
      </c>
      <c r="B25" s="114" t="s">
        <v>153</v>
      </c>
      <c r="C25" s="311">
        <f>'4.mell. - kiadás'!F33</f>
        <v>2535278</v>
      </c>
    </row>
    <row r="26" spans="1:3" ht="21" customHeight="1">
      <c r="A26" s="110" t="s">
        <v>154</v>
      </c>
      <c r="B26" s="118" t="s">
        <v>155</v>
      </c>
      <c r="C26" s="311">
        <f>'4.mell. - kiadás'!G33</f>
        <v>16237133</v>
      </c>
    </row>
    <row r="27" spans="1:3" ht="21" customHeight="1">
      <c r="A27" s="110" t="s">
        <v>156</v>
      </c>
      <c r="B27" s="118" t="s">
        <v>157</v>
      </c>
      <c r="C27" s="311">
        <f>'4.mell. - kiadás'!H33</f>
        <v>1459000</v>
      </c>
    </row>
    <row r="28" spans="1:3" ht="21" customHeight="1">
      <c r="A28" s="110" t="s">
        <v>158</v>
      </c>
      <c r="B28" s="118" t="s">
        <v>159</v>
      </c>
      <c r="C28" s="311"/>
    </row>
    <row r="29" spans="1:3" ht="15.75">
      <c r="A29" s="110"/>
      <c r="B29" s="119" t="s">
        <v>160</v>
      </c>
      <c r="C29" s="406">
        <f>'4.mell. - kiadás'!I33</f>
        <v>499140</v>
      </c>
    </row>
    <row r="30" spans="1:5" ht="15.75">
      <c r="A30" s="110"/>
      <c r="B30" s="119" t="s">
        <v>161</v>
      </c>
      <c r="C30" s="411">
        <f>'4.mell. - kiadás'!J15</f>
        <v>5504742</v>
      </c>
      <c r="E30" s="77"/>
    </row>
    <row r="31" spans="1:6" ht="33.75" customHeight="1">
      <c r="A31" s="116"/>
      <c r="B31" s="117" t="s">
        <v>162</v>
      </c>
      <c r="C31" s="410">
        <f>SUM(C24:C30)</f>
        <v>38335346</v>
      </c>
      <c r="E31" s="77"/>
      <c r="F31" s="77"/>
    </row>
    <row r="32" spans="1:6" ht="21.75" customHeight="1">
      <c r="A32" s="113"/>
      <c r="B32" s="114"/>
      <c r="C32" s="409"/>
      <c r="E32" s="77"/>
      <c r="F32" s="77"/>
    </row>
    <row r="33" spans="1:6" ht="22.5" customHeight="1">
      <c r="A33" s="113"/>
      <c r="B33" s="114"/>
      <c r="C33" s="409"/>
      <c r="E33" s="77"/>
      <c r="F33" s="77"/>
    </row>
    <row r="34" spans="1:6" ht="22.5" customHeight="1">
      <c r="A34" s="113"/>
      <c r="B34" s="114"/>
      <c r="C34" s="409"/>
      <c r="E34" s="77"/>
      <c r="F34" s="77"/>
    </row>
    <row r="35" spans="1:3" ht="19.5" customHeight="1" thickBot="1">
      <c r="A35" s="552"/>
      <c r="B35" s="552"/>
      <c r="C35" s="552"/>
    </row>
    <row r="36" spans="1:3" ht="15.75">
      <c r="A36" s="111" t="s">
        <v>23</v>
      </c>
      <c r="B36" s="106"/>
      <c r="C36" s="407" t="s">
        <v>14</v>
      </c>
    </row>
    <row r="37" spans="1:3" ht="15.75">
      <c r="A37" s="107"/>
      <c r="B37" s="108" t="s">
        <v>0</v>
      </c>
      <c r="C37" s="387"/>
    </row>
    <row r="38" spans="1:3" ht="15.75" customHeight="1" thickBot="1">
      <c r="A38" s="109" t="s">
        <v>24</v>
      </c>
      <c r="B38" s="112"/>
      <c r="C38" s="408" t="s">
        <v>6</v>
      </c>
    </row>
    <row r="39" spans="1:3" ht="21" customHeight="1">
      <c r="A39" s="553" t="s">
        <v>163</v>
      </c>
      <c r="B39" s="553"/>
      <c r="C39" s="553"/>
    </row>
    <row r="40" spans="1:3" ht="21" customHeight="1">
      <c r="A40" s="110" t="s">
        <v>164</v>
      </c>
      <c r="B40" s="55" t="s">
        <v>165</v>
      </c>
      <c r="C40" s="411">
        <f>'2.mell - bevétel'!H70</f>
        <v>59756623</v>
      </c>
    </row>
    <row r="41" spans="1:2" ht="21" customHeight="1">
      <c r="A41" s="110" t="s">
        <v>166</v>
      </c>
      <c r="B41" s="55" t="s">
        <v>167</v>
      </c>
    </row>
    <row r="42" spans="1:2" ht="21" customHeight="1">
      <c r="A42" s="110" t="s">
        <v>168</v>
      </c>
      <c r="B42" s="115" t="s">
        <v>169</v>
      </c>
    </row>
    <row r="43" spans="1:2" ht="31.5" customHeight="1">
      <c r="A43" s="110"/>
      <c r="B43" s="91" t="s">
        <v>170</v>
      </c>
    </row>
    <row r="44" spans="1:2" ht="21" customHeight="1">
      <c r="A44" s="110"/>
      <c r="B44" s="48" t="s">
        <v>171</v>
      </c>
    </row>
    <row r="45" spans="1:5" ht="32.25" customHeight="1">
      <c r="A45" s="116"/>
      <c r="B45" s="117" t="s">
        <v>172</v>
      </c>
      <c r="C45" s="410">
        <f>SUM(C40:C44)</f>
        <v>59756623</v>
      </c>
      <c r="E45" s="77"/>
    </row>
    <row r="46" spans="1:3" ht="21" customHeight="1">
      <c r="A46" s="110" t="s">
        <v>173</v>
      </c>
      <c r="B46" s="55" t="s">
        <v>174</v>
      </c>
      <c r="C46" s="411">
        <f>'4.mell. - kiadás'!L33</f>
        <v>15813714</v>
      </c>
    </row>
    <row r="47" spans="1:3" ht="21" customHeight="1">
      <c r="A47" s="110" t="s">
        <v>175</v>
      </c>
      <c r="B47" s="55" t="s">
        <v>176</v>
      </c>
      <c r="C47" s="411">
        <f>'4.mell. - kiadás'!M33</f>
        <v>47217276</v>
      </c>
    </row>
    <row r="48" spans="1:2" ht="18.75" customHeight="1">
      <c r="A48" s="110" t="s">
        <v>177</v>
      </c>
      <c r="B48" s="115" t="s">
        <v>178</v>
      </c>
    </row>
    <row r="49" spans="1:2" ht="33" customHeight="1">
      <c r="A49" s="110"/>
      <c r="B49" s="91" t="s">
        <v>179</v>
      </c>
    </row>
    <row r="50" spans="1:2" ht="18" customHeight="1">
      <c r="A50" s="110"/>
      <c r="B50" s="119" t="s">
        <v>180</v>
      </c>
    </row>
    <row r="51" spans="1:2" ht="18" customHeight="1">
      <c r="A51" s="110"/>
      <c r="B51" s="119" t="s">
        <v>161</v>
      </c>
    </row>
    <row r="52" spans="1:6" s="9" customFormat="1" ht="27" customHeight="1" thickBot="1">
      <c r="A52" s="116"/>
      <c r="B52" s="117" t="s">
        <v>181</v>
      </c>
      <c r="C52" s="410">
        <f>SUM(C46:C51)</f>
        <v>63030990</v>
      </c>
      <c r="F52" s="120"/>
    </row>
    <row r="53" spans="1:3" s="9" customFormat="1" ht="27" customHeight="1" thickBot="1">
      <c r="A53" s="121"/>
      <c r="B53" s="122" t="s">
        <v>182</v>
      </c>
      <c r="C53" s="412">
        <f>C23+C45</f>
        <v>90476723</v>
      </c>
    </row>
    <row r="54" spans="1:6" s="9" customFormat="1" ht="27" customHeight="1" thickBot="1">
      <c r="A54" s="121"/>
      <c r="B54" s="122" t="s">
        <v>183</v>
      </c>
      <c r="C54" s="412">
        <f>C31+C52</f>
        <v>101366336</v>
      </c>
      <c r="F54" s="120"/>
    </row>
    <row r="55" spans="1:3" s="124" customFormat="1" ht="16.5" thickBot="1">
      <c r="A55" s="123"/>
      <c r="B55" s="132"/>
      <c r="C55" s="413"/>
    </row>
    <row r="56" spans="1:3" s="124" customFormat="1" ht="19.5" customHeight="1">
      <c r="A56" s="111" t="s">
        <v>23</v>
      </c>
      <c r="B56" s="547" t="s">
        <v>0</v>
      </c>
      <c r="C56" s="407" t="s">
        <v>14</v>
      </c>
    </row>
    <row r="57" spans="1:3" s="124" customFormat="1" ht="15.75">
      <c r="A57" s="107"/>
      <c r="B57" s="548"/>
      <c r="C57" s="387"/>
    </row>
    <row r="58" spans="1:3" s="124" customFormat="1" ht="12" customHeight="1" thickBot="1">
      <c r="A58" s="109" t="s">
        <v>24</v>
      </c>
      <c r="B58" s="549"/>
      <c r="C58" s="408" t="s">
        <v>6</v>
      </c>
    </row>
    <row r="59" spans="1:3" s="124" customFormat="1" ht="15.75">
      <c r="A59" s="123"/>
      <c r="B59" s="132"/>
      <c r="C59" s="413"/>
    </row>
    <row r="60" spans="1:3" ht="15" customHeight="1">
      <c r="A60" s="550" t="s">
        <v>184</v>
      </c>
      <c r="B60" s="550"/>
      <c r="C60" s="550"/>
    </row>
    <row r="61" spans="1:3" ht="15" customHeight="1">
      <c r="A61" s="125"/>
      <c r="B61" s="125"/>
      <c r="C61" s="125"/>
    </row>
    <row r="62" spans="1:3" ht="20.25" customHeight="1">
      <c r="A62" s="116" t="s">
        <v>185</v>
      </c>
      <c r="B62" s="126" t="s">
        <v>186</v>
      </c>
      <c r="C62" s="410">
        <f>'2.mell - bevétel'!H107</f>
        <v>11685062</v>
      </c>
    </row>
    <row r="63" spans="1:3" ht="21" customHeight="1">
      <c r="A63" s="116"/>
      <c r="B63" s="228" t="s">
        <v>187</v>
      </c>
      <c r="C63" s="414">
        <f>SUM(C62:C62)</f>
        <v>11685062</v>
      </c>
    </row>
    <row r="64" spans="1:3" ht="15.75">
      <c r="A64" s="113" t="s">
        <v>188</v>
      </c>
      <c r="B64" s="126" t="s">
        <v>354</v>
      </c>
      <c r="C64" s="410">
        <f>'4.mell. - kiadás'!P33</f>
        <v>795449</v>
      </c>
    </row>
    <row r="65" spans="1:3" ht="15.75">
      <c r="A65" s="110" t="s">
        <v>189</v>
      </c>
      <c r="B65" s="126" t="s">
        <v>190</v>
      </c>
      <c r="C65" s="410"/>
    </row>
    <row r="66" spans="1:3" s="127" customFormat="1" ht="27" customHeight="1" thickBot="1">
      <c r="A66" s="116"/>
      <c r="B66" s="228" t="s">
        <v>191</v>
      </c>
      <c r="C66" s="414">
        <f>SUM(C64:C65)</f>
        <v>795449</v>
      </c>
    </row>
    <row r="67" spans="1:5" s="127" customFormat="1" ht="27" customHeight="1" thickBot="1">
      <c r="A67" s="128"/>
      <c r="B67" s="129" t="s">
        <v>192</v>
      </c>
      <c r="C67" s="130">
        <f>C53+C63</f>
        <v>102161785</v>
      </c>
      <c r="E67" s="131"/>
    </row>
    <row r="68" spans="1:5" ht="27" customHeight="1" thickBot="1">
      <c r="A68" s="128"/>
      <c r="B68" s="129" t="s">
        <v>193</v>
      </c>
      <c r="C68" s="130">
        <f>C54+C66</f>
        <v>102161785</v>
      </c>
      <c r="E68" s="131"/>
    </row>
  </sheetData>
  <sheetProtection/>
  <mergeCells count="11">
    <mergeCell ref="A35:C35"/>
    <mergeCell ref="A39:C39"/>
    <mergeCell ref="A1:C1"/>
    <mergeCell ref="A4:C4"/>
    <mergeCell ref="A6:C6"/>
    <mergeCell ref="B56:B58"/>
    <mergeCell ref="A60:C60"/>
    <mergeCell ref="A7:C7"/>
    <mergeCell ref="A8:C8"/>
    <mergeCell ref="A9:C9"/>
    <mergeCell ref="A14:C14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9.125" style="35" customWidth="1"/>
    <col min="2" max="2" width="67.875" style="35" customWidth="1"/>
    <col min="3" max="3" width="17.00390625" style="35" customWidth="1"/>
    <col min="4" max="16384" width="9.125" style="35" customWidth="1"/>
  </cols>
  <sheetData>
    <row r="1" spans="1:4" ht="15.75">
      <c r="A1" s="459" t="s">
        <v>448</v>
      </c>
      <c r="B1" s="432"/>
      <c r="C1" s="432"/>
      <c r="D1" s="71"/>
    </row>
    <row r="2" spans="2:4" ht="15">
      <c r="B2" s="72"/>
      <c r="C2" s="72"/>
      <c r="D2" s="71"/>
    </row>
    <row r="3" spans="2:3" ht="15.75" customHeight="1">
      <c r="B3" s="535"/>
      <c r="C3" s="535"/>
    </row>
    <row r="4" spans="2:3" ht="15">
      <c r="B4" s="36"/>
      <c r="C4" s="36"/>
    </row>
    <row r="5" spans="2:3" s="16" customFormat="1" ht="15.75" customHeight="1">
      <c r="B5" s="536" t="s">
        <v>318</v>
      </c>
      <c r="C5" s="536"/>
    </row>
    <row r="6" spans="2:6" s="20" customFormat="1" ht="15.75">
      <c r="B6" s="534" t="s">
        <v>327</v>
      </c>
      <c r="C6" s="534"/>
      <c r="D6" s="47"/>
      <c r="E6" s="47"/>
      <c r="F6" s="47"/>
    </row>
    <row r="7" spans="2:6" s="13" customFormat="1" ht="15">
      <c r="B7" s="533" t="s">
        <v>438</v>
      </c>
      <c r="C7" s="533"/>
      <c r="D7" s="46"/>
      <c r="E7" s="46"/>
      <c r="F7" s="46"/>
    </row>
    <row r="8" ht="15.75" customHeight="1" thickBot="1">
      <c r="C8" s="37" t="s">
        <v>371</v>
      </c>
    </row>
    <row r="9" spans="1:3" ht="15" customHeight="1">
      <c r="A9" s="540" t="s">
        <v>417</v>
      </c>
      <c r="B9" s="38"/>
      <c r="C9" s="537" t="s">
        <v>418</v>
      </c>
    </row>
    <row r="10" spans="1:3" ht="15.75" customHeight="1">
      <c r="A10" s="541"/>
      <c r="B10" s="39" t="s">
        <v>0</v>
      </c>
      <c r="C10" s="538"/>
    </row>
    <row r="11" spans="1:3" ht="15.75" thickBot="1">
      <c r="A11" s="542"/>
      <c r="B11" s="40"/>
      <c r="C11" s="539"/>
    </row>
    <row r="12" ht="11.25" customHeight="1"/>
    <row r="13" ht="15" customHeight="1">
      <c r="C13" s="44"/>
    </row>
    <row r="14" spans="1:3" ht="15">
      <c r="A14" s="277" t="s">
        <v>25</v>
      </c>
      <c r="B14" s="41" t="s">
        <v>381</v>
      </c>
      <c r="C14" s="44"/>
    </row>
    <row r="15" spans="1:3" ht="15">
      <c r="A15" s="277"/>
      <c r="B15" s="41"/>
      <c r="C15" s="44"/>
    </row>
    <row r="16" spans="1:3" ht="30">
      <c r="A16" s="277" t="s">
        <v>419</v>
      </c>
      <c r="B16" s="133" t="s">
        <v>251</v>
      </c>
      <c r="C16" s="44">
        <v>84000</v>
      </c>
    </row>
    <row r="17" spans="1:3" ht="15">
      <c r="A17" s="277"/>
      <c r="B17" s="260"/>
      <c r="C17" s="45"/>
    </row>
    <row r="18" spans="1:3" ht="29.25">
      <c r="A18" s="277" t="s">
        <v>19</v>
      </c>
      <c r="B18" s="260" t="s">
        <v>382</v>
      </c>
      <c r="C18" s="45"/>
    </row>
    <row r="19" spans="1:3" ht="15">
      <c r="A19" s="277"/>
      <c r="C19" s="44"/>
    </row>
    <row r="20" spans="1:3" ht="30">
      <c r="A20" s="277" t="s">
        <v>396</v>
      </c>
      <c r="B20" s="133" t="s">
        <v>250</v>
      </c>
      <c r="C20" s="44">
        <v>140000</v>
      </c>
    </row>
    <row r="21" spans="1:3" ht="15">
      <c r="A21" s="277"/>
      <c r="B21" s="260"/>
      <c r="C21" s="45"/>
    </row>
    <row r="22" spans="1:3" ht="15">
      <c r="A22" s="277" t="s">
        <v>397</v>
      </c>
      <c r="B22" s="260" t="s">
        <v>383</v>
      </c>
      <c r="C22" s="44"/>
    </row>
    <row r="23" spans="1:3" ht="23.25" customHeight="1">
      <c r="A23" s="277" t="s">
        <v>411</v>
      </c>
      <c r="B23" s="279" t="s">
        <v>420</v>
      </c>
      <c r="C23" s="280">
        <v>252000</v>
      </c>
    </row>
    <row r="24" spans="1:3" ht="24" customHeight="1">
      <c r="A24" s="277" t="s">
        <v>412</v>
      </c>
      <c r="B24" s="279" t="s">
        <v>326</v>
      </c>
      <c r="C24" s="280">
        <v>483000</v>
      </c>
    </row>
    <row r="25" spans="1:3" ht="18.75" customHeight="1">
      <c r="A25" s="277" t="s">
        <v>413</v>
      </c>
      <c r="B25" s="279" t="s">
        <v>348</v>
      </c>
      <c r="C25" s="280">
        <v>500000</v>
      </c>
    </row>
    <row r="26" spans="1:3" ht="15">
      <c r="A26" s="277"/>
      <c r="B26" s="41" t="s">
        <v>384</v>
      </c>
      <c r="C26" s="45">
        <f>SUM(C23:C25)</f>
        <v>1235000</v>
      </c>
    </row>
    <row r="27" spans="1:3" ht="15">
      <c r="A27" s="277"/>
      <c r="C27" s="44"/>
    </row>
    <row r="28" spans="1:3" ht="15">
      <c r="A28" s="277"/>
      <c r="C28" s="45"/>
    </row>
    <row r="29" spans="1:3" ht="15">
      <c r="A29" s="277"/>
      <c r="B29" s="41" t="s">
        <v>328</v>
      </c>
      <c r="C29" s="45">
        <f>C26+C20+C16</f>
        <v>1459000</v>
      </c>
    </row>
    <row r="30" ht="15">
      <c r="A30" s="277"/>
    </row>
    <row r="31" spans="1:3" ht="11.25" customHeight="1">
      <c r="A31" s="277"/>
      <c r="C31" s="44"/>
    </row>
    <row r="32" spans="1:3" ht="16.5">
      <c r="A32" s="277"/>
      <c r="B32" s="42" t="s">
        <v>329</v>
      </c>
      <c r="C32" s="51">
        <f>C29</f>
        <v>1459000</v>
      </c>
    </row>
    <row r="33" spans="1:3" s="43" customFormat="1" ht="16.5">
      <c r="A33" s="278"/>
      <c r="B33" s="42"/>
      <c r="C33" s="50"/>
    </row>
    <row r="34" spans="1:2" s="43" customFormat="1" ht="16.5">
      <c r="A34" s="278"/>
      <c r="B34" s="35"/>
    </row>
  </sheetData>
  <sheetProtection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3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530" t="s">
        <v>460</v>
      </c>
      <c r="B2" s="530"/>
      <c r="C2" s="346"/>
      <c r="D2" s="141"/>
      <c r="E2" s="141"/>
      <c r="F2" s="141"/>
      <c r="G2" s="141"/>
      <c r="H2" s="141"/>
      <c r="I2" s="141"/>
      <c r="J2" s="141"/>
      <c r="K2" s="141"/>
    </row>
    <row r="3" spans="1:11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2.75">
      <c r="A4" s="543"/>
      <c r="B4" s="543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4.25">
      <c r="A7" s="544"/>
      <c r="B7" s="544"/>
      <c r="C7" s="544"/>
      <c r="D7" s="141"/>
      <c r="E7" s="141"/>
      <c r="F7" s="141"/>
      <c r="G7" s="141"/>
      <c r="H7" s="141"/>
      <c r="I7" s="141"/>
      <c r="J7" s="141"/>
      <c r="K7" s="141"/>
    </row>
    <row r="8" spans="1:11" ht="15">
      <c r="A8" s="141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>
      <c r="A9" s="141"/>
      <c r="B9" s="544" t="s">
        <v>318</v>
      </c>
      <c r="C9" s="544"/>
      <c r="D9" s="544"/>
      <c r="E9" s="544"/>
      <c r="F9" s="544"/>
      <c r="G9" s="544"/>
      <c r="H9" s="544"/>
      <c r="I9" s="544"/>
      <c r="J9" s="544"/>
      <c r="K9" s="544"/>
    </row>
    <row r="10" spans="1:11" ht="14.25">
      <c r="A10" s="141"/>
      <c r="B10" s="544" t="s">
        <v>360</v>
      </c>
      <c r="C10" s="544"/>
      <c r="D10" s="544"/>
      <c r="E10" s="544"/>
      <c r="F10" s="544"/>
      <c r="G10" s="544"/>
      <c r="H10" s="544"/>
      <c r="I10" s="544"/>
      <c r="J10" s="544"/>
      <c r="K10" s="544"/>
    </row>
    <row r="11" spans="1:11" ht="14.25">
      <c r="A11" s="141"/>
      <c r="B11" s="544" t="s">
        <v>437</v>
      </c>
      <c r="C11" s="544"/>
      <c r="D11" s="544"/>
      <c r="E11" s="544"/>
      <c r="F11" s="544"/>
      <c r="G11" s="544"/>
      <c r="H11" s="544"/>
      <c r="I11" s="544"/>
      <c r="J11" s="544"/>
      <c r="K11" s="544"/>
    </row>
    <row r="12" spans="1:11" ht="12.75">
      <c r="A12" s="141"/>
      <c r="B12" s="350"/>
      <c r="C12" s="350"/>
      <c r="D12" s="350"/>
      <c r="E12" s="350"/>
      <c r="F12" s="350"/>
      <c r="G12" s="350"/>
      <c r="H12" s="350"/>
      <c r="I12" s="350"/>
      <c r="J12" s="350"/>
      <c r="K12" s="350"/>
    </row>
    <row r="13" spans="1:11" ht="13.5" thickBo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39.75" thickBot="1" thickTop="1">
      <c r="A14" s="351" t="s">
        <v>417</v>
      </c>
      <c r="B14" s="352" t="s">
        <v>0</v>
      </c>
      <c r="C14" s="353" t="s">
        <v>449</v>
      </c>
      <c r="D14" s="141"/>
      <c r="E14" s="141"/>
      <c r="F14" s="141"/>
      <c r="G14" s="141"/>
      <c r="H14" s="141"/>
      <c r="I14" s="141"/>
      <c r="J14" s="141"/>
      <c r="K14" s="141"/>
    </row>
    <row r="15" spans="1:11" ht="13.5" thickTop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5">
      <c r="A17" s="141" t="s">
        <v>25</v>
      </c>
      <c r="B17" s="354" t="s">
        <v>387</v>
      </c>
      <c r="C17" s="13"/>
      <c r="D17" s="141"/>
      <c r="E17" s="185"/>
      <c r="F17" s="141"/>
      <c r="G17" s="141"/>
      <c r="H17" s="141"/>
      <c r="I17" s="141"/>
      <c r="J17" s="141"/>
      <c r="K17" s="141"/>
    </row>
    <row r="18" spans="1:11" ht="15">
      <c r="A18" s="141"/>
      <c r="B18" s="13"/>
      <c r="C18" s="13"/>
      <c r="D18" s="141"/>
      <c r="E18" s="141"/>
      <c r="F18" s="141"/>
      <c r="G18" s="141"/>
      <c r="H18" s="141"/>
      <c r="I18" s="141"/>
      <c r="J18" s="141"/>
      <c r="K18" s="141"/>
    </row>
    <row r="19" spans="1:11" ht="15.75" customHeight="1">
      <c r="A19" s="355" t="s">
        <v>419</v>
      </c>
      <c r="B19" s="13" t="s">
        <v>388</v>
      </c>
      <c r="C19" s="356">
        <v>15328764</v>
      </c>
      <c r="D19" s="141"/>
      <c r="E19" s="141"/>
      <c r="F19" s="141"/>
      <c r="G19" s="141"/>
      <c r="H19" s="141"/>
      <c r="I19" s="141"/>
      <c r="J19" s="141"/>
      <c r="K19" s="141"/>
    </row>
    <row r="20" spans="1:11" ht="21" customHeight="1">
      <c r="A20" s="357"/>
      <c r="B20" s="354" t="s">
        <v>2</v>
      </c>
      <c r="C20" s="17">
        <v>15328764</v>
      </c>
      <c r="D20" s="141"/>
      <c r="E20" s="141"/>
      <c r="F20" s="141"/>
      <c r="G20" s="141"/>
      <c r="H20" s="141"/>
      <c r="I20" s="141"/>
      <c r="J20" s="141"/>
      <c r="K20" s="141"/>
    </row>
    <row r="21" spans="1:11" ht="15.75" customHeight="1">
      <c r="A21" s="357"/>
      <c r="B21" s="358"/>
      <c r="C21" s="359"/>
      <c r="D21" s="141"/>
      <c r="E21" s="141"/>
      <c r="F21" s="141"/>
      <c r="G21" s="141"/>
      <c r="H21" s="141"/>
      <c r="I21" s="141"/>
      <c r="J21" s="141"/>
      <c r="K21" s="141"/>
    </row>
    <row r="22" spans="1:11" ht="34.5" customHeight="1">
      <c r="A22" s="360" t="s">
        <v>19</v>
      </c>
      <c r="B22" s="361" t="s">
        <v>450</v>
      </c>
      <c r="C22" s="359"/>
      <c r="D22" s="141"/>
      <c r="E22" s="141"/>
      <c r="F22" s="141"/>
      <c r="G22" s="141"/>
      <c r="H22" s="141"/>
      <c r="I22" s="141"/>
      <c r="J22" s="141"/>
      <c r="K22" s="141"/>
    </row>
    <row r="23" spans="1:11" ht="21.75" customHeight="1">
      <c r="A23" s="355" t="s">
        <v>451</v>
      </c>
      <c r="B23" s="362" t="s">
        <v>452</v>
      </c>
      <c r="C23" s="359">
        <v>8640</v>
      </c>
      <c r="D23" s="141"/>
      <c r="E23" s="141"/>
      <c r="F23" s="141"/>
      <c r="G23" s="141"/>
      <c r="H23" s="141"/>
      <c r="I23" s="141"/>
      <c r="J23" s="141"/>
      <c r="K23" s="141"/>
    </row>
    <row r="24" spans="1:11" ht="21.75" customHeight="1">
      <c r="A24" s="141"/>
      <c r="B24" s="13" t="s">
        <v>363</v>
      </c>
      <c r="C24" s="356">
        <v>2333</v>
      </c>
      <c r="D24" s="141"/>
      <c r="E24" s="141"/>
      <c r="F24" s="141"/>
      <c r="G24" s="141"/>
      <c r="H24" s="141"/>
      <c r="I24" s="141"/>
      <c r="J24" s="141"/>
      <c r="K24" s="141"/>
    </row>
    <row r="25" spans="1:11" ht="21.75" customHeight="1">
      <c r="A25" s="141"/>
      <c r="B25" s="15" t="s">
        <v>361</v>
      </c>
      <c r="C25" s="17">
        <f>C23+C24</f>
        <v>10973</v>
      </c>
      <c r="D25" s="141"/>
      <c r="E25" s="141"/>
      <c r="F25" s="141"/>
      <c r="G25" s="141"/>
      <c r="H25" s="141"/>
      <c r="I25" s="141"/>
      <c r="J25" s="141"/>
      <c r="K25" s="141"/>
    </row>
    <row r="26" spans="1:11" ht="21.75" customHeight="1">
      <c r="A26" s="141"/>
      <c r="B26" s="363"/>
      <c r="C26" s="17"/>
      <c r="D26" s="141"/>
      <c r="E26" s="141"/>
      <c r="F26" s="141"/>
      <c r="G26" s="141"/>
      <c r="H26" s="141"/>
      <c r="I26" s="141"/>
      <c r="J26" s="141"/>
      <c r="K26" s="141"/>
    </row>
    <row r="27" spans="1:11" ht="21.75" customHeight="1">
      <c r="A27" s="141" t="s">
        <v>26</v>
      </c>
      <c r="B27" s="364" t="s">
        <v>453</v>
      </c>
      <c r="C27" s="17"/>
      <c r="D27" s="141"/>
      <c r="E27" s="141"/>
      <c r="F27" s="141"/>
      <c r="G27" s="141"/>
      <c r="H27" s="141"/>
      <c r="I27" s="141"/>
      <c r="J27" s="141"/>
      <c r="K27" s="141"/>
    </row>
    <row r="28" spans="1:11" ht="21.75" customHeight="1">
      <c r="A28" s="360" t="s">
        <v>454</v>
      </c>
      <c r="B28" s="13" t="s">
        <v>455</v>
      </c>
      <c r="C28" s="359">
        <v>81850</v>
      </c>
      <c r="D28" s="141"/>
      <c r="E28" s="141"/>
      <c r="F28" s="141"/>
      <c r="G28" s="141"/>
      <c r="H28" s="141"/>
      <c r="I28" s="141"/>
      <c r="J28" s="141"/>
      <c r="K28" s="141"/>
    </row>
    <row r="29" spans="1:12" ht="21.75" customHeight="1">
      <c r="A29" s="141"/>
      <c r="B29" s="13" t="s">
        <v>363</v>
      </c>
      <c r="C29" s="356">
        <v>22100</v>
      </c>
      <c r="D29" s="141"/>
      <c r="E29" s="141"/>
      <c r="F29" s="141"/>
      <c r="G29" s="141"/>
      <c r="H29" s="141"/>
      <c r="I29" s="141"/>
      <c r="J29" s="141"/>
      <c r="K29" s="141"/>
      <c r="L29" s="365"/>
    </row>
    <row r="30" spans="1:11" ht="21.75" customHeight="1">
      <c r="A30" s="141"/>
      <c r="B30" s="15" t="s">
        <v>361</v>
      </c>
      <c r="C30" s="17">
        <f>C28+C29</f>
        <v>103950</v>
      </c>
      <c r="D30" s="141"/>
      <c r="E30" s="141"/>
      <c r="F30" s="141"/>
      <c r="G30" s="141"/>
      <c r="H30" s="141"/>
      <c r="I30" s="141"/>
      <c r="J30" s="141"/>
      <c r="K30" s="141"/>
    </row>
    <row r="31" spans="1:11" ht="21.75" customHeight="1">
      <c r="A31" s="141"/>
      <c r="B31" s="366"/>
      <c r="C31" s="359"/>
      <c r="D31" s="141"/>
      <c r="E31" s="141"/>
      <c r="F31" s="141"/>
      <c r="G31" s="141"/>
      <c r="H31" s="141"/>
      <c r="I31" s="141"/>
      <c r="J31" s="141"/>
      <c r="K31" s="141"/>
    </row>
    <row r="32" spans="1:11" ht="21.75" customHeight="1">
      <c r="A32" s="367" t="s">
        <v>64</v>
      </c>
      <c r="B32" s="368" t="s">
        <v>456</v>
      </c>
      <c r="C32" s="359"/>
      <c r="D32" s="141"/>
      <c r="E32" s="141"/>
      <c r="F32" s="141"/>
      <c r="G32" s="141"/>
      <c r="H32" s="141"/>
      <c r="I32" s="141"/>
      <c r="J32" s="141"/>
      <c r="K32" s="141"/>
    </row>
    <row r="33" spans="1:11" ht="21.75" customHeight="1">
      <c r="A33" s="367" t="s">
        <v>457</v>
      </c>
      <c r="B33" s="362" t="s">
        <v>452</v>
      </c>
      <c r="C33" s="359">
        <v>4394</v>
      </c>
      <c r="D33" s="141"/>
      <c r="E33" s="141"/>
      <c r="F33" s="141"/>
      <c r="G33" s="141"/>
      <c r="H33" s="141"/>
      <c r="I33" s="141"/>
      <c r="J33" s="141"/>
      <c r="K33" s="141"/>
    </row>
    <row r="34" spans="1:11" ht="21.75" customHeight="1">
      <c r="A34" s="360"/>
      <c r="B34" s="13" t="s">
        <v>363</v>
      </c>
      <c r="C34" s="356">
        <v>1186</v>
      </c>
      <c r="D34" s="141"/>
      <c r="E34" s="141"/>
      <c r="F34" s="141"/>
      <c r="G34" s="141"/>
      <c r="H34" s="141"/>
      <c r="I34" s="141"/>
      <c r="J34" s="141"/>
      <c r="K34" s="141"/>
    </row>
    <row r="35" spans="1:11" ht="21.75" customHeight="1">
      <c r="A35" s="360"/>
      <c r="B35" s="15" t="s">
        <v>361</v>
      </c>
      <c r="C35" s="17">
        <f>C33+C34</f>
        <v>5580</v>
      </c>
      <c r="D35" s="141"/>
      <c r="E35" s="141"/>
      <c r="F35" s="141"/>
      <c r="G35" s="141"/>
      <c r="H35" s="141"/>
      <c r="I35" s="141"/>
      <c r="J35" s="141"/>
      <c r="K35" s="141"/>
    </row>
    <row r="36" spans="1:11" ht="18.75" customHeight="1">
      <c r="A36" s="369"/>
      <c r="B36" s="370"/>
      <c r="C36" s="359"/>
      <c r="D36" s="141"/>
      <c r="E36" s="141"/>
      <c r="F36" s="141"/>
      <c r="G36" s="141"/>
      <c r="H36" s="141"/>
      <c r="I36" s="141"/>
      <c r="J36" s="141"/>
      <c r="K36" s="141"/>
    </row>
    <row r="37" spans="1:11" ht="29.25" customHeight="1">
      <c r="A37" s="369" t="s">
        <v>65</v>
      </c>
      <c r="B37" s="371" t="s">
        <v>458</v>
      </c>
      <c r="C37" s="359"/>
      <c r="D37" s="141"/>
      <c r="E37" s="141"/>
      <c r="F37" s="141"/>
      <c r="G37" s="141"/>
      <c r="H37" s="141"/>
      <c r="I37" s="141"/>
      <c r="J37" s="141"/>
      <c r="K37" s="141"/>
    </row>
    <row r="38" spans="1:11" ht="23.25" customHeight="1">
      <c r="A38" s="360" t="s">
        <v>459</v>
      </c>
      <c r="B38" s="13" t="s">
        <v>362</v>
      </c>
      <c r="C38" s="372">
        <f>300000-8640-4394</f>
        <v>286966</v>
      </c>
      <c r="D38" s="141"/>
      <c r="E38" s="141"/>
      <c r="F38" s="141"/>
      <c r="G38" s="141"/>
      <c r="H38" s="141"/>
      <c r="I38" s="141"/>
      <c r="J38" s="141"/>
      <c r="K38" s="141"/>
    </row>
    <row r="39" spans="2:11" ht="24.75" customHeight="1">
      <c r="B39" s="13" t="s">
        <v>363</v>
      </c>
      <c r="C39" s="356">
        <f>81000-2333-1186</f>
        <v>77481</v>
      </c>
      <c r="D39" s="141"/>
      <c r="E39" s="141"/>
      <c r="F39" s="141"/>
      <c r="G39" s="141"/>
      <c r="H39" s="141"/>
      <c r="I39" s="141"/>
      <c r="J39" s="141"/>
      <c r="K39" s="141"/>
    </row>
    <row r="40" spans="1:11" ht="14.25">
      <c r="A40" s="141"/>
      <c r="B40" s="15" t="s">
        <v>361</v>
      </c>
      <c r="C40" s="17">
        <f>C38+C39</f>
        <v>364447</v>
      </c>
      <c r="D40" s="141"/>
      <c r="E40" s="141"/>
      <c r="F40" s="141"/>
      <c r="G40" s="141"/>
      <c r="H40" s="141"/>
      <c r="I40" s="141"/>
      <c r="J40" s="141"/>
      <c r="K40" s="141"/>
    </row>
    <row r="41" spans="1:11" ht="15">
      <c r="A41" s="141"/>
      <c r="B41" s="13"/>
      <c r="C41" s="13"/>
      <c r="D41" s="141"/>
      <c r="E41" s="141"/>
      <c r="F41" s="141"/>
      <c r="G41" s="141"/>
      <c r="H41" s="141"/>
      <c r="I41" s="141"/>
      <c r="J41" s="141"/>
      <c r="K41" s="141"/>
    </row>
    <row r="42" spans="1:11" ht="15">
      <c r="A42" s="141"/>
      <c r="B42" s="13"/>
      <c r="C42" s="13"/>
      <c r="D42" s="141"/>
      <c r="E42" s="141"/>
      <c r="F42" s="141"/>
      <c r="G42" s="141"/>
      <c r="H42" s="141"/>
      <c r="I42" s="141"/>
      <c r="J42" s="141"/>
      <c r="K42" s="141"/>
    </row>
    <row r="43" spans="1:11" ht="14.25">
      <c r="A43" s="141"/>
      <c r="B43" s="15" t="s">
        <v>364</v>
      </c>
      <c r="C43" s="17">
        <f>C20+C25+C35+C40+C30</f>
        <v>15813714</v>
      </c>
      <c r="D43" s="141"/>
      <c r="E43" s="141"/>
      <c r="F43" s="141"/>
      <c r="G43" s="141"/>
      <c r="H43" s="141"/>
      <c r="I43" s="141"/>
      <c r="J43" s="141"/>
      <c r="K43" s="141"/>
    </row>
  </sheetData>
  <sheetProtection/>
  <mergeCells count="6">
    <mergeCell ref="A2:B2"/>
    <mergeCell ref="A4:B4"/>
    <mergeCell ref="A7:C7"/>
    <mergeCell ref="B9:K9"/>
    <mergeCell ref="B10:K10"/>
    <mergeCell ref="B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Kovács Anita</cp:lastModifiedBy>
  <cp:lastPrinted>2019-02-07T08:09:38Z</cp:lastPrinted>
  <dcterms:created xsi:type="dcterms:W3CDTF">2002-11-26T17:22:50Z</dcterms:created>
  <dcterms:modified xsi:type="dcterms:W3CDTF">2019-12-17T09:03:56Z</dcterms:modified>
  <cp:category/>
  <cp:version/>
  <cp:contentType/>
  <cp:contentStatus/>
</cp:coreProperties>
</file>