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1835" tabRatio="816" firstSheet="44" activeTab="51"/>
  </bookViews>
  <sheets>
    <sheet name="ALAPADATOK" sheetId="1411" r:id="rId1"/>
    <sheet name="1.1.sz.mell. " sheetId="1357" r:id="rId2"/>
    <sheet name="1.2.sz.mell. " sheetId="1358" r:id="rId3"/>
    <sheet name="1.3.sz.mell." sheetId="1359" r:id="rId4"/>
    <sheet name="1.4.sz.mell. " sheetId="1360" state="hidden" r:id="rId5"/>
    <sheet name="1.5.sz.mell." sheetId="1399" state="hidden" r:id="rId6"/>
    <sheet name="2.1.sz.mell " sheetId="1361" r:id="rId7"/>
    <sheet name="2.2.sz.mell ." sheetId="1362" r:id="rId8"/>
    <sheet name="KV_ELLENŐRZÉS" sheetId="1413" state="hidden" r:id="rId9"/>
    <sheet name="3. sz mell." sheetId="1416" r:id="rId10"/>
    <sheet name="4.sz.mell." sheetId="1417" state="hidden" r:id="rId11"/>
    <sheet name="5.sz.mell." sheetId="1418" r:id="rId12"/>
    <sheet name="6.sz.mell." sheetId="1419" r:id="rId13"/>
    <sheet name="7.sz.mell." sheetId="1420" state="hidden" r:id="rId14"/>
    <sheet name="8. sz. mell." sheetId="1421" r:id="rId15"/>
    <sheet name="8.1. sz. mell." sheetId="1422" r:id="rId16"/>
    <sheet name="8.2. sz. mell." sheetId="1423" r:id="rId17"/>
    <sheet name="8.3. sz. mell." sheetId="1424" state="hidden" r:id="rId18"/>
    <sheet name="8.4. sz. mell." sheetId="1425" state="hidden" r:id="rId19"/>
    <sheet name="8.5. sz. mell." sheetId="1426" state="hidden" r:id="rId20"/>
    <sheet name="9.1. sz. mell." sheetId="1427" r:id="rId21"/>
    <sheet name="9.1.1. sz. mell. " sheetId="1428" r:id="rId22"/>
    <sheet name="9.1.2. sz. mell." sheetId="1429" state="hidden" r:id="rId23"/>
    <sheet name="9.2. sz. mell. " sheetId="1430" r:id="rId24"/>
    <sheet name="9.2.1. sz. mell" sheetId="1431" r:id="rId25"/>
    <sheet name="9.2.2. sz.  mell" sheetId="1432" state="hidden" r:id="rId26"/>
    <sheet name="9.2.3. sz. mell." sheetId="1433" state="hidden" r:id="rId27"/>
    <sheet name="9.3. sz. mell" sheetId="1434" state="hidden" r:id="rId28"/>
    <sheet name="9.3.1. sz. mell EOI" sheetId="1435" state="hidden" r:id="rId29"/>
    <sheet name="9.3.2.sz.mell EOI" sheetId="1436" state="hidden" r:id="rId30"/>
    <sheet name="9.4. sz. mell EKIK" sheetId="1437" state="hidden" r:id="rId31"/>
    <sheet name="9.4.1. sz. mell EKIK" sheetId="1438" state="hidden" r:id="rId32"/>
    <sheet name="9.4.2. sz. mell EKIK" sheetId="1439" state="hidden" r:id="rId33"/>
    <sheet name="9.5. sz. mell VK" sheetId="1440" r:id="rId34"/>
    <sheet name="9.5.1. sz. mell VK " sheetId="1441" r:id="rId35"/>
    <sheet name="9.5.2. sz. mell VK" sheetId="1442" state="hidden" r:id="rId36"/>
    <sheet name="9.6. sz. mell Kornisné Kp." sheetId="1443" r:id="rId37"/>
    <sheet name="9.6.1. sz. mell Kornisné Kp. " sheetId="1444" r:id="rId38"/>
    <sheet name="9.6.2. sz. mell Kornisné Kp." sheetId="1445" r:id="rId39"/>
    <sheet name="9.6.3. sz. mell Kornisné Kp " sheetId="1446" state="hidden" r:id="rId40"/>
    <sheet name="9.7. sz. mell TIB  " sheetId="1447" state="hidden" r:id="rId41"/>
    <sheet name="9.7.1. sz. mell TIB  " sheetId="1448" state="hidden" r:id="rId42"/>
    <sheet name="9.7.2. sz. mell TIB" sheetId="1449" state="hidden" r:id="rId43"/>
    <sheet name="10.sz.m. int.összesítő" sheetId="1450" r:id="rId44"/>
    <sheet name="11.sz.m. tartalék" sheetId="1451" r:id="rId45"/>
    <sheet name="1.sz tájékoztató t " sheetId="1452" r:id="rId46"/>
    <sheet name="2. sz tájékoztató t" sheetId="1453" r:id="rId47"/>
    <sheet name="3. sz tájékoztató t." sheetId="1454" state="hidden" r:id="rId48"/>
    <sheet name="4.sz tájékoztató t " sheetId="1455" r:id="rId49"/>
    <sheet name="5.sz. tájékoztató" sheetId="1456" r:id="rId50"/>
    <sheet name="6.sz tájékoztató t " sheetId="1457" r:id="rId51"/>
    <sheet name="7.sz táj. feladatos Önk. " sheetId="1458" r:id="rId52"/>
    <sheet name="8.sz tájéloztató" sheetId="1459" state="hidden" r:id="rId53"/>
    <sheet name="9.sz tájékoztató " sheetId="1460" state="hidden" r:id="rId54"/>
  </sheets>
  <externalReferences>
    <externalReference r:id="rId55"/>
    <externalReference r:id="rId56"/>
  </externalReferences>
  <definedNames>
    <definedName name="_xlnm.Print_Titles" localSheetId="20">'9.1. sz. mell.'!$2:$7</definedName>
    <definedName name="_xlnm.Print_Titles" localSheetId="21">'9.1.1. sz. mell. '!$2:$7</definedName>
    <definedName name="_xlnm.Print_Titles" localSheetId="22">'9.1.2. sz. mell.'!$2:$7</definedName>
    <definedName name="_xlnm.Print_Titles" localSheetId="23">'9.2. sz. mell. '!$2:$7</definedName>
    <definedName name="_xlnm.Print_Titles" localSheetId="24">'9.2.1. sz. mell'!$2:$7</definedName>
    <definedName name="_xlnm.Print_Titles" localSheetId="25">'9.2.2. sz.  mell'!$2:$7</definedName>
    <definedName name="_xlnm.Print_Titles" localSheetId="26">'9.2.3. sz. mell.'!$2:$7</definedName>
    <definedName name="_xlnm.Print_Titles" localSheetId="27">'9.3. sz. mell'!$2:$7</definedName>
    <definedName name="_xlnm.Print_Titles" localSheetId="28">'9.3.1. sz. mell EOI'!$2:$7</definedName>
    <definedName name="_xlnm.Print_Titles" localSheetId="30">'9.4. sz. mell EKIK'!$2:$7</definedName>
    <definedName name="_xlnm.Print_Titles" localSheetId="31">'9.4.1. sz. mell EKIK'!$2:$7</definedName>
    <definedName name="_xlnm.Print_Titles" localSheetId="32">'9.4.2. sz. mell EKIK'!$2:$7</definedName>
    <definedName name="_xlnm.Print_Titles" localSheetId="33">'9.5. sz. mell VK'!$2:$7</definedName>
    <definedName name="_xlnm.Print_Titles" localSheetId="34">'9.5.1. sz. mell VK '!$2:$7</definedName>
    <definedName name="_xlnm.Print_Titles" localSheetId="35">'9.5.2. sz. mell VK'!$2:$7</definedName>
    <definedName name="_xlnm.Print_Titles" localSheetId="36">'9.6. sz. mell Kornisné Kp.'!$2:$7</definedName>
    <definedName name="_xlnm.Print_Titles" localSheetId="37">'9.6.1. sz. mell Kornisné Kp. '!$2:$7</definedName>
    <definedName name="_xlnm.Print_Titles" localSheetId="38">'9.6.2. sz. mell Kornisné Kp.'!$2:$7</definedName>
    <definedName name="_xlnm.Print_Titles" localSheetId="39">'9.6.3. sz. mell Kornisné Kp '!$2:$7</definedName>
    <definedName name="_xlnm.Print_Titles" localSheetId="40">'9.7. sz. mell TIB  '!$2:$7</definedName>
    <definedName name="_xlnm.Print_Titles" localSheetId="41">'9.7.1. sz. mell TIB  '!$2:$7</definedName>
    <definedName name="_xlnm.Print_Area" localSheetId="1">'1.1.sz.mell. '!$A$1:$C$167</definedName>
    <definedName name="_xlnm.Print_Area" localSheetId="2">'1.2.sz.mell. '!$A$1:$C$167</definedName>
    <definedName name="_xlnm.Print_Area" localSheetId="3">'1.3.sz.mell.'!$A$1:$C$167</definedName>
    <definedName name="_xlnm.Print_Area" localSheetId="4">'1.4.sz.mell. '!$A$1:$C$167</definedName>
    <definedName name="_xlnm.Print_Area" localSheetId="5">'1.5.sz.mell.'!$A$1:$C$167</definedName>
    <definedName name="_xlnm.Print_Area" localSheetId="6">'2.1.sz.mell '!$A$1:$F$32</definedName>
    <definedName name="_xlnm.Print_Area" localSheetId="49">'5.sz. tájékoztató'!$A$1:$C$49</definedName>
    <definedName name="_xlnm.Print_Area" localSheetId="12">'6.sz.mell.'!$A$1:$G$74</definedName>
    <definedName name="_xlnm.Print_Area" localSheetId="51">'7.sz táj. feladatos Önk. '!$A$1:$O$62</definedName>
    <definedName name="_xlnm.Print_Area" localSheetId="16">'8.2. sz. mell.'!$A$1:$E$45</definedName>
    <definedName name="_xlnm.Print_Area" localSheetId="20">'9.1. sz. mell.'!$A$1:$C$160</definedName>
    <definedName name="_xlnm.Print_Area" localSheetId="23">'9.2. sz. mell. '!$A$1:$H$62</definedName>
    <definedName name="_xlnm.Print_Area" localSheetId="53">'9.sz tájékoztató '!$A$1:$E$31</definedName>
  </definedNames>
  <calcPr calcId="145621"/>
</workbook>
</file>

<file path=xl/calcChain.xml><?xml version="1.0" encoding="utf-8"?>
<calcChain xmlns="http://schemas.openxmlformats.org/spreadsheetml/2006/main">
  <c r="A1" i="1458" l="1"/>
  <c r="A1" i="1457"/>
  <c r="A1" i="1456"/>
  <c r="A1" i="1455"/>
  <c r="A1" i="1453"/>
  <c r="A1" i="1452"/>
  <c r="A1" i="1451"/>
  <c r="A1" i="1450"/>
  <c r="A1" i="1445"/>
  <c r="A1" i="1444"/>
  <c r="A1" i="1443"/>
  <c r="A1" i="1441"/>
  <c r="A1" i="1440"/>
  <c r="A1" i="1428"/>
  <c r="A1" i="1427"/>
  <c r="A1" i="1423"/>
  <c r="A1" i="1419"/>
  <c r="A1" i="1418"/>
  <c r="A1" i="1416"/>
  <c r="F1" i="1362"/>
  <c r="F1" i="1361"/>
  <c r="N26" i="1455"/>
  <c r="M26" i="1455"/>
  <c r="L26" i="1455"/>
  <c r="K26" i="1455"/>
  <c r="M25" i="1455"/>
  <c r="K23" i="1455"/>
  <c r="J23" i="1455"/>
  <c r="N20" i="1455"/>
  <c r="M20" i="1455"/>
  <c r="L20" i="1455"/>
  <c r="K20" i="1455"/>
  <c r="N19" i="1455"/>
  <c r="M19" i="1455"/>
  <c r="L19" i="1455"/>
  <c r="N18" i="1455"/>
  <c r="M18" i="1455"/>
  <c r="L18" i="1455"/>
  <c r="N15" i="1455"/>
  <c r="N11" i="1455"/>
  <c r="M11" i="1455"/>
  <c r="L11" i="1455"/>
  <c r="K11" i="1455"/>
  <c r="K9" i="1455"/>
  <c r="K8" i="1455"/>
  <c r="I7" i="1455"/>
  <c r="N7" i="1455"/>
  <c r="M7" i="1455"/>
  <c r="L7" i="1455"/>
  <c r="K7" i="1455"/>
  <c r="J7" i="1455"/>
  <c r="C39" i="1456"/>
  <c r="N59" i="1458"/>
  <c r="K21" i="1458"/>
  <c r="J21" i="1458"/>
  <c r="J59" i="1458"/>
  <c r="K46" i="1458"/>
  <c r="F59" i="1458"/>
  <c r="J35" i="1458"/>
  <c r="J12" i="1458"/>
  <c r="J54" i="1458"/>
  <c r="C54" i="1458"/>
  <c r="O49" i="1458"/>
  <c r="H49" i="1458"/>
  <c r="J37" i="1458"/>
  <c r="C14" i="1458"/>
  <c r="K32" i="1458"/>
  <c r="J32" i="1458"/>
  <c r="D32" i="1458"/>
  <c r="C32" i="1458"/>
  <c r="D21" i="1457"/>
  <c r="I30" i="1453"/>
  <c r="H30" i="1453"/>
  <c r="G30" i="1453"/>
  <c r="F30" i="1453"/>
  <c r="E30" i="1453"/>
  <c r="D30" i="1453"/>
  <c r="H28" i="1453"/>
  <c r="I28" i="1453" s="1"/>
  <c r="D33" i="1451"/>
  <c r="D14" i="1451"/>
  <c r="C40" i="1422"/>
  <c r="C39" i="1422"/>
  <c r="C38" i="1422"/>
  <c r="C30" i="1422"/>
  <c r="C43" i="1421"/>
  <c r="C40" i="1421"/>
  <c r="C28" i="1421"/>
  <c r="D7" i="1419"/>
  <c r="F11" i="1419"/>
  <c r="B11" i="1419"/>
  <c r="H26" i="1416"/>
  <c r="H25" i="1416"/>
  <c r="C27" i="1416"/>
  <c r="C115" i="1428"/>
  <c r="C115" i="1427"/>
  <c r="C42" i="1431"/>
  <c r="C42" i="1430"/>
  <c r="C50" i="1431"/>
  <c r="C50" i="1430"/>
  <c r="C130" i="1428"/>
  <c r="C119" i="1428"/>
  <c r="C118" i="1428"/>
  <c r="C116" i="1428"/>
  <c r="C119" i="1427"/>
  <c r="C118" i="1427"/>
  <c r="C116" i="1427"/>
  <c r="C99" i="1428"/>
  <c r="C98" i="1428"/>
  <c r="C97" i="1428"/>
  <c r="C70" i="1428"/>
  <c r="C46" i="1428"/>
  <c r="C43" i="1428"/>
  <c r="C31" i="1428"/>
  <c r="C30" i="1428"/>
  <c r="C24" i="1428"/>
  <c r="C23" i="1428"/>
  <c r="C13" i="1428"/>
  <c r="C130" i="1427"/>
  <c r="C99" i="1427"/>
  <c r="C98" i="1427"/>
  <c r="C97" i="1427"/>
  <c r="C70" i="1427"/>
  <c r="C46" i="1427"/>
  <c r="C43" i="1427"/>
  <c r="C31" i="1427"/>
  <c r="C30" i="1427"/>
  <c r="C24" i="1427"/>
  <c r="C23" i="1427"/>
  <c r="C13" i="1427"/>
  <c r="D124" i="1359"/>
  <c r="D123" i="1359"/>
  <c r="D104" i="1359"/>
  <c r="D103" i="1359"/>
  <c r="D102" i="1359"/>
  <c r="D25" i="1359"/>
  <c r="D135" i="1358"/>
  <c r="C123" i="1358"/>
  <c r="D124" i="1358"/>
  <c r="D123" i="1358"/>
  <c r="D121" i="1358"/>
  <c r="D120" i="1358"/>
  <c r="D104" i="1358"/>
  <c r="D103" i="1358"/>
  <c r="D102" i="1358"/>
  <c r="D32" i="1359"/>
  <c r="D26" i="1359"/>
  <c r="D72" i="1358"/>
  <c r="D48" i="1358"/>
  <c r="D45" i="1358"/>
  <c r="D33" i="1358"/>
  <c r="D32" i="1358"/>
  <c r="D26" i="1358"/>
  <c r="D25" i="1358"/>
  <c r="D15" i="1358"/>
  <c r="D135" i="1357" l="1"/>
  <c r="D124" i="1357"/>
  <c r="D123" i="1357"/>
  <c r="D121" i="1357"/>
  <c r="D120" i="1357"/>
  <c r="D104" i="1357"/>
  <c r="D103" i="1357"/>
  <c r="D102" i="1357"/>
  <c r="D72" i="1357"/>
  <c r="D48" i="1357"/>
  <c r="D45" i="1357"/>
  <c r="D33" i="1357"/>
  <c r="D32" i="1357"/>
  <c r="D26" i="1357"/>
  <c r="D25" i="1357"/>
  <c r="D15" i="1357"/>
  <c r="C18" i="1423" l="1"/>
  <c r="C17" i="1423"/>
  <c r="C16" i="1423"/>
  <c r="C8" i="1423"/>
  <c r="F67" i="1419"/>
  <c r="B67" i="1419"/>
  <c r="B13" i="1450"/>
  <c r="C31" i="1445"/>
  <c r="C30" i="1445"/>
  <c r="C25" i="1445"/>
  <c r="C24" i="1445"/>
  <c r="C54" i="1445"/>
  <c r="C50" i="1445"/>
  <c r="C49" i="1445"/>
  <c r="C48" i="1445"/>
  <c r="C31" i="1443"/>
  <c r="C30" i="1443"/>
  <c r="C25" i="1443"/>
  <c r="C24" i="1443"/>
  <c r="C54" i="1443"/>
  <c r="C50" i="1443"/>
  <c r="C49" i="1443"/>
  <c r="C48" i="1443"/>
  <c r="C42" i="1440"/>
  <c r="C50" i="1440"/>
  <c r="C42" i="1441"/>
  <c r="C50" i="1441"/>
  <c r="A1" i="1357" l="1"/>
  <c r="D15" i="1420" l="1"/>
  <c r="B15" i="1420"/>
  <c r="J56" i="1458"/>
  <c r="K56" i="1458"/>
  <c r="K35" i="1458"/>
  <c r="K22" i="1458"/>
  <c r="K37" i="1458"/>
  <c r="J13" i="1458"/>
  <c r="J46" i="1458"/>
  <c r="J10" i="1458"/>
  <c r="K12" i="1458"/>
  <c r="K47" i="1458" l="1"/>
  <c r="J45" i="1458"/>
  <c r="C35" i="1458"/>
  <c r="I26" i="1455" l="1"/>
  <c r="I20" i="1455"/>
  <c r="K19" i="1455"/>
  <c r="K18" i="1455"/>
  <c r="C23" i="1429"/>
  <c r="C99" i="1429"/>
  <c r="C98" i="1429"/>
  <c r="C97" i="1429"/>
  <c r="C46" i="1456" l="1"/>
  <c r="C26" i="1456"/>
  <c r="C29" i="1456"/>
  <c r="C28" i="1456"/>
  <c r="C32" i="1456"/>
  <c r="C27" i="1456"/>
  <c r="C20" i="1456"/>
  <c r="C8" i="1456"/>
  <c r="A1" i="1448" l="1"/>
  <c r="A1" i="1447"/>
  <c r="E13" i="1443"/>
  <c r="A1" i="1438"/>
  <c r="A1" i="1437"/>
  <c r="A1" i="1435"/>
  <c r="A1" i="1434"/>
  <c r="A1" i="1433"/>
  <c r="A1" i="1431"/>
  <c r="A1" i="1430"/>
  <c r="A1" i="1429"/>
  <c r="A1" i="1422"/>
  <c r="A1" i="1421"/>
  <c r="A1" i="1420"/>
  <c r="J26" i="1455" l="1"/>
  <c r="J24" i="1455"/>
  <c r="G22" i="1455"/>
  <c r="G23" i="1455"/>
  <c r="J22" i="1455"/>
  <c r="H22" i="1455"/>
  <c r="J20" i="1455"/>
  <c r="J19" i="1455"/>
  <c r="J18" i="1455"/>
  <c r="H19" i="1455"/>
  <c r="H18" i="1455"/>
  <c r="I13" i="1455"/>
  <c r="F9" i="1455"/>
  <c r="N8" i="1455"/>
  <c r="M8" i="1455"/>
  <c r="L8" i="1455"/>
  <c r="J8" i="1455"/>
  <c r="D29" i="1451"/>
  <c r="C42" i="1433"/>
  <c r="C50" i="1433"/>
  <c r="C49" i="1433"/>
  <c r="C48" i="1433"/>
  <c r="C49" i="1431"/>
  <c r="C48" i="1431"/>
  <c r="C49" i="1430"/>
  <c r="C48" i="1430"/>
  <c r="C15" i="1428"/>
  <c r="C118" i="1429"/>
  <c r="C113" i="1429"/>
  <c r="C13" i="1429"/>
  <c r="C120" i="1428"/>
  <c r="C108" i="1428"/>
  <c r="C11" i="1428"/>
  <c r="C14" i="1428"/>
  <c r="C10" i="1428"/>
  <c r="C120" i="1427"/>
  <c r="C113" i="1427"/>
  <c r="C108" i="1427"/>
  <c r="C15" i="1427"/>
  <c r="C14" i="1427"/>
  <c r="C11" i="1427"/>
  <c r="C10" i="1427"/>
  <c r="E28" i="1421"/>
  <c r="C39" i="1421"/>
  <c r="C17" i="1422"/>
  <c r="B17" i="1422"/>
  <c r="C6" i="1422"/>
  <c r="F14" i="1420"/>
  <c r="B12" i="1420"/>
  <c r="D12" i="1420"/>
  <c r="E12" i="1420"/>
  <c r="F33" i="1419"/>
  <c r="G33" i="1419" s="1"/>
  <c r="B33" i="1419"/>
  <c r="G31" i="1419"/>
  <c r="F27" i="1419"/>
  <c r="B27" i="1419"/>
  <c r="G37" i="1419"/>
  <c r="C103" i="1360"/>
  <c r="C102" i="1360"/>
  <c r="D125" i="1358"/>
  <c r="D113" i="1358"/>
  <c r="D125" i="1357"/>
  <c r="D118" i="1357"/>
  <c r="D113" i="1357"/>
  <c r="F8" i="1419"/>
  <c r="B8" i="1419"/>
  <c r="E27" i="1460"/>
  <c r="E31" i="1460" s="1"/>
  <c r="E26" i="1460"/>
  <c r="D1" i="1460"/>
  <c r="E35" i="1459"/>
  <c r="E33" i="1459" s="1"/>
  <c r="E37" i="1459" s="1"/>
  <c r="E39" i="1459" s="1"/>
  <c r="D35" i="1459"/>
  <c r="F33" i="1459"/>
  <c r="F37" i="1459" s="1"/>
  <c r="F39" i="1459" s="1"/>
  <c r="D33" i="1459"/>
  <c r="D37" i="1459" s="1"/>
  <c r="D39" i="1459" s="1"/>
  <c r="C33" i="1459"/>
  <c r="C37" i="1459" s="1"/>
  <c r="C39" i="1459" s="1"/>
  <c r="F30" i="1459"/>
  <c r="E30" i="1459"/>
  <c r="D30" i="1459"/>
  <c r="C30" i="1459"/>
  <c r="F29" i="1459"/>
  <c r="F13" i="1459"/>
  <c r="E13" i="1459"/>
  <c r="D13" i="1459"/>
  <c r="C13" i="1459"/>
  <c r="F12" i="1459"/>
  <c r="F24" i="1459" s="1"/>
  <c r="F26" i="1459" s="1"/>
  <c r="E12" i="1459"/>
  <c r="E24" i="1459" s="1"/>
  <c r="E26" i="1459" s="1"/>
  <c r="E40" i="1459" s="1"/>
  <c r="D12" i="1459"/>
  <c r="D24" i="1459" s="1"/>
  <c r="D26" i="1459" s="1"/>
  <c r="D40" i="1459" s="1"/>
  <c r="C12" i="1459"/>
  <c r="C24" i="1459" s="1"/>
  <c r="C26" i="1459" s="1"/>
  <c r="A1" i="1459"/>
  <c r="L61" i="1458"/>
  <c r="O61" i="1458" s="1"/>
  <c r="N60" i="1458"/>
  <c r="N62" i="1458" s="1"/>
  <c r="M60" i="1458"/>
  <c r="M62" i="1458" s="1"/>
  <c r="L60" i="1458"/>
  <c r="F60" i="1458"/>
  <c r="F62" i="1458" s="1"/>
  <c r="O59" i="1458"/>
  <c r="H59" i="1458"/>
  <c r="O58" i="1458"/>
  <c r="E58" i="1458"/>
  <c r="O56" i="1458"/>
  <c r="H56" i="1458"/>
  <c r="J55" i="1458"/>
  <c r="O55" i="1458" s="1"/>
  <c r="H55" i="1458"/>
  <c r="O54" i="1458"/>
  <c r="H54" i="1458"/>
  <c r="O53" i="1458"/>
  <c r="H53" i="1458"/>
  <c r="O52" i="1458"/>
  <c r="H52" i="1458"/>
  <c r="O51" i="1458"/>
  <c r="H51" i="1458"/>
  <c r="J47" i="1458"/>
  <c r="O47" i="1458" s="1"/>
  <c r="H47" i="1458"/>
  <c r="O46" i="1458"/>
  <c r="C46" i="1458"/>
  <c r="H46" i="1458" s="1"/>
  <c r="O45" i="1458"/>
  <c r="C45" i="1458"/>
  <c r="H45" i="1458" s="1"/>
  <c r="O43" i="1458"/>
  <c r="H43" i="1458"/>
  <c r="C43" i="1458"/>
  <c r="K42" i="1458"/>
  <c r="J42" i="1458"/>
  <c r="H42" i="1458"/>
  <c r="O41" i="1458"/>
  <c r="H41" i="1458"/>
  <c r="O40" i="1458"/>
  <c r="H40" i="1458"/>
  <c r="O39" i="1458"/>
  <c r="H39" i="1458"/>
  <c r="O38" i="1458"/>
  <c r="H38" i="1458"/>
  <c r="O37" i="1458"/>
  <c r="H37" i="1458"/>
  <c r="O35" i="1458"/>
  <c r="H35" i="1458"/>
  <c r="J34" i="1458"/>
  <c r="O34" i="1458" s="1"/>
  <c r="H34" i="1458"/>
  <c r="J33" i="1458"/>
  <c r="O33" i="1458" s="1"/>
  <c r="H33" i="1458"/>
  <c r="H32" i="1458"/>
  <c r="O30" i="1458"/>
  <c r="H30" i="1458"/>
  <c r="O29" i="1458"/>
  <c r="H29" i="1458"/>
  <c r="C29" i="1458"/>
  <c r="O28" i="1458"/>
  <c r="H28" i="1458"/>
  <c r="O27" i="1458"/>
  <c r="H27" i="1458"/>
  <c r="O25" i="1458"/>
  <c r="H25" i="1458"/>
  <c r="K24" i="1458"/>
  <c r="J24" i="1458"/>
  <c r="H24" i="1458"/>
  <c r="O23" i="1458"/>
  <c r="H23" i="1458"/>
  <c r="J22" i="1458"/>
  <c r="O22" i="1458" s="1"/>
  <c r="H22" i="1458"/>
  <c r="K60" i="1458"/>
  <c r="K62" i="1458" s="1"/>
  <c r="H21" i="1458"/>
  <c r="J20" i="1458"/>
  <c r="O20" i="1458" s="1"/>
  <c r="H20" i="1458"/>
  <c r="O19" i="1458"/>
  <c r="H19" i="1458"/>
  <c r="J17" i="1458"/>
  <c r="O17" i="1458" s="1"/>
  <c r="H17" i="1458"/>
  <c r="O15" i="1458"/>
  <c r="G15" i="1458"/>
  <c r="G60" i="1458" s="1"/>
  <c r="G62" i="1458" s="1"/>
  <c r="J14" i="1458"/>
  <c r="J60" i="1458" s="1"/>
  <c r="J62" i="1458" s="1"/>
  <c r="H14" i="1458"/>
  <c r="O13" i="1458"/>
  <c r="I13" i="1458"/>
  <c r="I60" i="1458" s="1"/>
  <c r="I62" i="1458" s="1"/>
  <c r="I63" i="1458" s="1"/>
  <c r="C13" i="1458"/>
  <c r="H13" i="1458" s="1"/>
  <c r="O12" i="1458"/>
  <c r="D12" i="1458"/>
  <c r="D60" i="1458" s="1"/>
  <c r="D62" i="1458" s="1"/>
  <c r="C12" i="1458"/>
  <c r="O11" i="1458"/>
  <c r="H11" i="1458"/>
  <c r="O10" i="1458"/>
  <c r="C10" i="1458"/>
  <c r="D24" i="1457"/>
  <c r="D11" i="1457"/>
  <c r="D10" i="1457"/>
  <c r="C48" i="1456"/>
  <c r="C36" i="1456"/>
  <c r="C25" i="1456"/>
  <c r="C16" i="1456"/>
  <c r="C19" i="1456" s="1"/>
  <c r="C49" i="1456" s="1"/>
  <c r="C27" i="1455"/>
  <c r="O27" i="1455" s="1"/>
  <c r="H26" i="1455"/>
  <c r="G26" i="1455"/>
  <c r="F26" i="1455"/>
  <c r="E26" i="1455"/>
  <c r="C26" i="1455"/>
  <c r="O26" i="1455" s="1"/>
  <c r="O25" i="1455"/>
  <c r="O24" i="1455"/>
  <c r="H24" i="1455"/>
  <c r="N23" i="1455"/>
  <c r="H23" i="1455"/>
  <c r="E22" i="1455"/>
  <c r="O22" i="1455" s="1"/>
  <c r="O21" i="1455"/>
  <c r="H20" i="1455"/>
  <c r="G20" i="1455"/>
  <c r="F20" i="1455"/>
  <c r="O20" i="1455" s="1"/>
  <c r="E20" i="1455"/>
  <c r="I19" i="1455"/>
  <c r="G19" i="1455"/>
  <c r="F19" i="1455"/>
  <c r="E19" i="1455"/>
  <c r="D19" i="1455"/>
  <c r="M28" i="1455"/>
  <c r="K28" i="1455"/>
  <c r="I18" i="1455"/>
  <c r="G18" i="1455"/>
  <c r="G28" i="1455" s="1"/>
  <c r="F18" i="1455"/>
  <c r="E18" i="1455"/>
  <c r="E28" i="1455" s="1"/>
  <c r="D18" i="1455"/>
  <c r="Q17" i="1455"/>
  <c r="L16" i="1455"/>
  <c r="J16" i="1455"/>
  <c r="N16" i="1455"/>
  <c r="C15" i="1455"/>
  <c r="C16" i="1455" s="1"/>
  <c r="O14" i="1455"/>
  <c r="D13" i="1455"/>
  <c r="O13" i="1455" s="1"/>
  <c r="O12" i="1455"/>
  <c r="I11" i="1455"/>
  <c r="I16" i="1455" s="1"/>
  <c r="G11" i="1455"/>
  <c r="F11" i="1455"/>
  <c r="E11" i="1455"/>
  <c r="D11" i="1455"/>
  <c r="O11" i="1455" s="1"/>
  <c r="K10" i="1455"/>
  <c r="E10" i="1455"/>
  <c r="O10" i="1455" s="1"/>
  <c r="O9" i="1455"/>
  <c r="F8" i="1455"/>
  <c r="O8" i="1455" s="1"/>
  <c r="M16" i="1455"/>
  <c r="K16" i="1455"/>
  <c r="H7" i="1455"/>
  <c r="H16" i="1455" s="1"/>
  <c r="G7" i="1455"/>
  <c r="G16" i="1455" s="1"/>
  <c r="F7" i="1455"/>
  <c r="F16" i="1455" s="1"/>
  <c r="E7" i="1455"/>
  <c r="D7" i="1455"/>
  <c r="D11" i="1454"/>
  <c r="D32" i="1454" s="1"/>
  <c r="C11" i="1454"/>
  <c r="C32" i="1454" s="1"/>
  <c r="A1" i="1454"/>
  <c r="I27" i="1453"/>
  <c r="I26" i="1453"/>
  <c r="I25" i="1453"/>
  <c r="I24" i="1453"/>
  <c r="I23" i="1453"/>
  <c r="I22" i="1453"/>
  <c r="I21" i="1453"/>
  <c r="I20" i="1453"/>
  <c r="I19" i="1453"/>
  <c r="I18" i="1453"/>
  <c r="I17" i="1453"/>
  <c r="I16" i="1453"/>
  <c r="I15" i="1453"/>
  <c r="I14" i="1453"/>
  <c r="I13" i="1453"/>
  <c r="I12" i="1453"/>
  <c r="I11" i="1453"/>
  <c r="K151" i="1452"/>
  <c r="J151" i="1452"/>
  <c r="I151" i="1452"/>
  <c r="G151" i="1452"/>
  <c r="F151" i="1452"/>
  <c r="E151" i="1452"/>
  <c r="D151" i="1452"/>
  <c r="C151" i="1452"/>
  <c r="I148" i="1452"/>
  <c r="I146" i="1452" s="1"/>
  <c r="K146" i="1452"/>
  <c r="J146" i="1452"/>
  <c r="G146" i="1452"/>
  <c r="F146" i="1452"/>
  <c r="E146" i="1452"/>
  <c r="D146" i="1452"/>
  <c r="C146" i="1452"/>
  <c r="K139" i="1452"/>
  <c r="J139" i="1452"/>
  <c r="I139" i="1452"/>
  <c r="G139" i="1452"/>
  <c r="F139" i="1452"/>
  <c r="E139" i="1452"/>
  <c r="D139" i="1452"/>
  <c r="C139" i="1452"/>
  <c r="I136" i="1452"/>
  <c r="K135" i="1452"/>
  <c r="K159" i="1452" s="1"/>
  <c r="J135" i="1452"/>
  <c r="J159" i="1452" s="1"/>
  <c r="I135" i="1452"/>
  <c r="D135" i="1452"/>
  <c r="C135" i="1452"/>
  <c r="C159" i="1452" s="1"/>
  <c r="I133" i="1452"/>
  <c r="J125" i="1452"/>
  <c r="I125" i="1452"/>
  <c r="D125" i="1452"/>
  <c r="C125" i="1452"/>
  <c r="I124" i="1452"/>
  <c r="I123" i="1452"/>
  <c r="I122" i="1452"/>
  <c r="K121" i="1452"/>
  <c r="J121" i="1452"/>
  <c r="I121" i="1452"/>
  <c r="K120" i="1452"/>
  <c r="J120" i="1452"/>
  <c r="I120" i="1452"/>
  <c r="D120" i="1452"/>
  <c r="C120" i="1452"/>
  <c r="I119" i="1452"/>
  <c r="J117" i="1452"/>
  <c r="I117" i="1452"/>
  <c r="I116" i="1452"/>
  <c r="I111" i="1452"/>
  <c r="J104" i="1452"/>
  <c r="I104" i="1452"/>
  <c r="G104" i="1452"/>
  <c r="F104" i="1452"/>
  <c r="E104" i="1452"/>
  <c r="D104" i="1452"/>
  <c r="C104" i="1452"/>
  <c r="C99" i="1452" s="1"/>
  <c r="I103" i="1452"/>
  <c r="K102" i="1452"/>
  <c r="J102" i="1452"/>
  <c r="I102" i="1452"/>
  <c r="K101" i="1452"/>
  <c r="J101" i="1452"/>
  <c r="I101" i="1452"/>
  <c r="K100" i="1452"/>
  <c r="K99" i="1452" s="1"/>
  <c r="K134" i="1452" s="1"/>
  <c r="J100" i="1452"/>
  <c r="I100" i="1452"/>
  <c r="J99" i="1452"/>
  <c r="J134" i="1452" s="1"/>
  <c r="J160" i="1452" s="1"/>
  <c r="D99" i="1452"/>
  <c r="H97" i="1452"/>
  <c r="G97" i="1452"/>
  <c r="F97" i="1452"/>
  <c r="E97" i="1452"/>
  <c r="D97" i="1452"/>
  <c r="C97" i="1452"/>
  <c r="H96" i="1452"/>
  <c r="K85" i="1452"/>
  <c r="J85" i="1452"/>
  <c r="I85" i="1452"/>
  <c r="G85" i="1452"/>
  <c r="F85" i="1452"/>
  <c r="E85" i="1452"/>
  <c r="D85" i="1452"/>
  <c r="D92" i="1452" s="1"/>
  <c r="C85" i="1452"/>
  <c r="K81" i="1452"/>
  <c r="J81" i="1452"/>
  <c r="I81" i="1452"/>
  <c r="G81" i="1452"/>
  <c r="F81" i="1452"/>
  <c r="E81" i="1452"/>
  <c r="D81" i="1452"/>
  <c r="C81" i="1452"/>
  <c r="K79" i="1452"/>
  <c r="K78" i="1452" s="1"/>
  <c r="J79" i="1452"/>
  <c r="I79" i="1452"/>
  <c r="I78" i="1452" s="1"/>
  <c r="J78" i="1452"/>
  <c r="G78" i="1452"/>
  <c r="F78" i="1452"/>
  <c r="E78" i="1452"/>
  <c r="D78" i="1452"/>
  <c r="C78" i="1452"/>
  <c r="K73" i="1452"/>
  <c r="J73" i="1452"/>
  <c r="J92" i="1452" s="1"/>
  <c r="I73" i="1452"/>
  <c r="G73" i="1452"/>
  <c r="F73" i="1452"/>
  <c r="E73" i="1452"/>
  <c r="D73" i="1452"/>
  <c r="C73" i="1452"/>
  <c r="I70" i="1452"/>
  <c r="K69" i="1452"/>
  <c r="J69" i="1452"/>
  <c r="I69" i="1452"/>
  <c r="G69" i="1452"/>
  <c r="F69" i="1452"/>
  <c r="E69" i="1452"/>
  <c r="D69" i="1452"/>
  <c r="C69" i="1452"/>
  <c r="K63" i="1452"/>
  <c r="J63" i="1452"/>
  <c r="I63" i="1452"/>
  <c r="G63" i="1452"/>
  <c r="F63" i="1452"/>
  <c r="E63" i="1452"/>
  <c r="D63" i="1452"/>
  <c r="C63" i="1452"/>
  <c r="I61" i="1452"/>
  <c r="E61" i="1452"/>
  <c r="I60" i="1452"/>
  <c r="E60" i="1452"/>
  <c r="K58" i="1452"/>
  <c r="J58" i="1452"/>
  <c r="G58" i="1452"/>
  <c r="F58" i="1452"/>
  <c r="D58" i="1452"/>
  <c r="C58" i="1452"/>
  <c r="J55" i="1452"/>
  <c r="J52" i="1452" s="1"/>
  <c r="I54" i="1452"/>
  <c r="I52" i="1452" s="1"/>
  <c r="E54" i="1452"/>
  <c r="E52" i="1452" s="1"/>
  <c r="K52" i="1452"/>
  <c r="G52" i="1452"/>
  <c r="F52" i="1452"/>
  <c r="D52" i="1452"/>
  <c r="C52" i="1452"/>
  <c r="J51" i="1452"/>
  <c r="I51" i="1452"/>
  <c r="E51" i="1452"/>
  <c r="I50" i="1452"/>
  <c r="E50" i="1452"/>
  <c r="K47" i="1452"/>
  <c r="K46" i="1452"/>
  <c r="J46" i="1452"/>
  <c r="I46" i="1452"/>
  <c r="E46" i="1452"/>
  <c r="K45" i="1452"/>
  <c r="G45" i="1452"/>
  <c r="G40" i="1452" s="1"/>
  <c r="I44" i="1452"/>
  <c r="E44" i="1452"/>
  <c r="K43" i="1452"/>
  <c r="J43" i="1452"/>
  <c r="I43" i="1452"/>
  <c r="E43" i="1452"/>
  <c r="K42" i="1452"/>
  <c r="J42" i="1452"/>
  <c r="I42" i="1452"/>
  <c r="E42" i="1452"/>
  <c r="I41" i="1452"/>
  <c r="I40" i="1452" s="1"/>
  <c r="E41" i="1452"/>
  <c r="E40" i="1452" s="1"/>
  <c r="J40" i="1452"/>
  <c r="F40" i="1452"/>
  <c r="D40" i="1452"/>
  <c r="C40" i="1452"/>
  <c r="I39" i="1452"/>
  <c r="I37" i="1452"/>
  <c r="E37" i="1452"/>
  <c r="C36" i="1452"/>
  <c r="I35" i="1452"/>
  <c r="E35" i="1452"/>
  <c r="C35" i="1452"/>
  <c r="C33" i="1452" s="1"/>
  <c r="C32" i="1452" s="1"/>
  <c r="I34" i="1452"/>
  <c r="E34" i="1452"/>
  <c r="E33" i="1452" s="1"/>
  <c r="E32" i="1452" s="1"/>
  <c r="C34" i="1452"/>
  <c r="K33" i="1452"/>
  <c r="K32" i="1452" s="1"/>
  <c r="J33" i="1452"/>
  <c r="I33" i="1452"/>
  <c r="I32" i="1452" s="1"/>
  <c r="D33" i="1452"/>
  <c r="D32" i="1452" s="1"/>
  <c r="J32" i="1452"/>
  <c r="G32" i="1452"/>
  <c r="F32" i="1452"/>
  <c r="I31" i="1452"/>
  <c r="I30" i="1452"/>
  <c r="I25" i="1452" s="1"/>
  <c r="E30" i="1452"/>
  <c r="E25" i="1452" s="1"/>
  <c r="K25" i="1452"/>
  <c r="J25" i="1452"/>
  <c r="G25" i="1452"/>
  <c r="F25" i="1452"/>
  <c r="D25" i="1452"/>
  <c r="C25" i="1452"/>
  <c r="I24" i="1452"/>
  <c r="D24" i="1452"/>
  <c r="I23" i="1452"/>
  <c r="E23" i="1452"/>
  <c r="K18" i="1452"/>
  <c r="J18" i="1452"/>
  <c r="I18" i="1452"/>
  <c r="G18" i="1452"/>
  <c r="F18" i="1452"/>
  <c r="E18" i="1452"/>
  <c r="D18" i="1452"/>
  <c r="C18" i="1452"/>
  <c r="I16" i="1452"/>
  <c r="E16" i="1452"/>
  <c r="I15" i="1452"/>
  <c r="E15" i="1452"/>
  <c r="I12" i="1452"/>
  <c r="I9" i="1452" s="1"/>
  <c r="E12" i="1452"/>
  <c r="E9" i="1452" s="1"/>
  <c r="K9" i="1452"/>
  <c r="J9" i="1452"/>
  <c r="J68" i="1452" s="1"/>
  <c r="J93" i="1452" s="1"/>
  <c r="G9" i="1452"/>
  <c r="F9" i="1452"/>
  <c r="F68" i="1452" s="1"/>
  <c r="D9" i="1452"/>
  <c r="C9" i="1452"/>
  <c r="D31" i="1451"/>
  <c r="D21" i="1451"/>
  <c r="D20" i="1451"/>
  <c r="D16" i="1451"/>
  <c r="D35" i="1451" s="1"/>
  <c r="I16" i="1450"/>
  <c r="H16" i="1450"/>
  <c r="J15" i="1450"/>
  <c r="J16" i="1450" s="1"/>
  <c r="G15" i="1450"/>
  <c r="G16" i="1450" s="1"/>
  <c r="K14" i="1450"/>
  <c r="D14" i="1450"/>
  <c r="C14" i="1450"/>
  <c r="K13" i="1450"/>
  <c r="C13" i="1450" s="1"/>
  <c r="K12" i="1450"/>
  <c r="C12" i="1450"/>
  <c r="D12" i="1450" s="1"/>
  <c r="K11" i="1450"/>
  <c r="D11" i="1450"/>
  <c r="C11" i="1450"/>
  <c r="K10" i="1450"/>
  <c r="C10" i="1450" s="1"/>
  <c r="C52" i="1449"/>
  <c r="C46" i="1449"/>
  <c r="C38" i="1449"/>
  <c r="C31" i="1449"/>
  <c r="C27" i="1449"/>
  <c r="C21" i="1449"/>
  <c r="C9" i="1449"/>
  <c r="C37" i="1449" s="1"/>
  <c r="A1" i="1449"/>
  <c r="C53" i="1448"/>
  <c r="E53" i="1447" s="1"/>
  <c r="C50" i="1448"/>
  <c r="C49" i="1448"/>
  <c r="E49" i="1447" s="1"/>
  <c r="C48" i="1448"/>
  <c r="C47" i="1448"/>
  <c r="C59" i="1448" s="1"/>
  <c r="E59" i="1447" s="1"/>
  <c r="C42" i="1448"/>
  <c r="C39" i="1448" s="1"/>
  <c r="E39" i="1447" s="1"/>
  <c r="C32" i="1448"/>
  <c r="C27" i="1448"/>
  <c r="C21" i="1448"/>
  <c r="C14" i="1448"/>
  <c r="C9" i="1448" s="1"/>
  <c r="E61" i="1447"/>
  <c r="F61" i="1447" s="1"/>
  <c r="E60" i="1447"/>
  <c r="F60" i="1447" s="1"/>
  <c r="F57" i="1447"/>
  <c r="E57" i="1447"/>
  <c r="F56" i="1447"/>
  <c r="E56" i="1447"/>
  <c r="F55" i="1447"/>
  <c r="E55" i="1447"/>
  <c r="F54" i="1447"/>
  <c r="E54" i="1447"/>
  <c r="C53" i="1447"/>
  <c r="E52" i="1447"/>
  <c r="F52" i="1447" s="1"/>
  <c r="E51" i="1447"/>
  <c r="F51" i="1447" s="1"/>
  <c r="E50" i="1447"/>
  <c r="C50" i="1447"/>
  <c r="F50" i="1447" s="1"/>
  <c r="C49" i="1447"/>
  <c r="F49" i="1447" s="1"/>
  <c r="E48" i="1447"/>
  <c r="C48" i="1447"/>
  <c r="C47" i="1447"/>
  <c r="C59" i="1447" s="1"/>
  <c r="E46" i="1447"/>
  <c r="F46" i="1447" s="1"/>
  <c r="E45" i="1447"/>
  <c r="F45" i="1447" s="1"/>
  <c r="E44" i="1447"/>
  <c r="F44" i="1447" s="1"/>
  <c r="C42" i="1447"/>
  <c r="C39" i="1447" s="1"/>
  <c r="F39" i="1447" s="1"/>
  <c r="E41" i="1447"/>
  <c r="F41" i="1447" s="1"/>
  <c r="E40" i="1447"/>
  <c r="F40" i="1447" s="1"/>
  <c r="E36" i="1447"/>
  <c r="F36" i="1447" s="1"/>
  <c r="E35" i="1447"/>
  <c r="F35" i="1447" s="1"/>
  <c r="E34" i="1447"/>
  <c r="F34" i="1447" s="1"/>
  <c r="E33" i="1447"/>
  <c r="F33" i="1447" s="1"/>
  <c r="E32" i="1447"/>
  <c r="C32" i="1447"/>
  <c r="F32" i="1447" s="1"/>
  <c r="E31" i="1447"/>
  <c r="F31" i="1447" s="1"/>
  <c r="E30" i="1447"/>
  <c r="F30" i="1447" s="1"/>
  <c r="E29" i="1447"/>
  <c r="F29" i="1447" s="1"/>
  <c r="E28" i="1447"/>
  <c r="F28" i="1447" s="1"/>
  <c r="E27" i="1447"/>
  <c r="C27" i="1447"/>
  <c r="F27" i="1447" s="1"/>
  <c r="E26" i="1447"/>
  <c r="F26" i="1447" s="1"/>
  <c r="E25" i="1447"/>
  <c r="F25" i="1447" s="1"/>
  <c r="E24" i="1447"/>
  <c r="F24" i="1447" s="1"/>
  <c r="E23" i="1447"/>
  <c r="F23" i="1447" s="1"/>
  <c r="E22" i="1447"/>
  <c r="F22" i="1447" s="1"/>
  <c r="E21" i="1447"/>
  <c r="C21" i="1447"/>
  <c r="F20" i="1447"/>
  <c r="E20" i="1447"/>
  <c r="F19" i="1447"/>
  <c r="E19" i="1447"/>
  <c r="F18" i="1447"/>
  <c r="E18" i="1447"/>
  <c r="F17" i="1447"/>
  <c r="E17" i="1447"/>
  <c r="F16" i="1447"/>
  <c r="E16" i="1447"/>
  <c r="F15" i="1447"/>
  <c r="E15" i="1447"/>
  <c r="E14" i="1447"/>
  <c r="C14" i="1447"/>
  <c r="C9" i="1447" s="1"/>
  <c r="E13" i="1447"/>
  <c r="F13" i="1447" s="1"/>
  <c r="E12" i="1447"/>
  <c r="F12" i="1447" s="1"/>
  <c r="E11" i="1447"/>
  <c r="F11" i="1447" s="1"/>
  <c r="E10" i="1447"/>
  <c r="F10" i="1447" s="1"/>
  <c r="C53" i="1446"/>
  <c r="C49" i="1446"/>
  <c r="C48" i="1446"/>
  <c r="C47" i="1446" s="1"/>
  <c r="C59" i="1446" s="1"/>
  <c r="C39" i="1446"/>
  <c r="C32" i="1446"/>
  <c r="C27" i="1446"/>
  <c r="C21" i="1446"/>
  <c r="C9" i="1446"/>
  <c r="A1" i="1446"/>
  <c r="C53" i="1445"/>
  <c r="C47" i="1445"/>
  <c r="C59" i="1445" s="1"/>
  <c r="C42" i="1445"/>
  <c r="C39" i="1445"/>
  <c r="C32" i="1445"/>
  <c r="C27" i="1445"/>
  <c r="E27" i="1443" s="1"/>
  <c r="C21" i="1445"/>
  <c r="E21" i="1443" s="1"/>
  <c r="C9" i="1445"/>
  <c r="C53" i="1444"/>
  <c r="E53" i="1443" s="1"/>
  <c r="C50" i="1444"/>
  <c r="C49" i="1444"/>
  <c r="E49" i="1443" s="1"/>
  <c r="C48" i="1444"/>
  <c r="C47" i="1444" s="1"/>
  <c r="C59" i="1444" s="1"/>
  <c r="C42" i="1444"/>
  <c r="E42" i="1443" s="1"/>
  <c r="C40" i="1444"/>
  <c r="C39" i="1444"/>
  <c r="E39" i="1443" s="1"/>
  <c r="C32" i="1444"/>
  <c r="C27" i="1444"/>
  <c r="C21" i="1444"/>
  <c r="C9" i="1444"/>
  <c r="C38" i="1444" s="1"/>
  <c r="E64" i="1443"/>
  <c r="F64" i="1443" s="1"/>
  <c r="E63" i="1443"/>
  <c r="F63" i="1443" s="1"/>
  <c r="E61" i="1443"/>
  <c r="F61" i="1443" s="1"/>
  <c r="E60" i="1443"/>
  <c r="F60" i="1443" s="1"/>
  <c r="E58" i="1443"/>
  <c r="F58" i="1443" s="1"/>
  <c r="E57" i="1443"/>
  <c r="F57" i="1443" s="1"/>
  <c r="E56" i="1443"/>
  <c r="F56" i="1443" s="1"/>
  <c r="E55" i="1443"/>
  <c r="F55" i="1443" s="1"/>
  <c r="E54" i="1443"/>
  <c r="F54" i="1443" s="1"/>
  <c r="C53" i="1443"/>
  <c r="E52" i="1443"/>
  <c r="F52" i="1443" s="1"/>
  <c r="E51" i="1443"/>
  <c r="F51" i="1443" s="1"/>
  <c r="E50" i="1443"/>
  <c r="F49" i="1443"/>
  <c r="E48" i="1443"/>
  <c r="F48" i="1443"/>
  <c r="E46" i="1443"/>
  <c r="F46" i="1443" s="1"/>
  <c r="E45" i="1443"/>
  <c r="F45" i="1443" s="1"/>
  <c r="E44" i="1443"/>
  <c r="F44" i="1443" s="1"/>
  <c r="C42" i="1443"/>
  <c r="F42" i="1443" s="1"/>
  <c r="E41" i="1443"/>
  <c r="F41" i="1443" s="1"/>
  <c r="E40" i="1443"/>
  <c r="C40" i="1443"/>
  <c r="F40" i="1443" s="1"/>
  <c r="F37" i="1443"/>
  <c r="E37" i="1443"/>
  <c r="F36" i="1443"/>
  <c r="E36" i="1443"/>
  <c r="F35" i="1443"/>
  <c r="E35" i="1443"/>
  <c r="F34" i="1443"/>
  <c r="E34" i="1443"/>
  <c r="F33" i="1443"/>
  <c r="E33" i="1443"/>
  <c r="E32" i="1443"/>
  <c r="C32" i="1443"/>
  <c r="E31" i="1443"/>
  <c r="F31" i="1443" s="1"/>
  <c r="E30" i="1443"/>
  <c r="F30" i="1443" s="1"/>
  <c r="E29" i="1443"/>
  <c r="F29" i="1443" s="1"/>
  <c r="E28" i="1443"/>
  <c r="F28" i="1443" s="1"/>
  <c r="C27" i="1443"/>
  <c r="F26" i="1443"/>
  <c r="E26" i="1443"/>
  <c r="E25" i="1443"/>
  <c r="E24" i="1443"/>
  <c r="F23" i="1443"/>
  <c r="E23" i="1443"/>
  <c r="F22" i="1443"/>
  <c r="E22" i="1443"/>
  <c r="C21" i="1443"/>
  <c r="E20" i="1443"/>
  <c r="F20" i="1443" s="1"/>
  <c r="E19" i="1443"/>
  <c r="F19" i="1443" s="1"/>
  <c r="E18" i="1443"/>
  <c r="F18" i="1443" s="1"/>
  <c r="E17" i="1443"/>
  <c r="F17" i="1443" s="1"/>
  <c r="E16" i="1443"/>
  <c r="F16" i="1443" s="1"/>
  <c r="E15" i="1443"/>
  <c r="F15" i="1443" s="1"/>
  <c r="E14" i="1443"/>
  <c r="F14" i="1443" s="1"/>
  <c r="F13" i="1443"/>
  <c r="E12" i="1443"/>
  <c r="F12" i="1443" s="1"/>
  <c r="E11" i="1443"/>
  <c r="F11" i="1443" s="1"/>
  <c r="E10" i="1443"/>
  <c r="F10" i="1443" s="1"/>
  <c r="E9" i="1443"/>
  <c r="C9" i="1443"/>
  <c r="C38" i="1443" s="1"/>
  <c r="C53" i="1442"/>
  <c r="C47" i="1442"/>
  <c r="C59" i="1442" s="1"/>
  <c r="C39" i="1442"/>
  <c r="C32" i="1442"/>
  <c r="C27" i="1442"/>
  <c r="C21" i="1442"/>
  <c r="C9" i="1442"/>
  <c r="A1" i="1442"/>
  <c r="C53" i="1441"/>
  <c r="E50" i="1440"/>
  <c r="C48" i="1441"/>
  <c r="C47" i="1441"/>
  <c r="C59" i="1441" s="1"/>
  <c r="E59" i="1440" s="1"/>
  <c r="C39" i="1441"/>
  <c r="E39" i="1440" s="1"/>
  <c r="C32" i="1441"/>
  <c r="C27" i="1441"/>
  <c r="C21" i="1441"/>
  <c r="C15" i="1441"/>
  <c r="C14" i="1441"/>
  <c r="C9" i="1441" s="1"/>
  <c r="F61" i="1440"/>
  <c r="E61" i="1440"/>
  <c r="F60" i="1440"/>
  <c r="E60" i="1440"/>
  <c r="E58" i="1440"/>
  <c r="F58" i="1440" s="1"/>
  <c r="E57" i="1440"/>
  <c r="F57" i="1440" s="1"/>
  <c r="E56" i="1440"/>
  <c r="F56" i="1440" s="1"/>
  <c r="E55" i="1440"/>
  <c r="F55" i="1440" s="1"/>
  <c r="E54" i="1440"/>
  <c r="F54" i="1440" s="1"/>
  <c r="E53" i="1440"/>
  <c r="C53" i="1440"/>
  <c r="F52" i="1440"/>
  <c r="E52" i="1440"/>
  <c r="F51" i="1440"/>
  <c r="E51" i="1440"/>
  <c r="F50" i="1440"/>
  <c r="C47" i="1440"/>
  <c r="C59" i="1440" s="1"/>
  <c r="E49" i="1440"/>
  <c r="F49" i="1440" s="1"/>
  <c r="E48" i="1440"/>
  <c r="F48" i="1440" s="1"/>
  <c r="E47" i="1440"/>
  <c r="E46" i="1440"/>
  <c r="F46" i="1440" s="1"/>
  <c r="E45" i="1440"/>
  <c r="F45" i="1440" s="1"/>
  <c r="E44" i="1440"/>
  <c r="F44" i="1440" s="1"/>
  <c r="E42" i="1440"/>
  <c r="E41" i="1440"/>
  <c r="F41" i="1440" s="1"/>
  <c r="E40" i="1440"/>
  <c r="F40" i="1440" s="1"/>
  <c r="F37" i="1440"/>
  <c r="E37" i="1440"/>
  <c r="F36" i="1440"/>
  <c r="E36" i="1440"/>
  <c r="F35" i="1440"/>
  <c r="E35" i="1440"/>
  <c r="F34" i="1440"/>
  <c r="E34" i="1440"/>
  <c r="F33" i="1440"/>
  <c r="E33" i="1440"/>
  <c r="E32" i="1440"/>
  <c r="C32" i="1440"/>
  <c r="E31" i="1440"/>
  <c r="F31" i="1440" s="1"/>
  <c r="E30" i="1440"/>
  <c r="F30" i="1440" s="1"/>
  <c r="E29" i="1440"/>
  <c r="F29" i="1440" s="1"/>
  <c r="E28" i="1440"/>
  <c r="F28" i="1440" s="1"/>
  <c r="E27" i="1440"/>
  <c r="C27" i="1440"/>
  <c r="F27" i="1440" s="1"/>
  <c r="E26" i="1440"/>
  <c r="F26" i="1440" s="1"/>
  <c r="E25" i="1440"/>
  <c r="F25" i="1440" s="1"/>
  <c r="E24" i="1440"/>
  <c r="F24" i="1440" s="1"/>
  <c r="E23" i="1440"/>
  <c r="F23" i="1440" s="1"/>
  <c r="E22" i="1440"/>
  <c r="F22" i="1440" s="1"/>
  <c r="E21" i="1440"/>
  <c r="C21" i="1440"/>
  <c r="F21" i="1440" s="1"/>
  <c r="E20" i="1440"/>
  <c r="F20" i="1440" s="1"/>
  <c r="E19" i="1440"/>
  <c r="F19" i="1440" s="1"/>
  <c r="E18" i="1440"/>
  <c r="F18" i="1440" s="1"/>
  <c r="E17" i="1440"/>
  <c r="F17" i="1440" s="1"/>
  <c r="E16" i="1440"/>
  <c r="F16" i="1440" s="1"/>
  <c r="E15" i="1440"/>
  <c r="C15" i="1440"/>
  <c r="F15" i="1440" s="1"/>
  <c r="E14" i="1440"/>
  <c r="C14" i="1440"/>
  <c r="F14" i="1440" s="1"/>
  <c r="E13" i="1440"/>
  <c r="F13" i="1440" s="1"/>
  <c r="E12" i="1440"/>
  <c r="F12" i="1440" s="1"/>
  <c r="E11" i="1440"/>
  <c r="F11" i="1440" s="1"/>
  <c r="E10" i="1440"/>
  <c r="F10" i="1440" s="1"/>
  <c r="C53" i="1439"/>
  <c r="C47" i="1439"/>
  <c r="C59" i="1439" s="1"/>
  <c r="C39" i="1439"/>
  <c r="C32" i="1439"/>
  <c r="C27" i="1439"/>
  <c r="C21" i="1439"/>
  <c r="C9" i="1439"/>
  <c r="C38" i="1439" s="1"/>
  <c r="C43" i="1439" s="1"/>
  <c r="A1" i="1439"/>
  <c r="C54" i="1438"/>
  <c r="C53" i="1438"/>
  <c r="C50" i="1438"/>
  <c r="C48" i="1438"/>
  <c r="C47" i="1438" s="1"/>
  <c r="C42" i="1438"/>
  <c r="C39" i="1438"/>
  <c r="C32" i="1438"/>
  <c r="C27" i="1438"/>
  <c r="C21" i="1438"/>
  <c r="C9" i="1438"/>
  <c r="C38" i="1438" s="1"/>
  <c r="E61" i="1437"/>
  <c r="F61" i="1437" s="1"/>
  <c r="E60" i="1437"/>
  <c r="F60" i="1437" s="1"/>
  <c r="E58" i="1437"/>
  <c r="F58" i="1437" s="1"/>
  <c r="E57" i="1437"/>
  <c r="F57" i="1437" s="1"/>
  <c r="E56" i="1437"/>
  <c r="F56" i="1437" s="1"/>
  <c r="E55" i="1437"/>
  <c r="F55" i="1437" s="1"/>
  <c r="E54" i="1437"/>
  <c r="C54" i="1437"/>
  <c r="F54" i="1437" s="1"/>
  <c r="E53" i="1437"/>
  <c r="F52" i="1437"/>
  <c r="E52" i="1437"/>
  <c r="F51" i="1437"/>
  <c r="E51" i="1437"/>
  <c r="E50" i="1437"/>
  <c r="C50" i="1437"/>
  <c r="E49" i="1437"/>
  <c r="F49" i="1437" s="1"/>
  <c r="E48" i="1437"/>
  <c r="C48" i="1437"/>
  <c r="F48" i="1437" s="1"/>
  <c r="E46" i="1437"/>
  <c r="F46" i="1437" s="1"/>
  <c r="E45" i="1437"/>
  <c r="F45" i="1437" s="1"/>
  <c r="E44" i="1437"/>
  <c r="F44" i="1437" s="1"/>
  <c r="E42" i="1437"/>
  <c r="C42" i="1437"/>
  <c r="F42" i="1437" s="1"/>
  <c r="E41" i="1437"/>
  <c r="F41" i="1437" s="1"/>
  <c r="E40" i="1437"/>
  <c r="F40" i="1437" s="1"/>
  <c r="E39" i="1437"/>
  <c r="E37" i="1437"/>
  <c r="F37" i="1437" s="1"/>
  <c r="E36" i="1437"/>
  <c r="F36" i="1437" s="1"/>
  <c r="E35" i="1437"/>
  <c r="F35" i="1437" s="1"/>
  <c r="E34" i="1437"/>
  <c r="F34" i="1437" s="1"/>
  <c r="E33" i="1437"/>
  <c r="F33" i="1437" s="1"/>
  <c r="E32" i="1437"/>
  <c r="C32" i="1437"/>
  <c r="F32" i="1437" s="1"/>
  <c r="E31" i="1437"/>
  <c r="F31" i="1437" s="1"/>
  <c r="E30" i="1437"/>
  <c r="F30" i="1437" s="1"/>
  <c r="E29" i="1437"/>
  <c r="F29" i="1437" s="1"/>
  <c r="E28" i="1437"/>
  <c r="F28" i="1437" s="1"/>
  <c r="C27" i="1437"/>
  <c r="E26" i="1437"/>
  <c r="F26" i="1437" s="1"/>
  <c r="E25" i="1437"/>
  <c r="F25" i="1437" s="1"/>
  <c r="E24" i="1437"/>
  <c r="F24" i="1437" s="1"/>
  <c r="E23" i="1437"/>
  <c r="F23" i="1437" s="1"/>
  <c r="E22" i="1437"/>
  <c r="F22" i="1437" s="1"/>
  <c r="E21" i="1437"/>
  <c r="C21" i="1437"/>
  <c r="F21" i="1437" s="1"/>
  <c r="E20" i="1437"/>
  <c r="F20" i="1437" s="1"/>
  <c r="E19" i="1437"/>
  <c r="F19" i="1437" s="1"/>
  <c r="E18" i="1437"/>
  <c r="F18" i="1437" s="1"/>
  <c r="E17" i="1437"/>
  <c r="F17" i="1437" s="1"/>
  <c r="E16" i="1437"/>
  <c r="F16" i="1437" s="1"/>
  <c r="E15" i="1437"/>
  <c r="F15" i="1437" s="1"/>
  <c r="E14" i="1437"/>
  <c r="F14" i="1437" s="1"/>
  <c r="E13" i="1437"/>
  <c r="F13" i="1437" s="1"/>
  <c r="E12" i="1437"/>
  <c r="F12" i="1437" s="1"/>
  <c r="E11" i="1437"/>
  <c r="F11" i="1437" s="1"/>
  <c r="E10" i="1437"/>
  <c r="F10" i="1437" s="1"/>
  <c r="C9" i="1437"/>
  <c r="C38" i="1437" s="1"/>
  <c r="C53" i="1436"/>
  <c r="C47" i="1436"/>
  <c r="C59" i="1436" s="1"/>
  <c r="C39" i="1436"/>
  <c r="C32" i="1436"/>
  <c r="C27" i="1436"/>
  <c r="C21" i="1436"/>
  <c r="C9" i="1436"/>
  <c r="A1" i="1436"/>
  <c r="C53" i="1435"/>
  <c r="C50" i="1435"/>
  <c r="C49" i="1435"/>
  <c r="C48" i="1435"/>
  <c r="C47" i="1435" s="1"/>
  <c r="C42" i="1435"/>
  <c r="C39" i="1435" s="1"/>
  <c r="E39" i="1434" s="1"/>
  <c r="C32" i="1435"/>
  <c r="C27" i="1435"/>
  <c r="C21" i="1435"/>
  <c r="C15" i="1435"/>
  <c r="C14" i="1435"/>
  <c r="C9" i="1435"/>
  <c r="C38" i="1435" s="1"/>
  <c r="E61" i="1434"/>
  <c r="F61" i="1434" s="1"/>
  <c r="E60" i="1434"/>
  <c r="F60" i="1434" s="1"/>
  <c r="E58" i="1434"/>
  <c r="F58" i="1434" s="1"/>
  <c r="E57" i="1434"/>
  <c r="F57" i="1434" s="1"/>
  <c r="E56" i="1434"/>
  <c r="F56" i="1434" s="1"/>
  <c r="E55" i="1434"/>
  <c r="F55" i="1434" s="1"/>
  <c r="E54" i="1434"/>
  <c r="F54" i="1434" s="1"/>
  <c r="E53" i="1434"/>
  <c r="C53" i="1434"/>
  <c r="F52" i="1434"/>
  <c r="E52" i="1434"/>
  <c r="F51" i="1434"/>
  <c r="E51" i="1434"/>
  <c r="E50" i="1434"/>
  <c r="C50" i="1434"/>
  <c r="E49" i="1434"/>
  <c r="C49" i="1434"/>
  <c r="E48" i="1434"/>
  <c r="C48" i="1434"/>
  <c r="E46" i="1434"/>
  <c r="F46" i="1434" s="1"/>
  <c r="E45" i="1434"/>
  <c r="F45" i="1434" s="1"/>
  <c r="E44" i="1434"/>
  <c r="F44" i="1434" s="1"/>
  <c r="E42" i="1434"/>
  <c r="C42" i="1434"/>
  <c r="F42" i="1434" s="1"/>
  <c r="E41" i="1434"/>
  <c r="F41" i="1434" s="1"/>
  <c r="E40" i="1434"/>
  <c r="F40" i="1434" s="1"/>
  <c r="F37" i="1434"/>
  <c r="E37" i="1434"/>
  <c r="F36" i="1434"/>
  <c r="E36" i="1434"/>
  <c r="F35" i="1434"/>
  <c r="E35" i="1434"/>
  <c r="F34" i="1434"/>
  <c r="E34" i="1434"/>
  <c r="F33" i="1434"/>
  <c r="E33" i="1434"/>
  <c r="C32" i="1434"/>
  <c r="E31" i="1434"/>
  <c r="F31" i="1434" s="1"/>
  <c r="E30" i="1434"/>
  <c r="F30" i="1434" s="1"/>
  <c r="E29" i="1434"/>
  <c r="F29" i="1434" s="1"/>
  <c r="E28" i="1434"/>
  <c r="F28" i="1434" s="1"/>
  <c r="E27" i="1434"/>
  <c r="C27" i="1434"/>
  <c r="F27" i="1434" s="1"/>
  <c r="E26" i="1434"/>
  <c r="F26" i="1434" s="1"/>
  <c r="E25" i="1434"/>
  <c r="F25" i="1434" s="1"/>
  <c r="E24" i="1434"/>
  <c r="F24" i="1434" s="1"/>
  <c r="E23" i="1434"/>
  <c r="F23" i="1434" s="1"/>
  <c r="E22" i="1434"/>
  <c r="F22" i="1434" s="1"/>
  <c r="E21" i="1434"/>
  <c r="C21" i="1434"/>
  <c r="F21" i="1434" s="1"/>
  <c r="E20" i="1434"/>
  <c r="F20" i="1434" s="1"/>
  <c r="E19" i="1434"/>
  <c r="F19" i="1434" s="1"/>
  <c r="E18" i="1434"/>
  <c r="F18" i="1434" s="1"/>
  <c r="E17" i="1434"/>
  <c r="F17" i="1434" s="1"/>
  <c r="E16" i="1434"/>
  <c r="F16" i="1434" s="1"/>
  <c r="E15" i="1434"/>
  <c r="C15" i="1434"/>
  <c r="E14" i="1434"/>
  <c r="C14" i="1434"/>
  <c r="E13" i="1434"/>
  <c r="F13" i="1434" s="1"/>
  <c r="E12" i="1434"/>
  <c r="F12" i="1434" s="1"/>
  <c r="E11" i="1434"/>
  <c r="F11" i="1434" s="1"/>
  <c r="E10" i="1434"/>
  <c r="F10" i="1434" s="1"/>
  <c r="E9" i="1434"/>
  <c r="C53" i="1433"/>
  <c r="C47" i="1433"/>
  <c r="C39" i="1433"/>
  <c r="C32" i="1433"/>
  <c r="C27" i="1433"/>
  <c r="C21" i="1433"/>
  <c r="C9" i="1433"/>
  <c r="C53" i="1432"/>
  <c r="C47" i="1432"/>
  <c r="C39" i="1432"/>
  <c r="C32" i="1432"/>
  <c r="C27" i="1432"/>
  <c r="C21" i="1432"/>
  <c r="C9" i="1432"/>
  <c r="C38" i="1432" s="1"/>
  <c r="C43" i="1432" s="1"/>
  <c r="A1" i="1432"/>
  <c r="C53" i="1431"/>
  <c r="C47" i="1431"/>
  <c r="D42" i="1430"/>
  <c r="C40" i="1431"/>
  <c r="C39" i="1431"/>
  <c r="D39" i="1430" s="1"/>
  <c r="C32" i="1431"/>
  <c r="D32" i="1430" s="1"/>
  <c r="C27" i="1431"/>
  <c r="C21" i="1431"/>
  <c r="D21" i="1430" s="1"/>
  <c r="C9" i="1431"/>
  <c r="C38" i="1431" s="1"/>
  <c r="D61" i="1430"/>
  <c r="C61" i="1430"/>
  <c r="E61" i="1430" s="1"/>
  <c r="D60" i="1430"/>
  <c r="E58" i="1430"/>
  <c r="D58" i="1430"/>
  <c r="E57" i="1430"/>
  <c r="D57" i="1430"/>
  <c r="E56" i="1430"/>
  <c r="D56" i="1430"/>
  <c r="E55" i="1430"/>
  <c r="D55" i="1430"/>
  <c r="E54" i="1430"/>
  <c r="D54" i="1430"/>
  <c r="C53" i="1430"/>
  <c r="D52" i="1430"/>
  <c r="E52" i="1430" s="1"/>
  <c r="D51" i="1430"/>
  <c r="E51" i="1430" s="1"/>
  <c r="D50" i="1430"/>
  <c r="E50" i="1430" s="1"/>
  <c r="D49" i="1430"/>
  <c r="F15" i="1450"/>
  <c r="F16" i="1450" s="1"/>
  <c r="E15" i="1450"/>
  <c r="D46" i="1430"/>
  <c r="D45" i="1430"/>
  <c r="D44" i="1430"/>
  <c r="D41" i="1430"/>
  <c r="E41" i="1430" s="1"/>
  <c r="D40" i="1430"/>
  <c r="C40" i="1430"/>
  <c r="E40" i="1430" s="1"/>
  <c r="E37" i="1430"/>
  <c r="D37" i="1430"/>
  <c r="E36" i="1430"/>
  <c r="D36" i="1430"/>
  <c r="E35" i="1430"/>
  <c r="D35" i="1430"/>
  <c r="D34" i="1430"/>
  <c r="E34" i="1430" s="1"/>
  <c r="D33" i="1430"/>
  <c r="E33" i="1430" s="1"/>
  <c r="C32" i="1430"/>
  <c r="E32" i="1430" s="1"/>
  <c r="D31" i="1430"/>
  <c r="E31" i="1430" s="1"/>
  <c r="D30" i="1430"/>
  <c r="E30" i="1430" s="1"/>
  <c r="D29" i="1430"/>
  <c r="E29" i="1430" s="1"/>
  <c r="D28" i="1430"/>
  <c r="E28" i="1430" s="1"/>
  <c r="D27" i="1430"/>
  <c r="C27" i="1430"/>
  <c r="E27" i="1430" s="1"/>
  <c r="D26" i="1430"/>
  <c r="E26" i="1430" s="1"/>
  <c r="D25" i="1430"/>
  <c r="E25" i="1430" s="1"/>
  <c r="D24" i="1430"/>
  <c r="E24" i="1430" s="1"/>
  <c r="D23" i="1430"/>
  <c r="E23" i="1430" s="1"/>
  <c r="D22" i="1430"/>
  <c r="E22" i="1430" s="1"/>
  <c r="C21" i="1430"/>
  <c r="E21" i="1430" s="1"/>
  <c r="D20" i="1430"/>
  <c r="E20" i="1430" s="1"/>
  <c r="D19" i="1430"/>
  <c r="E19" i="1430" s="1"/>
  <c r="D18" i="1430"/>
  <c r="E18" i="1430" s="1"/>
  <c r="D17" i="1430"/>
  <c r="E17" i="1430" s="1"/>
  <c r="D16" i="1430"/>
  <c r="E16" i="1430" s="1"/>
  <c r="D15" i="1430"/>
  <c r="E15" i="1430" s="1"/>
  <c r="D14" i="1430"/>
  <c r="E14" i="1430" s="1"/>
  <c r="D13" i="1430"/>
  <c r="E13" i="1430" s="1"/>
  <c r="D12" i="1430"/>
  <c r="E12" i="1430" s="1"/>
  <c r="D11" i="1430"/>
  <c r="E11" i="1430" s="1"/>
  <c r="D10" i="1430"/>
  <c r="E10" i="1430" s="1"/>
  <c r="D9" i="1430"/>
  <c r="C9" i="1430"/>
  <c r="D157" i="1429"/>
  <c r="D156" i="1429"/>
  <c r="D155" i="1429"/>
  <c r="E155" i="1429" s="1"/>
  <c r="D154" i="1429"/>
  <c r="E154" i="1429" s="1"/>
  <c r="D153" i="1429"/>
  <c r="E153" i="1429" s="1"/>
  <c r="D152" i="1429"/>
  <c r="E152" i="1429" s="1"/>
  <c r="D151" i="1429"/>
  <c r="E151" i="1429" s="1"/>
  <c r="D150" i="1429"/>
  <c r="E150" i="1429" s="1"/>
  <c r="D149" i="1429"/>
  <c r="E149" i="1429" s="1"/>
  <c r="D148" i="1429"/>
  <c r="C148" i="1429"/>
  <c r="D147" i="1429"/>
  <c r="E147" i="1429" s="1"/>
  <c r="D146" i="1429"/>
  <c r="E146" i="1429" s="1"/>
  <c r="D145" i="1429"/>
  <c r="E145" i="1429" s="1"/>
  <c r="D144" i="1429"/>
  <c r="E144" i="1429" s="1"/>
  <c r="D143" i="1429"/>
  <c r="C143" i="1429"/>
  <c r="D142" i="1429"/>
  <c r="E142" i="1429" s="1"/>
  <c r="D141" i="1429"/>
  <c r="E141" i="1429" s="1"/>
  <c r="D140" i="1429"/>
  <c r="E140" i="1429" s="1"/>
  <c r="D139" i="1429"/>
  <c r="E139" i="1429" s="1"/>
  <c r="D138" i="1429"/>
  <c r="E138" i="1429" s="1"/>
  <c r="D137" i="1429"/>
  <c r="E137" i="1429" s="1"/>
  <c r="D136" i="1429"/>
  <c r="C136" i="1429"/>
  <c r="D135" i="1429"/>
  <c r="E135" i="1429" s="1"/>
  <c r="D134" i="1429"/>
  <c r="E134" i="1429" s="1"/>
  <c r="D133" i="1429"/>
  <c r="E133" i="1429" s="1"/>
  <c r="D132" i="1429"/>
  <c r="C132" i="1429"/>
  <c r="D131" i="1429"/>
  <c r="D130" i="1429"/>
  <c r="E130" i="1429" s="1"/>
  <c r="D129" i="1429"/>
  <c r="E129" i="1429" s="1"/>
  <c r="D128" i="1429"/>
  <c r="E128" i="1429" s="1"/>
  <c r="D127" i="1429"/>
  <c r="E127" i="1429" s="1"/>
  <c r="D126" i="1429"/>
  <c r="E126" i="1429" s="1"/>
  <c r="D125" i="1429"/>
  <c r="E125" i="1429" s="1"/>
  <c r="D124" i="1429"/>
  <c r="E124" i="1429" s="1"/>
  <c r="D123" i="1429"/>
  <c r="E123" i="1429" s="1"/>
  <c r="D122" i="1429"/>
  <c r="E122" i="1429" s="1"/>
  <c r="D121" i="1429"/>
  <c r="E121" i="1429" s="1"/>
  <c r="D120" i="1429"/>
  <c r="E120" i="1429" s="1"/>
  <c r="D119" i="1429"/>
  <c r="C119" i="1429"/>
  <c r="D118" i="1429"/>
  <c r="C117" i="1429"/>
  <c r="D117" i="1429"/>
  <c r="D116" i="1429"/>
  <c r="E116" i="1429" s="1"/>
  <c r="D115" i="1429"/>
  <c r="E115" i="1429" s="1"/>
  <c r="D114" i="1429"/>
  <c r="E114" i="1429" s="1"/>
  <c r="D113" i="1429"/>
  <c r="C101" i="1429"/>
  <c r="D112" i="1429"/>
  <c r="E112" i="1429" s="1"/>
  <c r="D111" i="1429"/>
  <c r="E111" i="1429" s="1"/>
  <c r="D110" i="1429"/>
  <c r="E110" i="1429" s="1"/>
  <c r="D109" i="1429"/>
  <c r="E109" i="1429" s="1"/>
  <c r="D108" i="1429"/>
  <c r="E108" i="1429" s="1"/>
  <c r="D107" i="1429"/>
  <c r="E107" i="1429" s="1"/>
  <c r="D106" i="1429"/>
  <c r="E106" i="1429" s="1"/>
  <c r="D105" i="1429"/>
  <c r="E105" i="1429" s="1"/>
  <c r="D104" i="1429"/>
  <c r="E104" i="1429" s="1"/>
  <c r="D103" i="1429"/>
  <c r="E103" i="1429" s="1"/>
  <c r="D102" i="1429"/>
  <c r="E102" i="1429" s="1"/>
  <c r="D101" i="1429"/>
  <c r="D100" i="1429"/>
  <c r="E100" i="1429" s="1"/>
  <c r="D99" i="1429"/>
  <c r="E99" i="1429" s="1"/>
  <c r="D98" i="1429"/>
  <c r="E98" i="1429" s="1"/>
  <c r="D97" i="1429"/>
  <c r="E97" i="1429" s="1"/>
  <c r="D96" i="1429"/>
  <c r="E95" i="1429"/>
  <c r="E94" i="1429"/>
  <c r="D93" i="1429"/>
  <c r="D92" i="1429"/>
  <c r="D91" i="1429"/>
  <c r="E91" i="1429" s="1"/>
  <c r="D90" i="1429"/>
  <c r="E90" i="1429" s="1"/>
  <c r="D89" i="1429"/>
  <c r="E89" i="1429" s="1"/>
  <c r="D88" i="1429"/>
  <c r="E88" i="1429" s="1"/>
  <c r="D87" i="1429"/>
  <c r="E87" i="1429" s="1"/>
  <c r="D86" i="1429"/>
  <c r="E86" i="1429" s="1"/>
  <c r="D85" i="1429"/>
  <c r="C85" i="1429"/>
  <c r="D84" i="1429"/>
  <c r="E84" i="1429" s="1"/>
  <c r="D83" i="1429"/>
  <c r="E83" i="1429" s="1"/>
  <c r="D82" i="1429"/>
  <c r="E82" i="1429" s="1"/>
  <c r="D81" i="1429"/>
  <c r="C81" i="1429"/>
  <c r="D80" i="1429"/>
  <c r="E80" i="1429" s="1"/>
  <c r="D79" i="1429"/>
  <c r="E79" i="1429" s="1"/>
  <c r="D78" i="1429"/>
  <c r="C78" i="1429"/>
  <c r="D77" i="1429"/>
  <c r="E77" i="1429" s="1"/>
  <c r="D76" i="1429"/>
  <c r="E76" i="1429" s="1"/>
  <c r="D75" i="1429"/>
  <c r="E75" i="1429" s="1"/>
  <c r="D74" i="1429"/>
  <c r="E74" i="1429" s="1"/>
  <c r="D73" i="1429"/>
  <c r="C73" i="1429"/>
  <c r="D72" i="1429"/>
  <c r="E72" i="1429" s="1"/>
  <c r="D71" i="1429"/>
  <c r="E71" i="1429" s="1"/>
  <c r="D70" i="1429"/>
  <c r="E70" i="1429" s="1"/>
  <c r="D69" i="1429"/>
  <c r="C69" i="1429"/>
  <c r="D68" i="1429"/>
  <c r="D67" i="1429"/>
  <c r="C67" i="1429"/>
  <c r="D66" i="1429"/>
  <c r="C66" i="1429"/>
  <c r="C63" i="1429" s="1"/>
  <c r="D65" i="1429"/>
  <c r="E65" i="1429" s="1"/>
  <c r="D64" i="1429"/>
  <c r="E64" i="1429" s="1"/>
  <c r="D63" i="1429"/>
  <c r="D62" i="1429"/>
  <c r="E62" i="1429" s="1"/>
  <c r="D61" i="1429"/>
  <c r="C61" i="1429"/>
  <c r="C58" i="1429" s="1"/>
  <c r="D60" i="1429"/>
  <c r="E60" i="1429" s="1"/>
  <c r="D59" i="1429"/>
  <c r="E59" i="1429" s="1"/>
  <c r="D58" i="1429"/>
  <c r="D57" i="1429"/>
  <c r="E57" i="1429" s="1"/>
  <c r="D56" i="1429"/>
  <c r="E56" i="1429" s="1"/>
  <c r="D55" i="1429"/>
  <c r="E55" i="1429" s="1"/>
  <c r="D54" i="1429"/>
  <c r="E54" i="1429" s="1"/>
  <c r="D53" i="1429"/>
  <c r="E53" i="1429" s="1"/>
  <c r="D52" i="1429"/>
  <c r="C52" i="1429"/>
  <c r="D51" i="1429"/>
  <c r="E51" i="1429" s="1"/>
  <c r="D50" i="1429"/>
  <c r="E50" i="1429" s="1"/>
  <c r="D49" i="1429"/>
  <c r="E49" i="1429" s="1"/>
  <c r="D48" i="1429"/>
  <c r="E48" i="1429" s="1"/>
  <c r="D47" i="1429"/>
  <c r="E47" i="1429" s="1"/>
  <c r="D46" i="1429"/>
  <c r="C46" i="1429"/>
  <c r="D45" i="1429"/>
  <c r="E45" i="1429" s="1"/>
  <c r="D44" i="1429"/>
  <c r="E44" i="1429" s="1"/>
  <c r="D43" i="1429"/>
  <c r="E43" i="1429" s="1"/>
  <c r="D42" i="1429"/>
  <c r="C42" i="1429"/>
  <c r="C40" i="1429" s="1"/>
  <c r="D41" i="1429"/>
  <c r="E41" i="1429" s="1"/>
  <c r="D40" i="1429"/>
  <c r="D39" i="1429"/>
  <c r="E39" i="1429" s="1"/>
  <c r="D38" i="1429"/>
  <c r="E38" i="1429" s="1"/>
  <c r="D37" i="1429"/>
  <c r="E37" i="1429" s="1"/>
  <c r="D36" i="1429"/>
  <c r="E36" i="1429" s="1"/>
  <c r="D35" i="1429"/>
  <c r="E35" i="1429" s="1"/>
  <c r="D34" i="1429"/>
  <c r="E34" i="1429" s="1"/>
  <c r="D33" i="1429"/>
  <c r="C33" i="1429"/>
  <c r="C32" i="1429" s="1"/>
  <c r="D32" i="1429"/>
  <c r="D31" i="1429"/>
  <c r="E31" i="1429" s="1"/>
  <c r="D30" i="1429"/>
  <c r="E30" i="1429" s="1"/>
  <c r="D29" i="1429"/>
  <c r="E29" i="1429" s="1"/>
  <c r="D28" i="1429"/>
  <c r="E28" i="1429" s="1"/>
  <c r="D27" i="1429"/>
  <c r="E27" i="1429" s="1"/>
  <c r="D26" i="1429"/>
  <c r="E26" i="1429" s="1"/>
  <c r="D25" i="1429"/>
  <c r="C25" i="1429"/>
  <c r="D24" i="1429"/>
  <c r="E24" i="1429" s="1"/>
  <c r="D23" i="1429"/>
  <c r="E23" i="1429" s="1"/>
  <c r="D22" i="1429"/>
  <c r="E22" i="1429" s="1"/>
  <c r="D21" i="1429"/>
  <c r="E21" i="1429" s="1"/>
  <c r="D20" i="1429"/>
  <c r="E20" i="1429" s="1"/>
  <c r="D19" i="1429"/>
  <c r="E19" i="1429" s="1"/>
  <c r="D18" i="1429"/>
  <c r="C18" i="1429"/>
  <c r="D17" i="1429"/>
  <c r="E17" i="1429" s="1"/>
  <c r="D16" i="1429"/>
  <c r="E16" i="1429" s="1"/>
  <c r="D15" i="1429"/>
  <c r="E15" i="1429" s="1"/>
  <c r="D12" i="1429"/>
  <c r="C12" i="1429"/>
  <c r="C9" i="1429" s="1"/>
  <c r="D11" i="1429"/>
  <c r="E11" i="1429" s="1"/>
  <c r="D10" i="1429"/>
  <c r="E10" i="1429" s="1"/>
  <c r="D9" i="1429"/>
  <c r="C148" i="1428"/>
  <c r="C145" i="1428"/>
  <c r="C143" i="1428" s="1"/>
  <c r="D143" i="1427" s="1"/>
  <c r="C136" i="1428"/>
  <c r="C132" i="1428"/>
  <c r="C122" i="1428"/>
  <c r="C117" i="1428" s="1"/>
  <c r="D117" i="1427" s="1"/>
  <c r="C121" i="1428"/>
  <c r="C114" i="1428"/>
  <c r="C113" i="1428"/>
  <c r="C101" i="1428"/>
  <c r="C96" i="1428" s="1"/>
  <c r="C85" i="1428"/>
  <c r="C82" i="1428"/>
  <c r="C81" i="1428" s="1"/>
  <c r="D81" i="1427" s="1"/>
  <c r="C79" i="1428"/>
  <c r="C78" i="1428" s="1"/>
  <c r="D78" i="1427" s="1"/>
  <c r="C73" i="1428"/>
  <c r="C69" i="1428"/>
  <c r="C63" i="1428"/>
  <c r="C58" i="1428"/>
  <c r="C52" i="1428"/>
  <c r="C51" i="1428"/>
  <c r="C40" i="1428"/>
  <c r="C37" i="1428"/>
  <c r="C33" i="1428"/>
  <c r="C32" i="1428" s="1"/>
  <c r="D32" i="1427" s="1"/>
  <c r="C25" i="1428"/>
  <c r="C18" i="1428"/>
  <c r="D18" i="1427" s="1"/>
  <c r="C16" i="1428"/>
  <c r="C12" i="1428"/>
  <c r="C9" i="1428" s="1"/>
  <c r="D160" i="1427"/>
  <c r="F160" i="1427" s="1"/>
  <c r="D159" i="1427"/>
  <c r="E159" i="1427" s="1"/>
  <c r="D158" i="1427"/>
  <c r="F158" i="1427" s="1"/>
  <c r="D155" i="1427"/>
  <c r="E155" i="1427" s="1"/>
  <c r="D154" i="1427"/>
  <c r="F154" i="1427" s="1"/>
  <c r="D153" i="1427"/>
  <c r="E153" i="1427" s="1"/>
  <c r="D152" i="1427"/>
  <c r="F152" i="1427" s="1"/>
  <c r="D151" i="1427"/>
  <c r="E151" i="1427" s="1"/>
  <c r="D150" i="1427"/>
  <c r="F150" i="1427" s="1"/>
  <c r="D149" i="1427"/>
  <c r="E149" i="1427" s="1"/>
  <c r="D148" i="1427"/>
  <c r="C148" i="1427"/>
  <c r="F148" i="1427" s="1"/>
  <c r="D147" i="1427"/>
  <c r="F147" i="1427" s="1"/>
  <c r="D146" i="1427"/>
  <c r="E146" i="1427" s="1"/>
  <c r="D145" i="1427"/>
  <c r="C145" i="1427"/>
  <c r="E144" i="1427"/>
  <c r="D144" i="1427"/>
  <c r="F144" i="1427" s="1"/>
  <c r="D142" i="1427"/>
  <c r="E142" i="1427" s="1"/>
  <c r="D141" i="1427"/>
  <c r="F141" i="1427" s="1"/>
  <c r="D140" i="1427"/>
  <c r="E140" i="1427" s="1"/>
  <c r="D139" i="1427"/>
  <c r="F139" i="1427" s="1"/>
  <c r="D138" i="1427"/>
  <c r="E138" i="1427" s="1"/>
  <c r="D137" i="1427"/>
  <c r="F137" i="1427" s="1"/>
  <c r="D136" i="1427"/>
  <c r="C136" i="1427"/>
  <c r="E136" i="1427" s="1"/>
  <c r="D135" i="1427"/>
  <c r="E135" i="1427" s="1"/>
  <c r="D134" i="1427"/>
  <c r="F134" i="1427" s="1"/>
  <c r="D133" i="1427"/>
  <c r="E133" i="1427" s="1"/>
  <c r="D132" i="1427"/>
  <c r="C132" i="1427"/>
  <c r="M64" i="1458" s="1"/>
  <c r="D130" i="1427"/>
  <c r="F130" i="1427" s="1"/>
  <c r="D129" i="1427"/>
  <c r="F129" i="1427" s="1"/>
  <c r="D128" i="1427"/>
  <c r="E128" i="1427" s="1"/>
  <c r="D127" i="1427"/>
  <c r="F127" i="1427" s="1"/>
  <c r="D126" i="1427"/>
  <c r="E126" i="1427" s="1"/>
  <c r="D125" i="1427"/>
  <c r="F125" i="1427" s="1"/>
  <c r="D124" i="1427"/>
  <c r="E124" i="1427" s="1"/>
  <c r="D123" i="1427"/>
  <c r="F123" i="1427" s="1"/>
  <c r="D121" i="1427"/>
  <c r="F121" i="1427" s="1"/>
  <c r="C121" i="1427"/>
  <c r="D120" i="1427"/>
  <c r="F120" i="1427" s="1"/>
  <c r="D119" i="1427"/>
  <c r="E119" i="1427" s="1"/>
  <c r="D118" i="1427"/>
  <c r="F118" i="1427" s="1"/>
  <c r="D116" i="1427"/>
  <c r="F116" i="1427" s="1"/>
  <c r="D115" i="1427"/>
  <c r="F115" i="1427" s="1"/>
  <c r="D114" i="1427"/>
  <c r="C114" i="1427"/>
  <c r="N64" i="1458" s="1"/>
  <c r="D113" i="1427"/>
  <c r="F113" i="1427" s="1"/>
  <c r="D112" i="1427"/>
  <c r="E112" i="1427" s="1"/>
  <c r="D111" i="1427"/>
  <c r="F111" i="1427" s="1"/>
  <c r="D110" i="1427"/>
  <c r="E110" i="1427" s="1"/>
  <c r="D109" i="1427"/>
  <c r="F109" i="1427" s="1"/>
  <c r="D108" i="1427"/>
  <c r="E108" i="1427" s="1"/>
  <c r="D107" i="1427"/>
  <c r="F107" i="1427" s="1"/>
  <c r="D106" i="1427"/>
  <c r="E106" i="1427" s="1"/>
  <c r="D105" i="1427"/>
  <c r="F105" i="1427" s="1"/>
  <c r="D104" i="1427"/>
  <c r="E104" i="1427" s="1"/>
  <c r="D103" i="1427"/>
  <c r="F103" i="1427" s="1"/>
  <c r="D102" i="1427"/>
  <c r="F102" i="1427" s="1"/>
  <c r="C102" i="1427"/>
  <c r="E102" i="1427" s="1"/>
  <c r="C101" i="1427"/>
  <c r="D100" i="1427"/>
  <c r="E100" i="1427" s="1"/>
  <c r="D99" i="1427"/>
  <c r="F99" i="1427" s="1"/>
  <c r="D98" i="1427"/>
  <c r="F98" i="1427" s="1"/>
  <c r="D97" i="1427"/>
  <c r="F97" i="1427" s="1"/>
  <c r="D95" i="1427"/>
  <c r="F95" i="1427" s="1"/>
  <c r="D94" i="1427"/>
  <c r="F94" i="1427" s="1"/>
  <c r="D91" i="1427"/>
  <c r="F91" i="1427" s="1"/>
  <c r="D90" i="1427"/>
  <c r="E90" i="1427" s="1"/>
  <c r="D89" i="1427"/>
  <c r="F89" i="1427" s="1"/>
  <c r="D88" i="1427"/>
  <c r="E88" i="1427" s="1"/>
  <c r="D87" i="1427"/>
  <c r="F87" i="1427" s="1"/>
  <c r="D86" i="1427"/>
  <c r="E86" i="1427" s="1"/>
  <c r="D85" i="1427"/>
  <c r="C85" i="1427"/>
  <c r="F85" i="1427" s="1"/>
  <c r="D84" i="1427"/>
  <c r="F84" i="1427" s="1"/>
  <c r="D83" i="1427"/>
  <c r="E83" i="1427" s="1"/>
  <c r="D82" i="1427"/>
  <c r="C82" i="1427"/>
  <c r="C81" i="1427"/>
  <c r="F81" i="1427" s="1"/>
  <c r="D80" i="1427"/>
  <c r="F80" i="1427" s="1"/>
  <c r="D79" i="1427"/>
  <c r="C79" i="1427"/>
  <c r="E79" i="1427" s="1"/>
  <c r="D77" i="1427"/>
  <c r="E77" i="1427" s="1"/>
  <c r="D76" i="1427"/>
  <c r="F76" i="1427" s="1"/>
  <c r="D75" i="1427"/>
  <c r="E75" i="1427" s="1"/>
  <c r="D74" i="1427"/>
  <c r="F74" i="1427" s="1"/>
  <c r="D73" i="1427"/>
  <c r="C73" i="1427"/>
  <c r="E73" i="1427" s="1"/>
  <c r="D72" i="1427"/>
  <c r="E72" i="1427" s="1"/>
  <c r="D71" i="1427"/>
  <c r="F71" i="1427" s="1"/>
  <c r="D70" i="1427"/>
  <c r="E70" i="1427" s="1"/>
  <c r="D69" i="1427"/>
  <c r="C69" i="1427"/>
  <c r="F64" i="1458" s="1"/>
  <c r="D67" i="1427"/>
  <c r="C67" i="1427"/>
  <c r="E67" i="1427" s="1"/>
  <c r="D66" i="1427"/>
  <c r="F66" i="1427" s="1"/>
  <c r="C66" i="1427"/>
  <c r="E66" i="1427" s="1"/>
  <c r="D65" i="1427"/>
  <c r="E65" i="1427" s="1"/>
  <c r="D64" i="1427"/>
  <c r="F64" i="1427" s="1"/>
  <c r="C63" i="1427"/>
  <c r="D62" i="1427"/>
  <c r="E62" i="1427" s="1"/>
  <c r="D61" i="1427"/>
  <c r="C61" i="1427"/>
  <c r="F61" i="1427" s="1"/>
  <c r="D60" i="1427"/>
  <c r="C60" i="1427"/>
  <c r="F60" i="1427" s="1"/>
  <c r="D59" i="1427"/>
  <c r="F59" i="1427" s="1"/>
  <c r="D57" i="1427"/>
  <c r="E57" i="1427" s="1"/>
  <c r="D56" i="1427"/>
  <c r="F56" i="1427" s="1"/>
  <c r="D55" i="1427"/>
  <c r="E55" i="1427" s="1"/>
  <c r="D54" i="1427"/>
  <c r="F54" i="1427" s="1"/>
  <c r="D53" i="1427"/>
  <c r="E53" i="1427" s="1"/>
  <c r="D52" i="1427"/>
  <c r="C52" i="1427"/>
  <c r="D51" i="1427"/>
  <c r="C51" i="1427"/>
  <c r="D50" i="1427"/>
  <c r="F50" i="1427" s="1"/>
  <c r="D49" i="1427"/>
  <c r="E49" i="1427" s="1"/>
  <c r="D48" i="1427"/>
  <c r="F48" i="1427" s="1"/>
  <c r="D47" i="1427"/>
  <c r="E47" i="1427" s="1"/>
  <c r="D46" i="1427"/>
  <c r="F46" i="1427"/>
  <c r="D45" i="1427"/>
  <c r="F45" i="1427" s="1"/>
  <c r="D44" i="1427"/>
  <c r="E44" i="1427" s="1"/>
  <c r="D43" i="1427"/>
  <c r="D42" i="1427"/>
  <c r="C42" i="1427"/>
  <c r="D41" i="1427"/>
  <c r="F41" i="1427" s="1"/>
  <c r="D39" i="1427"/>
  <c r="E39" i="1427" s="1"/>
  <c r="D38" i="1427"/>
  <c r="F38" i="1427" s="1"/>
  <c r="D37" i="1427"/>
  <c r="C37" i="1427"/>
  <c r="E37" i="1427" s="1"/>
  <c r="D36" i="1427"/>
  <c r="E36" i="1427" s="1"/>
  <c r="D35" i="1427"/>
  <c r="F35" i="1427" s="1"/>
  <c r="D34" i="1427"/>
  <c r="C34" i="1427"/>
  <c r="E34" i="1427" s="1"/>
  <c r="D33" i="1427"/>
  <c r="F33" i="1427" s="1"/>
  <c r="C33" i="1427"/>
  <c r="E33" i="1427" s="1"/>
  <c r="C32" i="1427"/>
  <c r="E64" i="1458" s="1"/>
  <c r="D31" i="1427"/>
  <c r="E31" i="1427" s="1"/>
  <c r="D30" i="1427"/>
  <c r="F30" i="1427" s="1"/>
  <c r="D29" i="1427"/>
  <c r="E29" i="1427" s="1"/>
  <c r="E28" i="1427"/>
  <c r="D28" i="1427"/>
  <c r="F28" i="1427" s="1"/>
  <c r="D27" i="1427"/>
  <c r="E27" i="1427" s="1"/>
  <c r="D26" i="1427"/>
  <c r="F26" i="1427" s="1"/>
  <c r="D25" i="1427"/>
  <c r="C25" i="1427"/>
  <c r="D64" i="1458" s="1"/>
  <c r="D24" i="1427"/>
  <c r="E24" i="1427" s="1"/>
  <c r="D23" i="1427"/>
  <c r="E23" i="1427" s="1"/>
  <c r="E22" i="1427"/>
  <c r="D22" i="1427"/>
  <c r="F22" i="1427" s="1"/>
  <c r="D21" i="1427"/>
  <c r="E21" i="1427" s="1"/>
  <c r="D20" i="1427"/>
  <c r="F20" i="1427" s="1"/>
  <c r="D19" i="1427"/>
  <c r="E19" i="1427" s="1"/>
  <c r="C18" i="1427"/>
  <c r="D17" i="1427"/>
  <c r="F17" i="1427" s="1"/>
  <c r="D16" i="1427"/>
  <c r="C16" i="1427"/>
  <c r="E16" i="1427" s="1"/>
  <c r="D15" i="1427"/>
  <c r="F15" i="1427" s="1"/>
  <c r="D14" i="1427"/>
  <c r="E14" i="1427" s="1"/>
  <c r="D13" i="1427"/>
  <c r="F13" i="1427" s="1"/>
  <c r="C12" i="1427"/>
  <c r="D11" i="1427"/>
  <c r="E11" i="1427" s="1"/>
  <c r="D10" i="1427"/>
  <c r="F10" i="1427" s="1"/>
  <c r="C9" i="1427"/>
  <c r="D45" i="1426"/>
  <c r="C45" i="1426"/>
  <c r="B45" i="1426"/>
  <c r="E44" i="1426"/>
  <c r="E43" i="1426"/>
  <c r="E42" i="1426"/>
  <c r="E41" i="1426"/>
  <c r="E40" i="1426"/>
  <c r="E39" i="1426"/>
  <c r="E38" i="1426"/>
  <c r="E45" i="1426" s="1"/>
  <c r="D35" i="1426"/>
  <c r="C35" i="1426"/>
  <c r="B35" i="1426"/>
  <c r="E34" i="1426"/>
  <c r="E33" i="1426"/>
  <c r="E32" i="1426"/>
  <c r="E31" i="1426"/>
  <c r="E30" i="1426"/>
  <c r="E29" i="1426"/>
  <c r="E28" i="1426"/>
  <c r="E35" i="1426" s="1"/>
  <c r="A1" i="1426"/>
  <c r="D23" i="1425"/>
  <c r="C23" i="1425"/>
  <c r="B23" i="1425"/>
  <c r="E22" i="1425"/>
  <c r="E21" i="1425"/>
  <c r="E20" i="1425"/>
  <c r="E19" i="1425"/>
  <c r="E18" i="1425"/>
  <c r="E17" i="1425"/>
  <c r="E16" i="1425"/>
  <c r="D15" i="1425"/>
  <c r="C15" i="1425"/>
  <c r="B15" i="1425"/>
  <c r="D13" i="1425"/>
  <c r="C13" i="1425"/>
  <c r="B13" i="1425"/>
  <c r="E12" i="1425"/>
  <c r="E11" i="1425"/>
  <c r="E10" i="1425"/>
  <c r="E9" i="1425"/>
  <c r="E8" i="1425"/>
  <c r="E7" i="1425"/>
  <c r="E6" i="1425"/>
  <c r="A1" i="1425"/>
  <c r="D37" i="1424"/>
  <c r="C37" i="1424"/>
  <c r="B37" i="1424"/>
  <c r="D23" i="1424"/>
  <c r="E22" i="1424"/>
  <c r="E21" i="1424"/>
  <c r="E20" i="1424"/>
  <c r="E19" i="1424"/>
  <c r="C18" i="1424"/>
  <c r="C23" i="1424" s="1"/>
  <c r="B18" i="1424"/>
  <c r="E18" i="1424" s="1"/>
  <c r="B17" i="1424"/>
  <c r="B23" i="1424" s="1"/>
  <c r="E16" i="1424"/>
  <c r="D15" i="1424"/>
  <c r="C15" i="1424"/>
  <c r="B15" i="1424"/>
  <c r="D13" i="1424"/>
  <c r="C13" i="1424"/>
  <c r="B13" i="1424"/>
  <c r="E12" i="1424"/>
  <c r="E11" i="1424"/>
  <c r="E10" i="1424"/>
  <c r="E9" i="1424"/>
  <c r="E8" i="1424"/>
  <c r="E7" i="1424"/>
  <c r="E6" i="1424"/>
  <c r="E13" i="1424" s="1"/>
  <c r="A1" i="1424"/>
  <c r="D45" i="1423"/>
  <c r="E44" i="1423"/>
  <c r="E43" i="1423"/>
  <c r="E42" i="1423"/>
  <c r="B41" i="1423"/>
  <c r="E41" i="1423" s="1"/>
  <c r="C40" i="1423"/>
  <c r="C45" i="1423" s="1"/>
  <c r="B40" i="1423"/>
  <c r="E39" i="1423"/>
  <c r="B39" i="1423"/>
  <c r="B45" i="1423" s="1"/>
  <c r="E38" i="1423"/>
  <c r="D37" i="1423"/>
  <c r="C37" i="1423"/>
  <c r="B37" i="1423"/>
  <c r="D35" i="1423"/>
  <c r="C35" i="1423"/>
  <c r="B35" i="1423"/>
  <c r="E34" i="1423"/>
  <c r="E33" i="1423"/>
  <c r="E32" i="1423"/>
  <c r="E31" i="1423"/>
  <c r="E30" i="1423"/>
  <c r="E29" i="1423"/>
  <c r="E28" i="1423"/>
  <c r="E35" i="1423" s="1"/>
  <c r="D23" i="1423"/>
  <c r="B23" i="1423"/>
  <c r="E22" i="1423"/>
  <c r="E21" i="1423"/>
  <c r="E20" i="1423"/>
  <c r="E19" i="1423"/>
  <c r="E18" i="1423"/>
  <c r="E17" i="1423"/>
  <c r="C23" i="1423"/>
  <c r="D13" i="1423"/>
  <c r="B13" i="1423"/>
  <c r="E12" i="1423"/>
  <c r="E11" i="1423"/>
  <c r="E10" i="1423"/>
  <c r="E9" i="1423"/>
  <c r="C13" i="1423"/>
  <c r="E7" i="1423"/>
  <c r="E6" i="1423"/>
  <c r="D45" i="1422"/>
  <c r="B45" i="1422"/>
  <c r="E44" i="1422"/>
  <c r="E43" i="1422"/>
  <c r="E42" i="1422"/>
  <c r="E41" i="1422"/>
  <c r="E40" i="1422"/>
  <c r="E39" i="1422"/>
  <c r="D37" i="1422"/>
  <c r="C37" i="1422"/>
  <c r="B37" i="1422"/>
  <c r="D35" i="1422"/>
  <c r="B35" i="1422"/>
  <c r="E34" i="1422"/>
  <c r="E33" i="1422"/>
  <c r="E32" i="1422"/>
  <c r="E31" i="1422"/>
  <c r="E30" i="1422"/>
  <c r="C35" i="1422"/>
  <c r="E29" i="1422"/>
  <c r="E28" i="1422"/>
  <c r="E35" i="1422" s="1"/>
  <c r="D23" i="1422"/>
  <c r="B23" i="1422"/>
  <c r="E22" i="1422"/>
  <c r="E21" i="1422"/>
  <c r="E20" i="1422"/>
  <c r="E19" i="1422"/>
  <c r="E18" i="1422"/>
  <c r="E17" i="1422"/>
  <c r="E23" i="1422" s="1"/>
  <c r="E16" i="1422"/>
  <c r="D15" i="1422"/>
  <c r="C15" i="1422"/>
  <c r="B15" i="1422"/>
  <c r="D13" i="1422"/>
  <c r="C13" i="1422"/>
  <c r="B13" i="1422"/>
  <c r="E12" i="1422"/>
  <c r="E11" i="1422"/>
  <c r="E10" i="1422"/>
  <c r="E9" i="1422"/>
  <c r="E8" i="1422"/>
  <c r="E7" i="1422"/>
  <c r="E6" i="1422"/>
  <c r="E13" i="1422" s="1"/>
  <c r="D45" i="1421"/>
  <c r="C45" i="1421"/>
  <c r="E44" i="1421"/>
  <c r="E43" i="1421"/>
  <c r="E42" i="1421"/>
  <c r="E41" i="1421"/>
  <c r="E40" i="1421"/>
  <c r="B39" i="1421"/>
  <c r="B45" i="1421" s="1"/>
  <c r="E38" i="1421"/>
  <c r="D37" i="1421"/>
  <c r="C37" i="1421"/>
  <c r="B37" i="1421"/>
  <c r="E35" i="1421"/>
  <c r="D35" i="1421"/>
  <c r="C35" i="1421"/>
  <c r="B35" i="1421"/>
  <c r="D23" i="1421"/>
  <c r="E22" i="1421"/>
  <c r="E21" i="1421"/>
  <c r="C21" i="1421"/>
  <c r="E20" i="1421"/>
  <c r="E19" i="1421"/>
  <c r="E18" i="1421"/>
  <c r="C17" i="1421"/>
  <c r="C23" i="1421" s="1"/>
  <c r="B17" i="1421"/>
  <c r="E17" i="1421" s="1"/>
  <c r="E16" i="1421"/>
  <c r="E23" i="1421" s="1"/>
  <c r="D13" i="1421"/>
  <c r="C13" i="1421"/>
  <c r="E12" i="1421"/>
  <c r="E11" i="1421"/>
  <c r="E10" i="1421"/>
  <c r="E9" i="1421"/>
  <c r="B8" i="1421"/>
  <c r="E8" i="1421" s="1"/>
  <c r="E7" i="1421"/>
  <c r="E6" i="1421"/>
  <c r="E13" i="1421" s="1"/>
  <c r="D24" i="1420"/>
  <c r="E22" i="1420"/>
  <c r="F18" i="1420"/>
  <c r="F17" i="1420"/>
  <c r="E16" i="1420"/>
  <c r="B16" i="1420"/>
  <c r="F16" i="1420" s="1"/>
  <c r="F15" i="1420"/>
  <c r="F13" i="1420"/>
  <c r="E24" i="1420"/>
  <c r="B24" i="1420"/>
  <c r="F11" i="1420"/>
  <c r="F10" i="1420"/>
  <c r="F9" i="1420"/>
  <c r="F8" i="1420"/>
  <c r="G72" i="1419"/>
  <c r="G71" i="1419"/>
  <c r="G70" i="1419"/>
  <c r="F69" i="1419"/>
  <c r="D69" i="1419"/>
  <c r="B69" i="1419"/>
  <c r="B68" i="1419"/>
  <c r="G68" i="1419" s="1"/>
  <c r="G67" i="1419"/>
  <c r="G66" i="1419"/>
  <c r="G65" i="1419"/>
  <c r="G64" i="1419"/>
  <c r="G63" i="1419"/>
  <c r="G62" i="1419"/>
  <c r="G61" i="1419"/>
  <c r="G60" i="1419"/>
  <c r="F59" i="1419"/>
  <c r="D59" i="1419"/>
  <c r="B59" i="1419"/>
  <c r="G58" i="1419"/>
  <c r="G56" i="1419"/>
  <c r="G55" i="1419"/>
  <c r="G54" i="1419"/>
  <c r="F53" i="1419"/>
  <c r="D53" i="1419"/>
  <c r="B53" i="1419"/>
  <c r="G53" i="1419" s="1"/>
  <c r="G52" i="1419"/>
  <c r="G51" i="1419"/>
  <c r="G50" i="1419"/>
  <c r="G49" i="1419"/>
  <c r="G48" i="1419"/>
  <c r="F47" i="1419"/>
  <c r="D47" i="1419"/>
  <c r="B47" i="1419"/>
  <c r="G47" i="1419" s="1"/>
  <c r="G46" i="1419"/>
  <c r="G45" i="1419"/>
  <c r="G44" i="1419"/>
  <c r="F43" i="1419"/>
  <c r="B43" i="1419"/>
  <c r="G42" i="1419"/>
  <c r="G41" i="1419"/>
  <c r="G40" i="1419"/>
  <c r="G39" i="1419"/>
  <c r="F38" i="1419"/>
  <c r="B38" i="1419"/>
  <c r="G36" i="1419"/>
  <c r="G35" i="1419"/>
  <c r="F34" i="1419"/>
  <c r="B34" i="1419"/>
  <c r="B32" i="1419"/>
  <c r="G32" i="1419" s="1"/>
  <c r="G30" i="1419"/>
  <c r="G29" i="1419"/>
  <c r="G28" i="1419"/>
  <c r="G27" i="1419"/>
  <c r="G26" i="1419"/>
  <c r="F25" i="1419"/>
  <c r="G25" i="1419" s="1"/>
  <c r="G24" i="1419"/>
  <c r="G23" i="1419"/>
  <c r="G22" i="1419"/>
  <c r="G21" i="1419"/>
  <c r="G20" i="1419"/>
  <c r="G19" i="1419"/>
  <c r="G18" i="1419"/>
  <c r="G17" i="1419"/>
  <c r="F16" i="1419"/>
  <c r="B16" i="1419"/>
  <c r="G16" i="1419" s="1"/>
  <c r="G15" i="1419"/>
  <c r="B14" i="1419"/>
  <c r="G14" i="1419" s="1"/>
  <c r="G13" i="1419"/>
  <c r="G12" i="1419"/>
  <c r="G11" i="1419"/>
  <c r="B10" i="1419"/>
  <c r="G10" i="1419" s="1"/>
  <c r="G9" i="1419"/>
  <c r="G8" i="1419"/>
  <c r="C16" i="1418"/>
  <c r="C10" i="1417"/>
  <c r="C13" i="1417" s="1"/>
  <c r="A1" i="1417"/>
  <c r="D27" i="1416"/>
  <c r="G27" i="1416"/>
  <c r="E27" i="1416"/>
  <c r="H23" i="1416"/>
  <c r="H22" i="1416"/>
  <c r="H21" i="1416"/>
  <c r="H20" i="1416"/>
  <c r="H19" i="1416"/>
  <c r="H18" i="1416"/>
  <c r="H17" i="1416"/>
  <c r="H16" i="1416"/>
  <c r="H15" i="1416"/>
  <c r="H14" i="1416"/>
  <c r="H13" i="1416"/>
  <c r="H12" i="1416"/>
  <c r="H11" i="1416"/>
  <c r="H10" i="1416"/>
  <c r="H9" i="1416"/>
  <c r="H8" i="1416"/>
  <c r="B7" i="1419" l="1"/>
  <c r="F7" i="1419"/>
  <c r="D122" i="1427"/>
  <c r="C96" i="1427"/>
  <c r="D12" i="1427"/>
  <c r="E59" i="1443"/>
  <c r="F42" i="1440"/>
  <c r="F59" i="1440"/>
  <c r="H24" i="1416"/>
  <c r="H27" i="1416" s="1"/>
  <c r="B73" i="1419"/>
  <c r="F73" i="1419"/>
  <c r="B23" i="1421"/>
  <c r="C45" i="1422"/>
  <c r="E16" i="1423"/>
  <c r="E23" i="1423" s="1"/>
  <c r="E23" i="1425"/>
  <c r="F34" i="1427"/>
  <c r="E35" i="1427"/>
  <c r="E41" i="1427"/>
  <c r="E48" i="1427"/>
  <c r="F51" i="1427"/>
  <c r="F52" i="1427"/>
  <c r="E54" i="1427"/>
  <c r="E59" i="1427"/>
  <c r="E64" i="1427"/>
  <c r="F73" i="1427"/>
  <c r="E74" i="1427"/>
  <c r="E87" i="1427"/>
  <c r="E91" i="1427"/>
  <c r="E103" i="1427"/>
  <c r="E107" i="1427"/>
  <c r="E111" i="1427"/>
  <c r="E125" i="1427"/>
  <c r="E129" i="1427"/>
  <c r="F136" i="1427"/>
  <c r="E137" i="1427"/>
  <c r="E141" i="1427"/>
  <c r="F145" i="1427"/>
  <c r="E147" i="1427"/>
  <c r="E152" i="1427"/>
  <c r="E158" i="1427"/>
  <c r="F32" i="1427"/>
  <c r="C92" i="1429"/>
  <c r="D53" i="1430"/>
  <c r="E53" i="1430" s="1"/>
  <c r="K160" i="1452"/>
  <c r="G34" i="1419"/>
  <c r="G38" i="1419"/>
  <c r="G43" i="1419"/>
  <c r="G59" i="1419"/>
  <c r="D73" i="1419"/>
  <c r="D74" i="1419" s="1"/>
  <c r="E40" i="1423"/>
  <c r="E45" i="1423" s="1"/>
  <c r="E13" i="1425"/>
  <c r="F16" i="1427"/>
  <c r="E17" i="1427"/>
  <c r="E20" i="1427"/>
  <c r="F24" i="1427"/>
  <c r="E26" i="1427"/>
  <c r="F37" i="1427"/>
  <c r="E38" i="1427"/>
  <c r="F42" i="1427"/>
  <c r="F43" i="1427"/>
  <c r="E45" i="1427"/>
  <c r="E50" i="1427"/>
  <c r="E56" i="1427"/>
  <c r="F67" i="1427"/>
  <c r="F69" i="1427"/>
  <c r="F70" i="1427"/>
  <c r="E71" i="1427"/>
  <c r="E76" i="1427"/>
  <c r="C78" i="1427"/>
  <c r="G64" i="1458" s="1"/>
  <c r="F79" i="1427"/>
  <c r="E80" i="1427"/>
  <c r="F82" i="1427"/>
  <c r="E84" i="1427"/>
  <c r="E89" i="1427"/>
  <c r="E105" i="1427"/>
  <c r="E109" i="1427"/>
  <c r="F119" i="1427"/>
  <c r="E121" i="1427"/>
  <c r="E123" i="1427"/>
  <c r="E127" i="1427"/>
  <c r="E134" i="1427"/>
  <c r="E139" i="1427"/>
  <c r="E150" i="1427"/>
  <c r="E154" i="1427"/>
  <c r="E160" i="1427"/>
  <c r="C39" i="1430"/>
  <c r="C59" i="1431"/>
  <c r="C59" i="1432"/>
  <c r="C38" i="1433"/>
  <c r="C43" i="1433" s="1"/>
  <c r="F14" i="1434"/>
  <c r="F15" i="1434"/>
  <c r="C59" i="1435"/>
  <c r="E47" i="1434"/>
  <c r="C38" i="1441"/>
  <c r="E9" i="1440"/>
  <c r="E32" i="1434"/>
  <c r="F27" i="1437"/>
  <c r="C47" i="1437"/>
  <c r="F50" i="1437"/>
  <c r="E27" i="1437"/>
  <c r="C38" i="1445"/>
  <c r="C43" i="1445" s="1"/>
  <c r="D13" i="1450"/>
  <c r="K40" i="1452"/>
  <c r="I58" i="1452"/>
  <c r="I92" i="1452"/>
  <c r="K92" i="1452"/>
  <c r="O14" i="1458"/>
  <c r="H15" i="1458"/>
  <c r="C39" i="1434"/>
  <c r="F39" i="1434" s="1"/>
  <c r="F48" i="1434"/>
  <c r="F49" i="1434"/>
  <c r="F50" i="1434"/>
  <c r="F53" i="1434"/>
  <c r="C38" i="1436"/>
  <c r="C43" i="1436" s="1"/>
  <c r="F32" i="1440"/>
  <c r="C39" i="1440"/>
  <c r="C38" i="1442"/>
  <c r="C43" i="1442" s="1"/>
  <c r="F21" i="1443"/>
  <c r="F24" i="1443"/>
  <c r="F25" i="1443"/>
  <c r="F27" i="1443"/>
  <c r="F32" i="1443"/>
  <c r="C39" i="1443"/>
  <c r="F39" i="1443" s="1"/>
  <c r="C47" i="1443"/>
  <c r="C59" i="1443" s="1"/>
  <c r="F59" i="1443" s="1"/>
  <c r="F50" i="1443"/>
  <c r="C38" i="1446"/>
  <c r="C43" i="1446" s="1"/>
  <c r="F21" i="1447"/>
  <c r="F48" i="1447"/>
  <c r="C58" i="1449"/>
  <c r="E58" i="1447" s="1"/>
  <c r="F58" i="1447" s="1"/>
  <c r="D68" i="1452"/>
  <c r="I68" i="1452"/>
  <c r="I93" i="1452" s="1"/>
  <c r="E58" i="1452"/>
  <c r="E68" i="1452" s="1"/>
  <c r="E93" i="1452" s="1"/>
  <c r="E92" i="1452"/>
  <c r="G92" i="1452"/>
  <c r="F92" i="1452"/>
  <c r="F93" i="1452" s="1"/>
  <c r="I99" i="1452"/>
  <c r="I134" i="1452" s="1"/>
  <c r="D134" i="1452"/>
  <c r="I159" i="1452"/>
  <c r="D159" i="1452"/>
  <c r="D160" i="1452" s="1"/>
  <c r="E16" i="1455"/>
  <c r="D28" i="1455"/>
  <c r="I28" i="1455"/>
  <c r="O19" i="1455"/>
  <c r="O23" i="1455"/>
  <c r="D31" i="1457"/>
  <c r="B74" i="1419"/>
  <c r="O24" i="1458"/>
  <c r="O42" i="1458"/>
  <c r="E67" i="1429"/>
  <c r="E92" i="1429"/>
  <c r="E78" i="1429"/>
  <c r="E81" i="1429"/>
  <c r="E136" i="1429"/>
  <c r="E143" i="1429"/>
  <c r="L62" i="1458"/>
  <c r="F18" i="1427"/>
  <c r="E18" i="1429"/>
  <c r="E25" i="1429"/>
  <c r="E52" i="1429"/>
  <c r="E85" i="1429"/>
  <c r="E32" i="1429"/>
  <c r="E46" i="1429"/>
  <c r="E69" i="1429"/>
  <c r="E117" i="1429"/>
  <c r="E119" i="1429"/>
  <c r="E132" i="1429"/>
  <c r="F114" i="1427"/>
  <c r="E39" i="1430"/>
  <c r="E42" i="1430"/>
  <c r="E15" i="1427"/>
  <c r="E113" i="1427"/>
  <c r="E30" i="1427"/>
  <c r="E120" i="1427"/>
  <c r="E118" i="1427"/>
  <c r="E116" i="1427"/>
  <c r="E115" i="1427"/>
  <c r="E12" i="1427"/>
  <c r="E13" i="1427"/>
  <c r="F25" i="1427"/>
  <c r="F12" i="1427"/>
  <c r="G73" i="1419"/>
  <c r="G45" i="1423"/>
  <c r="C68" i="1428"/>
  <c r="D9" i="1427"/>
  <c r="C92" i="1428"/>
  <c r="D92" i="1427" s="1"/>
  <c r="C131" i="1428"/>
  <c r="C156" i="1428"/>
  <c r="E40" i="1429"/>
  <c r="D40" i="1427"/>
  <c r="E58" i="1429"/>
  <c r="D58" i="1427"/>
  <c r="E9" i="1429"/>
  <c r="C68" i="1429"/>
  <c r="E63" i="1429"/>
  <c r="D63" i="1427"/>
  <c r="F63" i="1427" s="1"/>
  <c r="E101" i="1429"/>
  <c r="C96" i="1429"/>
  <c r="D101" i="1427"/>
  <c r="F101" i="1427" s="1"/>
  <c r="F27" i="1416"/>
  <c r="F12" i="1420"/>
  <c r="B13" i="1421"/>
  <c r="C23" i="1422"/>
  <c r="E8" i="1423"/>
  <c r="E13" i="1423" s="1"/>
  <c r="E9" i="1427"/>
  <c r="E10" i="1427"/>
  <c r="F11" i="1427"/>
  <c r="F14" i="1427"/>
  <c r="E18" i="1427"/>
  <c r="F19" i="1427"/>
  <c r="F21" i="1427"/>
  <c r="F23" i="1427"/>
  <c r="F27" i="1427"/>
  <c r="F29" i="1427"/>
  <c r="F31" i="1427"/>
  <c r="F36" i="1427"/>
  <c r="F39" i="1427"/>
  <c r="E42" i="1427"/>
  <c r="E43" i="1427"/>
  <c r="F44" i="1427"/>
  <c r="E46" i="1427"/>
  <c r="F47" i="1427"/>
  <c r="F49" i="1427"/>
  <c r="E51" i="1427"/>
  <c r="E52" i="1427"/>
  <c r="F53" i="1427"/>
  <c r="F55" i="1427"/>
  <c r="F57" i="1427"/>
  <c r="E60" i="1427"/>
  <c r="E61" i="1427"/>
  <c r="F62" i="1427"/>
  <c r="F65" i="1427"/>
  <c r="F72" i="1427"/>
  <c r="F75" i="1427"/>
  <c r="F77" i="1427"/>
  <c r="E81" i="1427"/>
  <c r="E82" i="1427"/>
  <c r="F83" i="1427"/>
  <c r="E85" i="1427"/>
  <c r="F86" i="1427"/>
  <c r="F88" i="1427"/>
  <c r="F90" i="1427"/>
  <c r="C92" i="1427"/>
  <c r="E97" i="1427"/>
  <c r="E98" i="1427"/>
  <c r="E99" i="1427"/>
  <c r="F100" i="1427"/>
  <c r="F104" i="1427"/>
  <c r="F106" i="1427"/>
  <c r="F108" i="1427"/>
  <c r="F110" i="1427"/>
  <c r="F112" i="1427"/>
  <c r="F124" i="1427"/>
  <c r="F126" i="1427"/>
  <c r="F128" i="1427"/>
  <c r="E130" i="1427"/>
  <c r="E132" i="1427"/>
  <c r="F133" i="1427"/>
  <c r="F135" i="1427"/>
  <c r="F138" i="1427"/>
  <c r="F140" i="1427"/>
  <c r="F142" i="1427"/>
  <c r="E145" i="1427"/>
  <c r="F146" i="1427"/>
  <c r="E148" i="1427"/>
  <c r="F149" i="1427"/>
  <c r="F151" i="1427"/>
  <c r="F153" i="1427"/>
  <c r="F155" i="1427"/>
  <c r="F159" i="1427"/>
  <c r="E12" i="1429"/>
  <c r="E33" i="1429"/>
  <c r="E42" i="1429"/>
  <c r="E61" i="1429"/>
  <c r="E66" i="1429"/>
  <c r="E73" i="1429"/>
  <c r="E113" i="1429"/>
  <c r="E118" i="1429"/>
  <c r="C156" i="1429"/>
  <c r="E156" i="1429" s="1"/>
  <c r="E38" i="1434"/>
  <c r="C43" i="1435"/>
  <c r="E43" i="1434" s="1"/>
  <c r="F39" i="1440"/>
  <c r="G69" i="1419"/>
  <c r="E39" i="1421"/>
  <c r="E45" i="1421" s="1"/>
  <c r="E46" i="1421" s="1"/>
  <c r="E38" i="1422"/>
  <c r="E45" i="1422" s="1"/>
  <c r="E17" i="1424"/>
  <c r="E23" i="1424" s="1"/>
  <c r="F9" i="1427"/>
  <c r="E25" i="1427"/>
  <c r="E32" i="1427"/>
  <c r="C40" i="1427"/>
  <c r="C58" i="1427"/>
  <c r="E69" i="1427"/>
  <c r="E78" i="1427"/>
  <c r="E114" i="1427"/>
  <c r="C122" i="1427"/>
  <c r="F132" i="1427"/>
  <c r="C143" i="1427"/>
  <c r="E148" i="1429"/>
  <c r="D38" i="1430"/>
  <c r="C43" i="1431"/>
  <c r="D43" i="1430" s="1"/>
  <c r="D47" i="1430"/>
  <c r="C59" i="1433"/>
  <c r="F32" i="1434"/>
  <c r="E59" i="1434"/>
  <c r="C43" i="1438"/>
  <c r="E43" i="1437" s="1"/>
  <c r="E38" i="1437"/>
  <c r="F38" i="1437" s="1"/>
  <c r="C59" i="1438"/>
  <c r="E59" i="1437" s="1"/>
  <c r="E47" i="1437"/>
  <c r="F47" i="1437" s="1"/>
  <c r="C43" i="1441"/>
  <c r="E43" i="1440" s="1"/>
  <c r="E38" i="1440"/>
  <c r="B15" i="1450"/>
  <c r="E9" i="1430"/>
  <c r="C38" i="1430"/>
  <c r="C47" i="1430"/>
  <c r="D48" i="1430"/>
  <c r="E48" i="1430" s="1"/>
  <c r="E49" i="1430"/>
  <c r="C9" i="1434"/>
  <c r="C47" i="1434"/>
  <c r="E9" i="1437"/>
  <c r="F9" i="1437" s="1"/>
  <c r="C39" i="1437"/>
  <c r="F39" i="1437" s="1"/>
  <c r="C53" i="1437"/>
  <c r="F53" i="1437" s="1"/>
  <c r="C9" i="1440"/>
  <c r="F47" i="1440"/>
  <c r="F53" i="1440"/>
  <c r="F53" i="1443"/>
  <c r="C43" i="1444"/>
  <c r="E43" i="1443" s="1"/>
  <c r="F59" i="1447"/>
  <c r="F53" i="1447"/>
  <c r="C38" i="1448"/>
  <c r="E9" i="1447"/>
  <c r="F9" i="1447" s="1"/>
  <c r="C134" i="1452"/>
  <c r="C160" i="1452" s="1"/>
  <c r="F63" i="1458"/>
  <c r="M63" i="1458"/>
  <c r="E16" i="1450"/>
  <c r="K15" i="1450"/>
  <c r="C15" i="1450" s="1"/>
  <c r="C16" i="1450" s="1"/>
  <c r="L64" i="1458" s="1"/>
  <c r="L63" i="1458" s="1"/>
  <c r="C43" i="1443"/>
  <c r="C38" i="1447"/>
  <c r="C42" i="1449"/>
  <c r="E37" i="1447"/>
  <c r="F37" i="1447" s="1"/>
  <c r="F14" i="1447"/>
  <c r="D93" i="1452"/>
  <c r="O15" i="1455"/>
  <c r="O18" i="1455"/>
  <c r="O32" i="1458"/>
  <c r="F40" i="1459"/>
  <c r="F9" i="1443"/>
  <c r="E47" i="1443"/>
  <c r="F47" i="1443" s="1"/>
  <c r="E42" i="1447"/>
  <c r="F42" i="1447" s="1"/>
  <c r="E47" i="1447"/>
  <c r="F47" i="1447" s="1"/>
  <c r="D10" i="1450"/>
  <c r="C68" i="1452"/>
  <c r="G68" i="1452"/>
  <c r="G93" i="1452" s="1"/>
  <c r="K68" i="1452"/>
  <c r="K93" i="1452" s="1"/>
  <c r="C92" i="1452"/>
  <c r="C28" i="1455"/>
  <c r="D63" i="1458"/>
  <c r="G63" i="1458"/>
  <c r="N63" i="1458"/>
  <c r="E29" i="1455"/>
  <c r="G29" i="1455"/>
  <c r="I29" i="1455"/>
  <c r="K29" i="1455"/>
  <c r="M29" i="1455"/>
  <c r="O7" i="1455"/>
  <c r="D16" i="1455"/>
  <c r="D29" i="1455" s="1"/>
  <c r="F28" i="1455"/>
  <c r="F29" i="1455" s="1"/>
  <c r="H28" i="1455"/>
  <c r="H29" i="1455" s="1"/>
  <c r="J28" i="1455"/>
  <c r="J29" i="1455" s="1"/>
  <c r="L28" i="1455"/>
  <c r="L29" i="1455" s="1"/>
  <c r="N28" i="1455"/>
  <c r="N29" i="1455" s="1"/>
  <c r="C60" i="1458"/>
  <c r="C62" i="1458" s="1"/>
  <c r="H10" i="1458"/>
  <c r="H12" i="1458"/>
  <c r="O21" i="1458"/>
  <c r="O60" i="1458" s="1"/>
  <c r="E60" i="1458"/>
  <c r="E62" i="1458" s="1"/>
  <c r="E63" i="1458" s="1"/>
  <c r="H58" i="1458"/>
  <c r="F74" i="1419" l="1"/>
  <c r="D59" i="1430"/>
  <c r="G74" i="1419"/>
  <c r="F43" i="1443"/>
  <c r="E38" i="1443"/>
  <c r="F38" i="1443" s="1"/>
  <c r="I160" i="1452"/>
  <c r="C43" i="1437"/>
  <c r="F78" i="1427"/>
  <c r="O62" i="1458"/>
  <c r="O16" i="1455"/>
  <c r="C43" i="1447"/>
  <c r="C38" i="1440"/>
  <c r="F9" i="1440"/>
  <c r="C38" i="1434"/>
  <c r="F9" i="1434"/>
  <c r="C43" i="1430"/>
  <c r="E43" i="1430" s="1"/>
  <c r="E38" i="1430"/>
  <c r="B16" i="1450"/>
  <c r="D15" i="1450"/>
  <c r="D16" i="1450" s="1"/>
  <c r="F43" i="1437"/>
  <c r="E143" i="1427"/>
  <c r="F143" i="1427"/>
  <c r="E122" i="1427"/>
  <c r="C117" i="1427"/>
  <c r="F122" i="1427"/>
  <c r="E58" i="1427"/>
  <c r="F58" i="1427"/>
  <c r="F92" i="1427"/>
  <c r="E92" i="1427"/>
  <c r="D96" i="1427"/>
  <c r="C131" i="1429"/>
  <c r="E96" i="1429"/>
  <c r="C93" i="1429"/>
  <c r="E93" i="1429" s="1"/>
  <c r="E68" i="1429"/>
  <c r="E63" i="1427"/>
  <c r="D156" i="1427"/>
  <c r="C93" i="1428"/>
  <c r="D93" i="1427" s="1"/>
  <c r="D68" i="1427"/>
  <c r="H60" i="1458"/>
  <c r="H62" i="1458" s="1"/>
  <c r="O28" i="1455"/>
  <c r="C93" i="1452"/>
  <c r="C29" i="1455"/>
  <c r="K16" i="1450"/>
  <c r="C43" i="1448"/>
  <c r="E43" i="1447" s="1"/>
  <c r="E38" i="1447"/>
  <c r="F38" i="1447" s="1"/>
  <c r="C59" i="1437"/>
  <c r="F59" i="1437" s="1"/>
  <c r="C59" i="1434"/>
  <c r="F59" i="1434" s="1"/>
  <c r="F47" i="1434"/>
  <c r="C59" i="1430"/>
  <c r="E59" i="1430" s="1"/>
  <c r="E47" i="1430"/>
  <c r="C156" i="1427"/>
  <c r="C68" i="1427"/>
  <c r="E40" i="1427"/>
  <c r="F40" i="1427"/>
  <c r="J64" i="1458"/>
  <c r="C64" i="1458"/>
  <c r="H64" i="1458" s="1"/>
  <c r="C157" i="1428"/>
  <c r="D131" i="1427"/>
  <c r="E101" i="1427"/>
  <c r="J63" i="1458" l="1"/>
  <c r="E156" i="1427"/>
  <c r="F156" i="1427"/>
  <c r="C63" i="1458"/>
  <c r="C157" i="1429"/>
  <c r="E157" i="1429" s="1"/>
  <c r="E131" i="1429"/>
  <c r="O29" i="1455"/>
  <c r="E68" i="1427"/>
  <c r="C93" i="1427"/>
  <c r="F68" i="1427"/>
  <c r="H63" i="1458"/>
  <c r="E96" i="1427"/>
  <c r="F96" i="1427"/>
  <c r="K64" i="1458"/>
  <c r="K63" i="1458" s="1"/>
  <c r="E117" i="1427"/>
  <c r="F117" i="1427"/>
  <c r="C131" i="1427"/>
  <c r="C43" i="1434"/>
  <c r="F43" i="1434" s="1"/>
  <c r="F38" i="1434"/>
  <c r="C43" i="1440"/>
  <c r="F43" i="1440" s="1"/>
  <c r="F38" i="1440"/>
  <c r="F43" i="1447"/>
  <c r="P60" i="1458"/>
  <c r="C157" i="1427" l="1"/>
  <c r="F131" i="1427"/>
  <c r="E131" i="1427"/>
  <c r="F93" i="1427"/>
  <c r="E93" i="1427"/>
  <c r="O64" i="1458"/>
  <c r="O63" i="1458" s="1"/>
  <c r="D157" i="1427"/>
  <c r="E157" i="1427" l="1"/>
  <c r="F157" i="1427"/>
  <c r="C104" i="1360" l="1"/>
  <c r="D118" i="1359"/>
  <c r="D15" i="1359"/>
  <c r="D63" i="1358"/>
  <c r="D17" i="1358"/>
  <c r="D16" i="1358"/>
  <c r="D13" i="1358"/>
  <c r="D12" i="1358"/>
  <c r="D63" i="1357"/>
  <c r="D16" i="1357"/>
  <c r="D17" i="1357"/>
  <c r="D13" i="1357"/>
  <c r="D12" i="1357"/>
  <c r="A1" i="1360" l="1"/>
  <c r="D53" i="1357" l="1"/>
  <c r="D53" i="1358"/>
  <c r="D81" i="1358" l="1"/>
  <c r="F48" i="1358"/>
  <c r="F47" i="1358"/>
  <c r="D39" i="1358"/>
  <c r="D81" i="1357"/>
  <c r="F48" i="1357"/>
  <c r="F47" i="1357"/>
  <c r="D39" i="1357"/>
  <c r="D63" i="1359" l="1"/>
  <c r="C16" i="1359"/>
  <c r="D14" i="1359"/>
  <c r="C15" i="1359"/>
  <c r="D69" i="1359"/>
  <c r="D68" i="1359"/>
  <c r="D48" i="1359"/>
  <c r="D44" i="1359"/>
  <c r="F26" i="1359"/>
  <c r="F25" i="1359"/>
  <c r="D14" i="1358"/>
  <c r="C15" i="1358"/>
  <c r="C16" i="1358"/>
  <c r="D84" i="1358"/>
  <c r="D18" i="1358"/>
  <c r="H15" i="1357" l="1"/>
  <c r="H16" i="1357"/>
  <c r="D84" i="1357"/>
  <c r="D69" i="1357"/>
  <c r="D68" i="1357"/>
  <c r="D44" i="1357"/>
  <c r="F26" i="1357"/>
  <c r="F25" i="1357"/>
  <c r="D18" i="1357"/>
  <c r="H96" i="1357"/>
  <c r="H97" i="1357"/>
  <c r="H98" i="1357"/>
  <c r="H100" i="1357"/>
  <c r="E14" i="1357"/>
  <c r="F14" i="1357"/>
  <c r="C16" i="1357"/>
  <c r="H14" i="1452" s="1"/>
  <c r="D14" i="1357"/>
  <c r="I16" i="1357" l="1"/>
  <c r="C15" i="1357"/>
  <c r="H13" i="1452" s="1"/>
  <c r="A1" i="1399"/>
  <c r="A1" i="1359"/>
  <c r="A1" i="1358"/>
  <c r="I15" i="1357" l="1"/>
  <c r="C103" i="1399"/>
  <c r="C102" i="1399"/>
  <c r="F103" i="1359"/>
  <c r="F102" i="1359"/>
  <c r="F103" i="1358"/>
  <c r="F102" i="1358"/>
  <c r="F103" i="1357"/>
  <c r="F102" i="1357"/>
  <c r="D118" i="1358" l="1"/>
  <c r="D126" i="1358" l="1"/>
  <c r="D126" i="1357"/>
  <c r="A11" i="1413" l="1"/>
  <c r="A4" i="1413"/>
  <c r="F26" i="1358" l="1"/>
  <c r="F25" i="1358"/>
  <c r="E106" i="1359"/>
  <c r="F106" i="1359"/>
  <c r="E106" i="1358"/>
  <c r="F106" i="1358"/>
  <c r="F125" i="1358"/>
  <c r="F123" i="1358"/>
  <c r="F104" i="1358"/>
  <c r="F81" i="1358"/>
  <c r="F49" i="1358"/>
  <c r="F45" i="1358"/>
  <c r="F44" i="1358"/>
  <c r="F124" i="1359"/>
  <c r="F123" i="1359"/>
  <c r="F104" i="1359"/>
  <c r="F81" i="1359"/>
  <c r="F33" i="1359"/>
  <c r="F32" i="1359"/>
  <c r="F48" i="1359"/>
  <c r="F47" i="1359"/>
  <c r="F45" i="1359"/>
  <c r="F44" i="1359"/>
  <c r="A4" i="1399"/>
  <c r="A3" i="1399"/>
  <c r="F125" i="1357"/>
  <c r="F123" i="1357"/>
  <c r="F124" i="1357"/>
  <c r="F104" i="1357"/>
  <c r="F81" i="1357"/>
  <c r="F33" i="1357"/>
  <c r="F32" i="1357"/>
  <c r="F53" i="1357"/>
  <c r="F49" i="1357"/>
  <c r="F45" i="1357"/>
  <c r="F43" i="1357"/>
  <c r="F44" i="1357"/>
  <c r="D44" i="1358"/>
  <c r="D43" i="1358"/>
  <c r="D40" i="1358"/>
  <c r="D37" i="1358"/>
  <c r="D36" i="1358"/>
  <c r="D62" i="1357"/>
  <c r="D40" i="1357"/>
  <c r="D37" i="1357"/>
  <c r="D36" i="1357"/>
  <c r="C57" i="1360"/>
  <c r="C53" i="1360"/>
  <c r="C48" i="1360"/>
  <c r="C45" i="1360"/>
  <c r="C44" i="1360"/>
  <c r="A4" i="1360"/>
  <c r="A3" i="1360"/>
  <c r="A4" i="1359"/>
  <c r="A3" i="1359"/>
  <c r="E44" i="1358"/>
  <c r="E48" i="1358"/>
  <c r="E81" i="1357"/>
  <c r="E44" i="1357"/>
  <c r="E53" i="1357"/>
  <c r="E48" i="1357"/>
  <c r="E45" i="1357"/>
  <c r="D106" i="1359" l="1"/>
  <c r="A4" i="1358"/>
  <c r="A3" i="1358"/>
  <c r="A4" i="1357"/>
  <c r="A3" i="1357"/>
  <c r="F106" i="1357" l="1"/>
  <c r="F119" i="1357"/>
  <c r="F127" i="1357"/>
  <c r="D127" i="1357"/>
  <c r="C139" i="1357" l="1"/>
  <c r="H137" i="1452" s="1"/>
  <c r="C138" i="1357"/>
  <c r="H136" i="1452" s="1"/>
  <c r="E19" i="1361" l="1"/>
  <c r="E20" i="1362"/>
  <c r="E18" i="1362" l="1"/>
  <c r="E29" i="1362" s="1"/>
  <c r="C153" i="1399" l="1"/>
  <c r="C148" i="1399"/>
  <c r="C141" i="1399"/>
  <c r="C137" i="1399"/>
  <c r="C127" i="1399"/>
  <c r="C119" i="1399"/>
  <c r="C106" i="1399"/>
  <c r="C99" i="1399"/>
  <c r="C87" i="1399"/>
  <c r="C83" i="1399"/>
  <c r="C80" i="1399"/>
  <c r="C75" i="1399"/>
  <c r="C71" i="1399"/>
  <c r="C65" i="1399"/>
  <c r="C60" i="1399"/>
  <c r="C54" i="1399"/>
  <c r="C35" i="1399"/>
  <c r="C34" i="1399" s="1"/>
  <c r="C27" i="1399"/>
  <c r="C20" i="1399"/>
  <c r="C11" i="1399"/>
  <c r="C161" i="1399" l="1"/>
  <c r="C94" i="1399"/>
  <c r="C122" i="1399"/>
  <c r="C101" i="1399"/>
  <c r="C42" i="1399"/>
  <c r="C70" i="1399" s="1"/>
  <c r="C167" i="1399" l="1"/>
  <c r="C136" i="1399"/>
  <c r="C162" i="1399" s="1"/>
  <c r="C95" i="1399"/>
  <c r="F153" i="1359"/>
  <c r="F148" i="1359"/>
  <c r="F141" i="1359"/>
  <c r="F137" i="1359"/>
  <c r="F122" i="1359"/>
  <c r="F101" i="1359"/>
  <c r="F87" i="1359"/>
  <c r="F83" i="1359"/>
  <c r="F80" i="1359"/>
  <c r="F75" i="1359"/>
  <c r="F71" i="1359"/>
  <c r="F65" i="1359"/>
  <c r="F60" i="1359"/>
  <c r="F54" i="1359"/>
  <c r="F35" i="1359"/>
  <c r="F34" i="1359" s="1"/>
  <c r="F27" i="1359"/>
  <c r="F20" i="1359"/>
  <c r="F11" i="1359"/>
  <c r="F153" i="1358"/>
  <c r="F148" i="1358"/>
  <c r="F141" i="1358"/>
  <c r="F137" i="1358"/>
  <c r="F122" i="1358"/>
  <c r="F101" i="1358"/>
  <c r="F87" i="1358"/>
  <c r="F83" i="1358"/>
  <c r="F80" i="1358"/>
  <c r="F75" i="1358"/>
  <c r="F71" i="1358"/>
  <c r="F65" i="1358"/>
  <c r="F60" i="1358"/>
  <c r="F54" i="1358"/>
  <c r="F35" i="1358"/>
  <c r="F34" i="1358" s="1"/>
  <c r="F27" i="1358"/>
  <c r="F20" i="1358"/>
  <c r="F11" i="1358"/>
  <c r="F153" i="1357"/>
  <c r="F148" i="1357"/>
  <c r="F141" i="1357"/>
  <c r="F137" i="1357"/>
  <c r="F122" i="1357"/>
  <c r="F87" i="1357"/>
  <c r="F83" i="1357"/>
  <c r="F80" i="1357"/>
  <c r="F75" i="1357"/>
  <c r="F71" i="1357"/>
  <c r="F65" i="1357"/>
  <c r="F60" i="1357"/>
  <c r="F54" i="1357"/>
  <c r="F42" i="1357"/>
  <c r="F35" i="1357"/>
  <c r="F34" i="1357" s="1"/>
  <c r="F27" i="1357"/>
  <c r="F20" i="1357"/>
  <c r="F11" i="1357"/>
  <c r="F136" i="1359" l="1"/>
  <c r="C166" i="1399"/>
  <c r="F136" i="1358"/>
  <c r="F94" i="1357"/>
  <c r="F70" i="1357"/>
  <c r="F101" i="1357"/>
  <c r="F136" i="1357" s="1"/>
  <c r="F161" i="1357"/>
  <c r="F42" i="1358"/>
  <c r="F70" i="1358" s="1"/>
  <c r="F94" i="1358"/>
  <c r="F94" i="1359"/>
  <c r="F161" i="1358"/>
  <c r="F42" i="1359"/>
  <c r="F70" i="1359" s="1"/>
  <c r="F161" i="1359"/>
  <c r="F162" i="1358" l="1"/>
  <c r="F162" i="1359"/>
  <c r="F95" i="1359"/>
  <c r="F95" i="1358"/>
  <c r="F162" i="1357"/>
  <c r="F95" i="1357"/>
  <c r="C105" i="1359" l="1"/>
  <c r="C107" i="1359"/>
  <c r="C108" i="1359"/>
  <c r="C109" i="1359"/>
  <c r="C110" i="1359"/>
  <c r="C111" i="1359"/>
  <c r="C112" i="1359"/>
  <c r="C113" i="1359"/>
  <c r="C114" i="1359"/>
  <c r="C115" i="1359"/>
  <c r="C116" i="1359"/>
  <c r="C117" i="1359"/>
  <c r="C118" i="1359"/>
  <c r="C119" i="1359"/>
  <c r="C120" i="1359"/>
  <c r="C121" i="1359"/>
  <c r="C106" i="1359"/>
  <c r="C118" i="1358"/>
  <c r="D127" i="1358"/>
  <c r="C126" i="1358"/>
  <c r="C128" i="1358"/>
  <c r="C129" i="1358"/>
  <c r="C130" i="1358"/>
  <c r="C131" i="1358"/>
  <c r="C132" i="1358"/>
  <c r="C133" i="1358"/>
  <c r="C134" i="1358"/>
  <c r="D119" i="1358"/>
  <c r="C107" i="1358"/>
  <c r="H107" i="1357" s="1"/>
  <c r="C108" i="1358"/>
  <c r="C109" i="1358"/>
  <c r="H109" i="1357" s="1"/>
  <c r="C110" i="1358"/>
  <c r="C111" i="1358"/>
  <c r="H111" i="1357" s="1"/>
  <c r="C112" i="1358"/>
  <c r="C113" i="1358"/>
  <c r="H113" i="1357" s="1"/>
  <c r="C114" i="1358"/>
  <c r="C115" i="1358"/>
  <c r="H115" i="1357" s="1"/>
  <c r="C116" i="1358"/>
  <c r="C117" i="1358"/>
  <c r="H117" i="1357" s="1"/>
  <c r="C119" i="1358"/>
  <c r="C120" i="1358"/>
  <c r="H120" i="1357" s="1"/>
  <c r="C121" i="1358"/>
  <c r="H121" i="1357" s="1"/>
  <c r="E119" i="1357"/>
  <c r="D119" i="1357"/>
  <c r="C37" i="1357"/>
  <c r="H35" i="1452" s="1"/>
  <c r="C40" i="1357"/>
  <c r="H38" i="1452" s="1"/>
  <c r="C39" i="1357"/>
  <c r="H37" i="1452" s="1"/>
  <c r="C38" i="1357"/>
  <c r="H36" i="1452" s="1"/>
  <c r="C36" i="1357"/>
  <c r="H34" i="1452" s="1"/>
  <c r="H118" i="1357" l="1"/>
  <c r="H116" i="1357"/>
  <c r="H114" i="1357"/>
  <c r="H112" i="1357"/>
  <c r="H110" i="1357"/>
  <c r="H108" i="1357"/>
  <c r="C127" i="1358"/>
  <c r="C135" i="1358"/>
  <c r="D35" i="1357"/>
  <c r="D106" i="1358"/>
  <c r="C106" i="1358" l="1"/>
  <c r="C128" i="1357"/>
  <c r="H126" i="1452" s="1"/>
  <c r="C129" i="1357"/>
  <c r="H127" i="1452" s="1"/>
  <c r="C130" i="1357"/>
  <c r="H128" i="1452" s="1"/>
  <c r="C131" i="1357"/>
  <c r="H129" i="1452" s="1"/>
  <c r="C132" i="1357"/>
  <c r="H130" i="1452" s="1"/>
  <c r="C133" i="1357"/>
  <c r="H131" i="1452" s="1"/>
  <c r="C134" i="1357"/>
  <c r="H132" i="1452" s="1"/>
  <c r="C135" i="1357"/>
  <c r="H133" i="1452" s="1"/>
  <c r="E127" i="1357"/>
  <c r="C127" i="1357" s="1"/>
  <c r="P25" i="1455" l="1"/>
  <c r="Q25" i="1455" s="1"/>
  <c r="H125" i="1452"/>
  <c r="E9" i="1362"/>
  <c r="E106" i="1357"/>
  <c r="D106" i="1357"/>
  <c r="C105" i="1357"/>
  <c r="C107" i="1357"/>
  <c r="H105" i="1452" s="1"/>
  <c r="C108" i="1357"/>
  <c r="H106" i="1452" s="1"/>
  <c r="C109" i="1357"/>
  <c r="H107" i="1452" s="1"/>
  <c r="C110" i="1357"/>
  <c r="H108" i="1452" s="1"/>
  <c r="C111" i="1357"/>
  <c r="H109" i="1452" s="1"/>
  <c r="C112" i="1357"/>
  <c r="H110" i="1452" s="1"/>
  <c r="C113" i="1357"/>
  <c r="H111" i="1452" s="1"/>
  <c r="C114" i="1357"/>
  <c r="H112" i="1452" s="1"/>
  <c r="C115" i="1357"/>
  <c r="H113" i="1452" s="1"/>
  <c r="C116" i="1357"/>
  <c r="H114" i="1452" s="1"/>
  <c r="C117" i="1357"/>
  <c r="H115" i="1452" s="1"/>
  <c r="C118" i="1357"/>
  <c r="H116" i="1452" s="1"/>
  <c r="C119" i="1357"/>
  <c r="C120" i="1357"/>
  <c r="H118" i="1452" s="1"/>
  <c r="C121" i="1357"/>
  <c r="H119" i="1452" s="1"/>
  <c r="P21" i="1455" l="1"/>
  <c r="Q21" i="1455" s="1"/>
  <c r="H103" i="1452"/>
  <c r="E10" i="1361"/>
  <c r="P26" i="1455"/>
  <c r="Q26" i="1455" s="1"/>
  <c r="H117" i="1452"/>
  <c r="E8" i="1361"/>
  <c r="C106" i="1357"/>
  <c r="C104" i="1357"/>
  <c r="P22" i="1455" l="1"/>
  <c r="Q22" i="1455" s="1"/>
  <c r="H104" i="1452"/>
  <c r="P20" i="1455"/>
  <c r="Q20" i="1455" s="1"/>
  <c r="H102" i="1452"/>
  <c r="E9" i="1361"/>
  <c r="E7" i="1361"/>
  <c r="C127" i="1360"/>
  <c r="C119" i="1360"/>
  <c r="H119" i="1357" s="1"/>
  <c r="C106" i="1360"/>
  <c r="H106" i="1357" s="1"/>
  <c r="E3" i="1361" l="1"/>
  <c r="C35" i="1360"/>
  <c r="E35" i="1359"/>
  <c r="D35" i="1359"/>
  <c r="E35" i="1358"/>
  <c r="D35" i="1358"/>
  <c r="E35" i="1357"/>
  <c r="C35" i="1357" s="1"/>
  <c r="H33" i="1452" s="1"/>
  <c r="C12" i="1358"/>
  <c r="C13" i="1358"/>
  <c r="C14" i="1358"/>
  <c r="C17" i="1358"/>
  <c r="C18" i="1358"/>
  <c r="C25" i="1358"/>
  <c r="C26" i="1358"/>
  <c r="C28" i="1358"/>
  <c r="C29" i="1358"/>
  <c r="C30" i="1358"/>
  <c r="C31" i="1358"/>
  <c r="C32" i="1358"/>
  <c r="C33" i="1358"/>
  <c r="C12" i="1357"/>
  <c r="H10" i="1452" s="1"/>
  <c r="C35" i="1359" l="1"/>
  <c r="C17" i="1362"/>
  <c r="C153" i="1360"/>
  <c r="C148" i="1360"/>
  <c r="C141" i="1360"/>
  <c r="C137" i="1360"/>
  <c r="C122" i="1360"/>
  <c r="C101" i="1360"/>
  <c r="C99" i="1360"/>
  <c r="C87" i="1360"/>
  <c r="C83" i="1360"/>
  <c r="C80" i="1360"/>
  <c r="C75" i="1360"/>
  <c r="C71" i="1360"/>
  <c r="C65" i="1360"/>
  <c r="C60" i="1360"/>
  <c r="C54" i="1360"/>
  <c r="C42" i="1360"/>
  <c r="C34" i="1360"/>
  <c r="C27" i="1360"/>
  <c r="C20" i="1360"/>
  <c r="C11" i="1360"/>
  <c r="C160" i="1359"/>
  <c r="C159" i="1359"/>
  <c r="C158" i="1359"/>
  <c r="C157" i="1359"/>
  <c r="C156" i="1359"/>
  <c r="C155" i="1359"/>
  <c r="C154" i="1359"/>
  <c r="E153" i="1359"/>
  <c r="D153" i="1359"/>
  <c r="C152" i="1359"/>
  <c r="C151" i="1359"/>
  <c r="C150" i="1359"/>
  <c r="C149" i="1359"/>
  <c r="E148" i="1359"/>
  <c r="D148" i="1359"/>
  <c r="C147" i="1359"/>
  <c r="C146" i="1359"/>
  <c r="C145" i="1359"/>
  <c r="C144" i="1359"/>
  <c r="C143" i="1359"/>
  <c r="C142" i="1359"/>
  <c r="E141" i="1359"/>
  <c r="D141" i="1359"/>
  <c r="C140" i="1359"/>
  <c r="C139" i="1359"/>
  <c r="C138" i="1359"/>
  <c r="E137" i="1359"/>
  <c r="D137" i="1359"/>
  <c r="C135" i="1359"/>
  <c r="H135" i="1357" s="1"/>
  <c r="C134" i="1359"/>
  <c r="H134" i="1357" s="1"/>
  <c r="C133" i="1359"/>
  <c r="H133" i="1357" s="1"/>
  <c r="C132" i="1359"/>
  <c r="H132" i="1357" s="1"/>
  <c r="C131" i="1359"/>
  <c r="H131" i="1357" s="1"/>
  <c r="C130" i="1359"/>
  <c r="H130" i="1357" s="1"/>
  <c r="C129" i="1359"/>
  <c r="H129" i="1357" s="1"/>
  <c r="C128" i="1359"/>
  <c r="H128" i="1357" s="1"/>
  <c r="C126" i="1359"/>
  <c r="H126" i="1357" s="1"/>
  <c r="C125" i="1359"/>
  <c r="C124" i="1359"/>
  <c r="C123" i="1359"/>
  <c r="E122" i="1359"/>
  <c r="D122" i="1359"/>
  <c r="C104" i="1359"/>
  <c r="C103" i="1359"/>
  <c r="C102" i="1359"/>
  <c r="E101" i="1359"/>
  <c r="D101" i="1359"/>
  <c r="C99" i="1359"/>
  <c r="C93" i="1359"/>
  <c r="C92" i="1359"/>
  <c r="C91" i="1359"/>
  <c r="C90" i="1359"/>
  <c r="C89" i="1359"/>
  <c r="C88" i="1359"/>
  <c r="E87" i="1359"/>
  <c r="D87" i="1359"/>
  <c r="C86" i="1359"/>
  <c r="C85" i="1359"/>
  <c r="C84" i="1359"/>
  <c r="E83" i="1359"/>
  <c r="D83" i="1359"/>
  <c r="C82" i="1359"/>
  <c r="C81" i="1359"/>
  <c r="E80" i="1359"/>
  <c r="D80" i="1359"/>
  <c r="C79" i="1359"/>
  <c r="C78" i="1359"/>
  <c r="C77" i="1359"/>
  <c r="C76" i="1359"/>
  <c r="E75" i="1359"/>
  <c r="D75" i="1359"/>
  <c r="C74" i="1359"/>
  <c r="C73" i="1359"/>
  <c r="C72" i="1359"/>
  <c r="E71" i="1359"/>
  <c r="D71" i="1359"/>
  <c r="C69" i="1359"/>
  <c r="C68" i="1359"/>
  <c r="C67" i="1359"/>
  <c r="C66" i="1359"/>
  <c r="E65" i="1359"/>
  <c r="D65" i="1359"/>
  <c r="C64" i="1359"/>
  <c r="C63" i="1359"/>
  <c r="C62" i="1359"/>
  <c r="C61" i="1359"/>
  <c r="E60" i="1359"/>
  <c r="D60" i="1359"/>
  <c r="C59" i="1359"/>
  <c r="C58" i="1359"/>
  <c r="C57" i="1359"/>
  <c r="C56" i="1359"/>
  <c r="C55" i="1359"/>
  <c r="E54" i="1359"/>
  <c r="D54" i="1359"/>
  <c r="C53" i="1359"/>
  <c r="C52" i="1359"/>
  <c r="C51" i="1359"/>
  <c r="C50" i="1359"/>
  <c r="C49" i="1359"/>
  <c r="C48" i="1359"/>
  <c r="C47" i="1359"/>
  <c r="C46" i="1359"/>
  <c r="C45" i="1359"/>
  <c r="C44" i="1359"/>
  <c r="C43" i="1359"/>
  <c r="E42" i="1359"/>
  <c r="D42" i="1359"/>
  <c r="C41" i="1359"/>
  <c r="C40" i="1359"/>
  <c r="C39" i="1359"/>
  <c r="C38" i="1359"/>
  <c r="C37" i="1359"/>
  <c r="C36" i="1359"/>
  <c r="E34" i="1359"/>
  <c r="D34" i="1359"/>
  <c r="C33" i="1359"/>
  <c r="H33" i="1357" s="1"/>
  <c r="C32" i="1359"/>
  <c r="H32" i="1357" s="1"/>
  <c r="C31" i="1359"/>
  <c r="H31" i="1357" s="1"/>
  <c r="C30" i="1359"/>
  <c r="H30" i="1357" s="1"/>
  <c r="C29" i="1359"/>
  <c r="H29" i="1357" s="1"/>
  <c r="C28" i="1359"/>
  <c r="H28" i="1357" s="1"/>
  <c r="E27" i="1359"/>
  <c r="D27" i="1359"/>
  <c r="C26" i="1359"/>
  <c r="H26" i="1357" s="1"/>
  <c r="C25" i="1359"/>
  <c r="H25" i="1357" s="1"/>
  <c r="C24" i="1359"/>
  <c r="C23" i="1359"/>
  <c r="C22" i="1359"/>
  <c r="C21" i="1359"/>
  <c r="E20" i="1359"/>
  <c r="D20" i="1359"/>
  <c r="C19" i="1359"/>
  <c r="C18" i="1359"/>
  <c r="H18" i="1357" s="1"/>
  <c r="C17" i="1359"/>
  <c r="H17" i="1357" s="1"/>
  <c r="C14" i="1359"/>
  <c r="H14" i="1357" s="1"/>
  <c r="C13" i="1359"/>
  <c r="H13" i="1357" s="1"/>
  <c r="C12" i="1359"/>
  <c r="H12" i="1357" s="1"/>
  <c r="I12" i="1357" s="1"/>
  <c r="E11" i="1359"/>
  <c r="D11" i="1359"/>
  <c r="C160" i="1358"/>
  <c r="H160" i="1357" s="1"/>
  <c r="C159" i="1358"/>
  <c r="H159" i="1357" s="1"/>
  <c r="C158" i="1358"/>
  <c r="H158" i="1357" s="1"/>
  <c r="C157" i="1358"/>
  <c r="H157" i="1357" s="1"/>
  <c r="C156" i="1358"/>
  <c r="H156" i="1357" s="1"/>
  <c r="C155" i="1358"/>
  <c r="H155" i="1357" s="1"/>
  <c r="C154" i="1358"/>
  <c r="H154" i="1357" s="1"/>
  <c r="E153" i="1358"/>
  <c r="D153" i="1358"/>
  <c r="C152" i="1358"/>
  <c r="H152" i="1357" s="1"/>
  <c r="C151" i="1358"/>
  <c r="H151" i="1357" s="1"/>
  <c r="C150" i="1358"/>
  <c r="H150" i="1357" s="1"/>
  <c r="C149" i="1358"/>
  <c r="H149" i="1357" s="1"/>
  <c r="E148" i="1358"/>
  <c r="D148" i="1358"/>
  <c r="C147" i="1358"/>
  <c r="H147" i="1357" s="1"/>
  <c r="C146" i="1358"/>
  <c r="H146" i="1357" s="1"/>
  <c r="C145" i="1358"/>
  <c r="H145" i="1357" s="1"/>
  <c r="C144" i="1358"/>
  <c r="H144" i="1357" s="1"/>
  <c r="C143" i="1358"/>
  <c r="H143" i="1357" s="1"/>
  <c r="C142" i="1358"/>
  <c r="H142" i="1357" s="1"/>
  <c r="E141" i="1358"/>
  <c r="D141" i="1358"/>
  <c r="C140" i="1358"/>
  <c r="H140" i="1357" s="1"/>
  <c r="C139" i="1358"/>
  <c r="H139" i="1357" s="1"/>
  <c r="C138" i="1358"/>
  <c r="H138" i="1357" s="1"/>
  <c r="E137" i="1358"/>
  <c r="D137" i="1358"/>
  <c r="C125" i="1358"/>
  <c r="H125" i="1357" s="1"/>
  <c r="C124" i="1358"/>
  <c r="E122" i="1358"/>
  <c r="D122" i="1358"/>
  <c r="C105" i="1358"/>
  <c r="H105" i="1357" s="1"/>
  <c r="C104" i="1358"/>
  <c r="C103" i="1358"/>
  <c r="H103" i="1357" s="1"/>
  <c r="C102" i="1358"/>
  <c r="E101" i="1358"/>
  <c r="E136" i="1358" s="1"/>
  <c r="C99" i="1358"/>
  <c r="H99" i="1357" s="1"/>
  <c r="C93" i="1358"/>
  <c r="C92" i="1358"/>
  <c r="H92" i="1357" s="1"/>
  <c r="C91" i="1358"/>
  <c r="C90" i="1358"/>
  <c r="H90" i="1357" s="1"/>
  <c r="C89" i="1358"/>
  <c r="C88" i="1358"/>
  <c r="H88" i="1357" s="1"/>
  <c r="E87" i="1358"/>
  <c r="D87" i="1358"/>
  <c r="C86" i="1358"/>
  <c r="C85" i="1358"/>
  <c r="H85" i="1357" s="1"/>
  <c r="C84" i="1358"/>
  <c r="E83" i="1358"/>
  <c r="D83" i="1358"/>
  <c r="C82" i="1358"/>
  <c r="H82" i="1357" s="1"/>
  <c r="C81" i="1358"/>
  <c r="E80" i="1358"/>
  <c r="D80" i="1358"/>
  <c r="C79" i="1358"/>
  <c r="H79" i="1357" s="1"/>
  <c r="C78" i="1358"/>
  <c r="C77" i="1358"/>
  <c r="H77" i="1357" s="1"/>
  <c r="C76" i="1358"/>
  <c r="E75" i="1358"/>
  <c r="D75" i="1358"/>
  <c r="C74" i="1358"/>
  <c r="H74" i="1357" s="1"/>
  <c r="C73" i="1358"/>
  <c r="C72" i="1358"/>
  <c r="H72" i="1357" s="1"/>
  <c r="E71" i="1358"/>
  <c r="D71" i="1358"/>
  <c r="C69" i="1358"/>
  <c r="C68" i="1358"/>
  <c r="C67" i="1358"/>
  <c r="C66" i="1358"/>
  <c r="H66" i="1357" s="1"/>
  <c r="E65" i="1358"/>
  <c r="D65" i="1358"/>
  <c r="C64" i="1358"/>
  <c r="C63" i="1358"/>
  <c r="C62" i="1358"/>
  <c r="C61" i="1358"/>
  <c r="H61" i="1357" s="1"/>
  <c r="E60" i="1358"/>
  <c r="D60" i="1358"/>
  <c r="C59" i="1358"/>
  <c r="C58" i="1358"/>
  <c r="H58" i="1357" s="1"/>
  <c r="C57" i="1358"/>
  <c r="C56" i="1358"/>
  <c r="H56" i="1357" s="1"/>
  <c r="C55" i="1358"/>
  <c r="E54" i="1358"/>
  <c r="D54" i="1358"/>
  <c r="C53" i="1358"/>
  <c r="H53" i="1357" s="1"/>
  <c r="C52" i="1358"/>
  <c r="C51" i="1358"/>
  <c r="H51" i="1357" s="1"/>
  <c r="C50" i="1358"/>
  <c r="C49" i="1358"/>
  <c r="H49" i="1357" s="1"/>
  <c r="C48" i="1358"/>
  <c r="C47" i="1358"/>
  <c r="H47" i="1357" s="1"/>
  <c r="C46" i="1358"/>
  <c r="C45" i="1358"/>
  <c r="H45" i="1357" s="1"/>
  <c r="C44" i="1358"/>
  <c r="C43" i="1358"/>
  <c r="H43" i="1357" s="1"/>
  <c r="E42" i="1358"/>
  <c r="C41" i="1358"/>
  <c r="H41" i="1357" s="1"/>
  <c r="C40" i="1358"/>
  <c r="H40" i="1357" s="1"/>
  <c r="C39" i="1358"/>
  <c r="H39" i="1357" s="1"/>
  <c r="C38" i="1358"/>
  <c r="H38" i="1357" s="1"/>
  <c r="C37" i="1358"/>
  <c r="H37" i="1357" s="1"/>
  <c r="C36" i="1358"/>
  <c r="H36" i="1357" s="1"/>
  <c r="C35" i="1358"/>
  <c r="H35" i="1357" s="1"/>
  <c r="E34" i="1358"/>
  <c r="D34" i="1358"/>
  <c r="E27" i="1358"/>
  <c r="C24" i="1358"/>
  <c r="H24" i="1357" s="1"/>
  <c r="C23" i="1358"/>
  <c r="H23" i="1357" s="1"/>
  <c r="C22" i="1358"/>
  <c r="H22" i="1357" s="1"/>
  <c r="C21" i="1358"/>
  <c r="H21" i="1357" s="1"/>
  <c r="E20" i="1358"/>
  <c r="D20" i="1358"/>
  <c r="C19" i="1358"/>
  <c r="H19" i="1357" s="1"/>
  <c r="E11" i="1358"/>
  <c r="C160" i="1357"/>
  <c r="H158" i="1452" s="1"/>
  <c r="C159" i="1357"/>
  <c r="H157" i="1452" s="1"/>
  <c r="C158" i="1357"/>
  <c r="H156" i="1452" s="1"/>
  <c r="C157" i="1357"/>
  <c r="H155" i="1452" s="1"/>
  <c r="C156" i="1357"/>
  <c r="H154" i="1452" s="1"/>
  <c r="C155" i="1357"/>
  <c r="H153" i="1452" s="1"/>
  <c r="C154" i="1357"/>
  <c r="H152" i="1452" s="1"/>
  <c r="E153" i="1357"/>
  <c r="D153" i="1357"/>
  <c r="C152" i="1357"/>
  <c r="H150" i="1452" s="1"/>
  <c r="C151" i="1357"/>
  <c r="H149" i="1452" s="1"/>
  <c r="C150" i="1357"/>
  <c r="H148" i="1452" s="1"/>
  <c r="C149" i="1357"/>
  <c r="H147" i="1452" s="1"/>
  <c r="E148" i="1357"/>
  <c r="D148" i="1357"/>
  <c r="C147" i="1357"/>
  <c r="H145" i="1452" s="1"/>
  <c r="C146" i="1357"/>
  <c r="H144" i="1452" s="1"/>
  <c r="C145" i="1357"/>
  <c r="H143" i="1452" s="1"/>
  <c r="C144" i="1357"/>
  <c r="H142" i="1452" s="1"/>
  <c r="C143" i="1357"/>
  <c r="H141" i="1452" s="1"/>
  <c r="C142" i="1357"/>
  <c r="H140" i="1452" s="1"/>
  <c r="E141" i="1357"/>
  <c r="D141" i="1357"/>
  <c r="C140" i="1357"/>
  <c r="H138" i="1452" s="1"/>
  <c r="E137" i="1357"/>
  <c r="D137" i="1357"/>
  <c r="C126" i="1357"/>
  <c r="H124" i="1452" s="1"/>
  <c r="C125" i="1357"/>
  <c r="C124" i="1357"/>
  <c r="H122" i="1452" s="1"/>
  <c r="C123" i="1357"/>
  <c r="E122" i="1357"/>
  <c r="D122" i="1357"/>
  <c r="C103" i="1357"/>
  <c r="C102" i="1357"/>
  <c r="E101" i="1357"/>
  <c r="D101" i="1357"/>
  <c r="C99" i="1357"/>
  <c r="C93" i="1357"/>
  <c r="H91" i="1452" s="1"/>
  <c r="C92" i="1357"/>
  <c r="H90" i="1452" s="1"/>
  <c r="C91" i="1357"/>
  <c r="H89" i="1452" s="1"/>
  <c r="C90" i="1357"/>
  <c r="H88" i="1452" s="1"/>
  <c r="C89" i="1357"/>
  <c r="H87" i="1452" s="1"/>
  <c r="C88" i="1357"/>
  <c r="H86" i="1452" s="1"/>
  <c r="E87" i="1357"/>
  <c r="D87" i="1357"/>
  <c r="C86" i="1357"/>
  <c r="H84" i="1452" s="1"/>
  <c r="C85" i="1357"/>
  <c r="H83" i="1452" s="1"/>
  <c r="C84" i="1357"/>
  <c r="H82" i="1452" s="1"/>
  <c r="E83" i="1357"/>
  <c r="D83" i="1357"/>
  <c r="C82" i="1357"/>
  <c r="H80" i="1452" s="1"/>
  <c r="C81" i="1357"/>
  <c r="H79" i="1452" s="1"/>
  <c r="E80" i="1357"/>
  <c r="D80" i="1357"/>
  <c r="C79" i="1357"/>
  <c r="H77" i="1452" s="1"/>
  <c r="C78" i="1357"/>
  <c r="H76" i="1452" s="1"/>
  <c r="C77" i="1357"/>
  <c r="H75" i="1452" s="1"/>
  <c r="C76" i="1357"/>
  <c r="H74" i="1452" s="1"/>
  <c r="E75" i="1357"/>
  <c r="D75" i="1357"/>
  <c r="C74" i="1357"/>
  <c r="H72" i="1452" s="1"/>
  <c r="C73" i="1357"/>
  <c r="H71" i="1452" s="1"/>
  <c r="C72" i="1357"/>
  <c r="H70" i="1452" s="1"/>
  <c r="E71" i="1357"/>
  <c r="D71" i="1357"/>
  <c r="C69" i="1357"/>
  <c r="H67" i="1452" s="1"/>
  <c r="C68" i="1357"/>
  <c r="H66" i="1452" s="1"/>
  <c r="C67" i="1357"/>
  <c r="H65" i="1452" s="1"/>
  <c r="C66" i="1357"/>
  <c r="H64" i="1452" s="1"/>
  <c r="E65" i="1357"/>
  <c r="D65" i="1357"/>
  <c r="C64" i="1357"/>
  <c r="H62" i="1452" s="1"/>
  <c r="C63" i="1357"/>
  <c r="H61" i="1452" s="1"/>
  <c r="C61" i="1357"/>
  <c r="H59" i="1452" s="1"/>
  <c r="E60" i="1357"/>
  <c r="C59" i="1357"/>
  <c r="H57" i="1452" s="1"/>
  <c r="C58" i="1357"/>
  <c r="H56" i="1452" s="1"/>
  <c r="C57" i="1357"/>
  <c r="H55" i="1452" s="1"/>
  <c r="C56" i="1357"/>
  <c r="H54" i="1452" s="1"/>
  <c r="C55" i="1357"/>
  <c r="H53" i="1452" s="1"/>
  <c r="E54" i="1357"/>
  <c r="D54" i="1357"/>
  <c r="C53" i="1357"/>
  <c r="H51" i="1452" s="1"/>
  <c r="C52" i="1357"/>
  <c r="H50" i="1452" s="1"/>
  <c r="C51" i="1357"/>
  <c r="H49" i="1452" s="1"/>
  <c r="C50" i="1357"/>
  <c r="H48" i="1452" s="1"/>
  <c r="C49" i="1357"/>
  <c r="H47" i="1452" s="1"/>
  <c r="C48" i="1357"/>
  <c r="H46" i="1452" s="1"/>
  <c r="C47" i="1357"/>
  <c r="H45" i="1452" s="1"/>
  <c r="C46" i="1357"/>
  <c r="H44" i="1452" s="1"/>
  <c r="C45" i="1357"/>
  <c r="H43" i="1452" s="1"/>
  <c r="C44" i="1357"/>
  <c r="H42" i="1452" s="1"/>
  <c r="C43" i="1357"/>
  <c r="H41" i="1452" s="1"/>
  <c r="E42" i="1357"/>
  <c r="D42" i="1357"/>
  <c r="C41" i="1357"/>
  <c r="H39" i="1452" s="1"/>
  <c r="E34" i="1357"/>
  <c r="D34" i="1357"/>
  <c r="C33" i="1357"/>
  <c r="H31" i="1452" s="1"/>
  <c r="C32" i="1357"/>
  <c r="H30" i="1452" s="1"/>
  <c r="C31" i="1357"/>
  <c r="H29" i="1452" s="1"/>
  <c r="C30" i="1357"/>
  <c r="H28" i="1452" s="1"/>
  <c r="C29" i="1357"/>
  <c r="H27" i="1452" s="1"/>
  <c r="C28" i="1357"/>
  <c r="H26" i="1452" s="1"/>
  <c r="E27" i="1357"/>
  <c r="D27" i="1357"/>
  <c r="C26" i="1357"/>
  <c r="H24" i="1452" s="1"/>
  <c r="C25" i="1357"/>
  <c r="H23" i="1452" s="1"/>
  <c r="C24" i="1357"/>
  <c r="H22" i="1452" s="1"/>
  <c r="C23" i="1357"/>
  <c r="H21" i="1452" s="1"/>
  <c r="C22" i="1357"/>
  <c r="H20" i="1452" s="1"/>
  <c r="C21" i="1357"/>
  <c r="H19" i="1452" s="1"/>
  <c r="E20" i="1357"/>
  <c r="D20" i="1357"/>
  <c r="C19" i="1357"/>
  <c r="H17" i="1452" s="1"/>
  <c r="C18" i="1357"/>
  <c r="H16" i="1452" s="1"/>
  <c r="C17" i="1357"/>
  <c r="H15" i="1452" s="1"/>
  <c r="C14" i="1357"/>
  <c r="H12" i="1452" s="1"/>
  <c r="C13" i="1357"/>
  <c r="H11" i="1452" s="1"/>
  <c r="E11" i="1357"/>
  <c r="D11" i="1357"/>
  <c r="H104" i="1357" l="1"/>
  <c r="H102" i="1357"/>
  <c r="P23" i="1455"/>
  <c r="Q23" i="1455" s="1"/>
  <c r="H121" i="1452"/>
  <c r="F75" i="1419"/>
  <c r="F76" i="1419" s="1"/>
  <c r="H123" i="1452"/>
  <c r="P24" i="1455"/>
  <c r="Q24" i="1455" s="1"/>
  <c r="E25" i="1420"/>
  <c r="P19" i="1455"/>
  <c r="Q19" i="1455" s="1"/>
  <c r="H101" i="1452"/>
  <c r="P18" i="1455"/>
  <c r="H100" i="1452"/>
  <c r="H44" i="1357"/>
  <c r="H69" i="1357"/>
  <c r="H124" i="1357"/>
  <c r="C26" i="1361"/>
  <c r="E27" i="1361"/>
  <c r="E28" i="1361" s="1"/>
  <c r="D14" i="1413" s="1"/>
  <c r="H46" i="1357"/>
  <c r="I46" i="1357" s="1"/>
  <c r="H50" i="1357"/>
  <c r="H52" i="1357"/>
  <c r="I52" i="1357" s="1"/>
  <c r="H55" i="1357"/>
  <c r="H57" i="1357"/>
  <c r="I57" i="1357" s="1"/>
  <c r="H59" i="1357"/>
  <c r="H62" i="1357"/>
  <c r="H64" i="1357"/>
  <c r="H67" i="1357"/>
  <c r="H73" i="1357"/>
  <c r="H76" i="1357"/>
  <c r="I76" i="1357" s="1"/>
  <c r="H78" i="1357"/>
  <c r="H81" i="1357"/>
  <c r="I81" i="1357" s="1"/>
  <c r="H84" i="1357"/>
  <c r="H86" i="1357"/>
  <c r="I86" i="1357" s="1"/>
  <c r="H89" i="1357"/>
  <c r="H91" i="1357"/>
  <c r="I91" i="1357" s="1"/>
  <c r="H93" i="1357"/>
  <c r="H63" i="1357"/>
  <c r="I63" i="1357" s="1"/>
  <c r="H68" i="1357"/>
  <c r="H123" i="1357"/>
  <c r="I123" i="1357" s="1"/>
  <c r="H48" i="1357"/>
  <c r="I48" i="1357" s="1"/>
  <c r="C7" i="1361"/>
  <c r="C6" i="1362"/>
  <c r="E6" i="1361"/>
  <c r="E6" i="1362"/>
  <c r="E8" i="1362"/>
  <c r="C11" i="1361"/>
  <c r="C24" i="1361"/>
  <c r="C23" i="1361" s="1"/>
  <c r="C19" i="1361"/>
  <c r="C18" i="1361" s="1"/>
  <c r="E5" i="1361"/>
  <c r="C24" i="1362"/>
  <c r="C23" i="1362" s="1"/>
  <c r="C29" i="1362" s="1"/>
  <c r="C87" i="1357"/>
  <c r="H85" i="1452" s="1"/>
  <c r="C141" i="1357"/>
  <c r="H139" i="1452" s="1"/>
  <c r="I49" i="1357"/>
  <c r="I51" i="1357"/>
  <c r="I56" i="1357"/>
  <c r="I58" i="1357"/>
  <c r="I61" i="1357"/>
  <c r="I68" i="1357"/>
  <c r="I72" i="1357"/>
  <c r="I77" i="1357"/>
  <c r="I79" i="1357"/>
  <c r="I82" i="1357"/>
  <c r="I85" i="1357"/>
  <c r="I90" i="1357"/>
  <c r="E94" i="1357"/>
  <c r="I44" i="1357"/>
  <c r="I50" i="1357"/>
  <c r="I55" i="1357"/>
  <c r="I59" i="1357"/>
  <c r="I67" i="1357"/>
  <c r="I69" i="1357"/>
  <c r="I78" i="1357"/>
  <c r="I84" i="1357"/>
  <c r="I89" i="1357"/>
  <c r="I93" i="1357"/>
  <c r="I124" i="1357"/>
  <c r="C71" i="1359"/>
  <c r="C87" i="1359"/>
  <c r="E136" i="1359"/>
  <c r="C161" i="1360"/>
  <c r="C27" i="1357"/>
  <c r="C75" i="1357"/>
  <c r="H73" i="1452" s="1"/>
  <c r="E7" i="1362"/>
  <c r="C122" i="1359"/>
  <c r="C153" i="1359"/>
  <c r="C65" i="1357"/>
  <c r="C153" i="1357"/>
  <c r="H151" i="1452" s="1"/>
  <c r="C65" i="1358"/>
  <c r="E5" i="1362"/>
  <c r="I47" i="1357"/>
  <c r="D94" i="1357"/>
  <c r="C54" i="1359"/>
  <c r="I53" i="1357"/>
  <c r="I45" i="1357"/>
  <c r="C87" i="1358"/>
  <c r="H87" i="1357" s="1"/>
  <c r="C20" i="1359"/>
  <c r="C27" i="1359"/>
  <c r="C42" i="1359"/>
  <c r="C65" i="1359"/>
  <c r="H65" i="1357" s="1"/>
  <c r="E94" i="1359"/>
  <c r="C75" i="1359"/>
  <c r="C80" i="1359"/>
  <c r="C83" i="1359"/>
  <c r="C148" i="1359"/>
  <c r="D161" i="1357"/>
  <c r="C137" i="1357"/>
  <c r="H135" i="1452" s="1"/>
  <c r="C20" i="1357"/>
  <c r="I43" i="1357"/>
  <c r="I104" i="1357"/>
  <c r="C11" i="1357"/>
  <c r="E161" i="1357"/>
  <c r="I21" i="1357"/>
  <c r="I36" i="1357"/>
  <c r="I40" i="1357"/>
  <c r="I73" i="1357"/>
  <c r="C83" i="1358"/>
  <c r="I88" i="1357"/>
  <c r="I92" i="1357"/>
  <c r="C122" i="1358"/>
  <c r="I125" i="1357"/>
  <c r="C153" i="1358"/>
  <c r="H153" i="1357" s="1"/>
  <c r="D94" i="1359"/>
  <c r="C94" i="1360"/>
  <c r="C167" i="1360" s="1"/>
  <c r="I35" i="1357"/>
  <c r="C148" i="1357"/>
  <c r="H146" i="1452" s="1"/>
  <c r="C60" i="1358"/>
  <c r="I66" i="1357"/>
  <c r="D94" i="1358"/>
  <c r="I157" i="1357"/>
  <c r="D161" i="1359"/>
  <c r="C83" i="1357"/>
  <c r="H81" i="1452" s="1"/>
  <c r="C20" i="1358"/>
  <c r="C54" i="1358"/>
  <c r="H54" i="1357" s="1"/>
  <c r="I64" i="1357"/>
  <c r="C75" i="1358"/>
  <c r="H75" i="1357" s="1"/>
  <c r="E161" i="1358"/>
  <c r="E162" i="1358" s="1"/>
  <c r="C141" i="1358"/>
  <c r="C148" i="1358"/>
  <c r="I151" i="1357"/>
  <c r="C60" i="1359"/>
  <c r="H60" i="1357" s="1"/>
  <c r="E161" i="1359"/>
  <c r="C141" i="1359"/>
  <c r="C127" i="1359"/>
  <c r="I13" i="1357"/>
  <c r="I138" i="1357"/>
  <c r="I14" i="1357"/>
  <c r="D136" i="1359"/>
  <c r="D136" i="1357"/>
  <c r="C80" i="1357"/>
  <c r="H78" i="1452" s="1"/>
  <c r="C54" i="1357"/>
  <c r="E70" i="1357"/>
  <c r="C42" i="1357"/>
  <c r="E136" i="1357"/>
  <c r="C122" i="1357"/>
  <c r="H120" i="1452" s="1"/>
  <c r="C136" i="1360"/>
  <c r="I17" i="1357"/>
  <c r="I18" i="1357"/>
  <c r="I19" i="1357"/>
  <c r="I22" i="1357"/>
  <c r="I23" i="1357"/>
  <c r="I24" i="1357"/>
  <c r="I25" i="1357"/>
  <c r="I32" i="1357"/>
  <c r="I33" i="1357"/>
  <c r="I37" i="1357"/>
  <c r="I74" i="1357"/>
  <c r="I102" i="1357"/>
  <c r="I103" i="1357"/>
  <c r="I105" i="1357"/>
  <c r="I106" i="1357"/>
  <c r="I107" i="1357"/>
  <c r="I118" i="1357"/>
  <c r="I119" i="1357"/>
  <c r="I135" i="1357"/>
  <c r="I142" i="1357"/>
  <c r="I143" i="1357"/>
  <c r="I144" i="1357"/>
  <c r="I145" i="1357"/>
  <c r="I146" i="1357"/>
  <c r="I147" i="1357"/>
  <c r="I160" i="1357"/>
  <c r="E70" i="1359"/>
  <c r="C34" i="1359"/>
  <c r="C34" i="1358"/>
  <c r="C34" i="1357"/>
  <c r="D70" i="1359"/>
  <c r="D161" i="1358"/>
  <c r="C80" i="1358"/>
  <c r="E94" i="1358"/>
  <c r="E70" i="1358"/>
  <c r="C101" i="1357"/>
  <c r="H99" i="1452" s="1"/>
  <c r="C71" i="1357"/>
  <c r="H69" i="1452" s="1"/>
  <c r="I26" i="1357"/>
  <c r="I28" i="1357"/>
  <c r="I29" i="1357"/>
  <c r="I30" i="1357"/>
  <c r="I31" i="1357"/>
  <c r="I38" i="1357"/>
  <c r="I39" i="1357"/>
  <c r="I41" i="1357"/>
  <c r="I108" i="1357"/>
  <c r="I109" i="1357"/>
  <c r="I110" i="1357"/>
  <c r="I111" i="1357"/>
  <c r="I112" i="1357"/>
  <c r="I113" i="1357"/>
  <c r="I114" i="1357"/>
  <c r="I115" i="1357"/>
  <c r="I116" i="1357"/>
  <c r="I117" i="1357"/>
  <c r="I120" i="1357"/>
  <c r="I121" i="1357"/>
  <c r="I126" i="1357"/>
  <c r="I128" i="1357"/>
  <c r="I129" i="1357"/>
  <c r="I130" i="1357"/>
  <c r="I131" i="1357"/>
  <c r="I132" i="1357"/>
  <c r="I133" i="1357"/>
  <c r="I134" i="1357"/>
  <c r="I139" i="1357"/>
  <c r="I140" i="1357"/>
  <c r="I149" i="1357"/>
  <c r="I150" i="1357"/>
  <c r="I152" i="1357"/>
  <c r="I154" i="1357"/>
  <c r="I155" i="1357"/>
  <c r="I156" i="1357"/>
  <c r="I158" i="1357"/>
  <c r="I159" i="1357"/>
  <c r="C70" i="1360"/>
  <c r="C11" i="1359"/>
  <c r="C137" i="1359"/>
  <c r="C101" i="1359"/>
  <c r="C137" i="1358"/>
  <c r="H137" i="1357" s="1"/>
  <c r="D11" i="1358"/>
  <c r="D27" i="1358"/>
  <c r="D42" i="1358"/>
  <c r="C71" i="1358"/>
  <c r="H71" i="1357" s="1"/>
  <c r="C62" i="1357"/>
  <c r="H60" i="1452" s="1"/>
  <c r="D60" i="1357"/>
  <c r="P10" i="1455" l="1"/>
  <c r="Q10" i="1455" s="1"/>
  <c r="H32" i="1452"/>
  <c r="P9" i="1455"/>
  <c r="Q9" i="1455" s="1"/>
  <c r="H25" i="1452"/>
  <c r="H40" i="1452"/>
  <c r="P11" i="1455"/>
  <c r="Q11" i="1455" s="1"/>
  <c r="P12" i="1455"/>
  <c r="Q12" i="1455" s="1"/>
  <c r="H52" i="1452"/>
  <c r="P7" i="1455"/>
  <c r="Q7" i="1455" s="1"/>
  <c r="H9" i="1452"/>
  <c r="P14" i="1455"/>
  <c r="Q14" i="1455" s="1"/>
  <c r="H63" i="1452"/>
  <c r="Q18" i="1455"/>
  <c r="P8" i="1455"/>
  <c r="H18" i="1452"/>
  <c r="H83" i="1357"/>
  <c r="H20" i="1357"/>
  <c r="I20" i="1357" s="1"/>
  <c r="H80" i="1357"/>
  <c r="I80" i="1357" s="1"/>
  <c r="H34" i="1357"/>
  <c r="E95" i="1359"/>
  <c r="H127" i="1357"/>
  <c r="I127" i="1357" s="1"/>
  <c r="H141" i="1357"/>
  <c r="E32" i="1362"/>
  <c r="C32" i="1362"/>
  <c r="H122" i="1357"/>
  <c r="I122" i="1357" s="1"/>
  <c r="H148" i="1357"/>
  <c r="I148" i="1357" s="1"/>
  <c r="E17" i="1361"/>
  <c r="E29" i="1361" s="1"/>
  <c r="C5" i="1361"/>
  <c r="C8" i="1361"/>
  <c r="C9" i="1361"/>
  <c r="C7" i="1362"/>
  <c r="C6" i="1361"/>
  <c r="C8" i="1362"/>
  <c r="C5" i="1362"/>
  <c r="C28" i="1361"/>
  <c r="D162" i="1359"/>
  <c r="C70" i="1359"/>
  <c r="C27" i="1358"/>
  <c r="H27" i="1357" s="1"/>
  <c r="C42" i="1358"/>
  <c r="H42" i="1357" s="1"/>
  <c r="I42" i="1357" s="1"/>
  <c r="C60" i="1357"/>
  <c r="C94" i="1357"/>
  <c r="E162" i="1357"/>
  <c r="I65" i="1357"/>
  <c r="E162" i="1359"/>
  <c r="C162" i="1359" s="1"/>
  <c r="I75" i="1357"/>
  <c r="C94" i="1359"/>
  <c r="I87" i="1357"/>
  <c r="I62" i="1357"/>
  <c r="I71" i="1357"/>
  <c r="C136" i="1359"/>
  <c r="E95" i="1357"/>
  <c r="I153" i="1357"/>
  <c r="I83" i="1357"/>
  <c r="E16" i="1362"/>
  <c r="D7" i="1413"/>
  <c r="C161" i="1358"/>
  <c r="I34" i="1357"/>
  <c r="I54" i="1357"/>
  <c r="C161" i="1357"/>
  <c r="C94" i="1358"/>
  <c r="H94" i="1357" s="1"/>
  <c r="D162" i="1357"/>
  <c r="I137" i="1357"/>
  <c r="E95" i="1358"/>
  <c r="I27" i="1357"/>
  <c r="C161" i="1359"/>
  <c r="I141" i="1357"/>
  <c r="D95" i="1359"/>
  <c r="C136" i="1357"/>
  <c r="H134" i="1452" s="1"/>
  <c r="C162" i="1360"/>
  <c r="C95" i="1360"/>
  <c r="C166" i="1360"/>
  <c r="D70" i="1358"/>
  <c r="C11" i="1358"/>
  <c r="D101" i="1358"/>
  <c r="D70" i="1357"/>
  <c r="P27" i="1455" l="1"/>
  <c r="H159" i="1452"/>
  <c r="P15" i="1455"/>
  <c r="Q15" i="1455" s="1"/>
  <c r="H92" i="1452"/>
  <c r="H58" i="1452"/>
  <c r="P13" i="1455"/>
  <c r="Q13" i="1455" s="1"/>
  <c r="Q8" i="1455"/>
  <c r="H161" i="1357"/>
  <c r="C31" i="1361"/>
  <c r="E31" i="1361"/>
  <c r="C166" i="1359"/>
  <c r="C16" i="1362"/>
  <c r="E31" i="1362" s="1"/>
  <c r="C10" i="1361"/>
  <c r="C17" i="1361" s="1"/>
  <c r="E30" i="1361" s="1"/>
  <c r="B14" i="1413"/>
  <c r="E14" i="1413" s="1"/>
  <c r="B13" i="1413"/>
  <c r="B7" i="1413"/>
  <c r="E7" i="1413" s="1"/>
  <c r="C95" i="1359"/>
  <c r="I60" i="1357"/>
  <c r="C162" i="1357"/>
  <c r="H160" i="1452" s="1"/>
  <c r="C167" i="1357"/>
  <c r="I94" i="1357"/>
  <c r="I161" i="1357"/>
  <c r="D13" i="1413"/>
  <c r="E30" i="1362"/>
  <c r="D15" i="1413" s="1"/>
  <c r="C167" i="1358"/>
  <c r="C167" i="1359"/>
  <c r="H11" i="1357"/>
  <c r="I11" i="1357" s="1"/>
  <c r="D136" i="1358"/>
  <c r="C101" i="1358"/>
  <c r="H101" i="1357" s="1"/>
  <c r="D95" i="1358"/>
  <c r="C70" i="1358"/>
  <c r="H70" i="1357" s="1"/>
  <c r="C70" i="1357"/>
  <c r="H68" i="1452" s="1"/>
  <c r="D95" i="1357"/>
  <c r="P16" i="1455" l="1"/>
  <c r="Q16" i="1455" s="1"/>
  <c r="Q27" i="1455"/>
  <c r="P28" i="1455"/>
  <c r="Q28" i="1455" s="1"/>
  <c r="C31" i="1362"/>
  <c r="D6" i="1413"/>
  <c r="C30" i="1362"/>
  <c r="C33" i="1362" s="1"/>
  <c r="B6" i="1413"/>
  <c r="E6" i="1413" s="1"/>
  <c r="C29" i="1361"/>
  <c r="C30" i="1361"/>
  <c r="E13" i="1413"/>
  <c r="B15" i="1413"/>
  <c r="E15" i="1413" s="1"/>
  <c r="C95" i="1358"/>
  <c r="H95" i="1357" s="1"/>
  <c r="I101" i="1357"/>
  <c r="C95" i="1357"/>
  <c r="H93" i="1452" s="1"/>
  <c r="D162" i="1358"/>
  <c r="C136" i="1358"/>
  <c r="H136" i="1357" s="1"/>
  <c r="C166" i="1357"/>
  <c r="I70" i="1357"/>
  <c r="E33" i="1362" l="1"/>
  <c r="D8" i="1413"/>
  <c r="E32" i="1361"/>
  <c r="C32" i="1361"/>
  <c r="C162" i="1358"/>
  <c r="I95" i="1357"/>
  <c r="B8" i="1413"/>
  <c r="C166" i="1358"/>
  <c r="I136" i="1357"/>
  <c r="E8" i="1413" l="1"/>
  <c r="H162" i="1357"/>
  <c r="I162" i="1357" s="1"/>
</calcChain>
</file>

<file path=xl/sharedStrings.xml><?xml version="1.0" encoding="utf-8"?>
<sst xmlns="http://schemas.openxmlformats.org/spreadsheetml/2006/main" count="6490" uniqueCount="1044">
  <si>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</si>
  <si>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</si>
  <si>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</si>
  <si>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</si>
  <si>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</si>
  <si>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</si>
  <si>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</si>
  <si>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</si>
  <si>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</si>
  <si>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</si>
  <si>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</si>
  <si>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</si>
  <si>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</si>
  <si>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</si>
  <si>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</si>
  <si>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</si>
  <si>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</si>
  <si>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</si>
  <si>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</si>
  <si>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</si>
  <si>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</si>
  <si>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</si>
  <si>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</si>
  <si>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</si>
  <si>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</si>
  <si>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</si>
  <si>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</si>
  <si>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</si>
  <si>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</si>
  <si>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</si>
  <si>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</si>
  <si>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</si>
  <si>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</si>
  <si>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</si>
  <si>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</si>
  <si>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</si>
  <si>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</si>
  <si>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</si>
  <si>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</si>
  <si>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</si>
  <si>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</si>
  <si>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</si>
  <si>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</si>
  <si>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</si>
  <si>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</si>
  <si>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</si>
  <si>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</si>
  <si>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</si>
  <si>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</si>
  <si>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</si>
  <si>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</si>
  <si>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</si>
  <si>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</si>
  <si>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</si>
  <si>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</si>
  <si>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</si>
  <si>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</si>
  <si>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</si>
  <si>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</si>
  <si>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</si>
  <si>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</si>
  <si>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</si>
  <si>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</si>
  <si>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</si>
  <si>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</si>
  <si>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</si>
  <si>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</si>
  <si>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</si>
  <si>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</si>
  <si>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</si>
  <si>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</si>
  <si>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</si>
  <si>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</si>
  <si>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</si>
  <si>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</si>
  <si>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</si>
  <si>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</si>
  <si>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</si>
  <si>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</si>
  <si>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</si>
  <si>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</si>
  <si>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</si>
  <si>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</si>
  <si>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</si>
  <si>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</si>
  <si>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</si>
  <si>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</si>
  <si>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</si>
  <si>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</si>
  <si>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</si>
  <si>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</si>
  <si>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</si>
  <si>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</si>
  <si>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</si>
  <si>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</si>
  <si>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</si>
  <si>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</si>
  <si>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</si>
  <si>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</si>
  <si>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</si>
  <si>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</si>
  <si>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</si>
  <si>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</si>
  <si>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</si>
  <si>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</si>
  <si>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</si>
  <si>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</si>
  <si>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</si>
  <si>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</si>
  <si>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</si>
  <si>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</si>
  <si>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</si>
  <si>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</si>
  <si>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</si>
  <si>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</si>
  <si>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</si>
  <si>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</si>
  <si>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</si>
  <si>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</si>
  <si>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</si>
  <si>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</si>
  <si>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</si>
  <si>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</si>
  <si>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</si>
  <si>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</si>
  <si>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</si>
  <si>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</si>
  <si>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</si>
  <si>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</si>
  <si>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</si>
  <si>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</si>
  <si>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</si>
  <si>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</si>
  <si>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</si>
  <si>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</si>
  <si>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</si>
  <si>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</si>
  <si>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</si>
  <si>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</si>
  <si>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</si>
  <si>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</si>
  <si>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</si>
  <si>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</si>
  <si>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</si>
  <si>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</si>
  <si>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</si>
  <si>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</si>
  <si>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</si>
  <si>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</si>
  <si>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</si>
  <si>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</si>
  <si>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</si>
  <si>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</si>
  <si>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</si>
  <si>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</si>
  <si>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</si>
  <si>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</si>
  <si>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</si>
  <si>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</si>
  <si>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</si>
  <si>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</si>
  <si>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</si>
  <si>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</si>
  <si>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</si>
  <si>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</si>
  <si>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</si>
  <si>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</si>
  <si>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</si>
  <si>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</si>
  <si>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</si>
  <si>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</si>
  <si>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</si>
  <si>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</si>
  <si>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</si>
  <si>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</si>
  <si>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</si>
  <si>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</si>
  <si>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</si>
  <si>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</si>
  <si>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</si>
  <si>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</si>
  <si>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</si>
  <si>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</si>
  <si>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</si>
  <si>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</si>
  <si>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</si>
  <si>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</si>
  <si>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</si>
  <si>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</si>
  <si>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</si>
  <si>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</si>
  <si>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</si>
  <si>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</si>
  <si>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</si>
  <si>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</si>
  <si>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</si>
  <si>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</si>
  <si>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</si>
  <si>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</si>
  <si>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</si>
  <si>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</si>
  <si>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</si>
  <si>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</si>
  <si>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</si>
  <si>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</si>
  <si>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</si>
  <si>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</si>
  <si>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</si>
  <si>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</si>
  <si>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</si>
  <si>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</si>
  <si>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</si>
  <si>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</si>
  <si>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</si>
  <si>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</si>
  <si>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</si>
  <si>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</si>
  <si>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</si>
  <si>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</si>
  <si>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</si>
  <si>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</si>
  <si>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</si>
  <si>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</si>
  <si>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</si>
  <si>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</si>
  <si>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</si>
  <si>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</si>
  <si>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</si>
  <si>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</si>
  <si>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</si>
  <si>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</si>
  <si>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</si>
  <si>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</si>
  <si>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</si>
  <si>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</si>
  <si>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</si>
  <si>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</si>
  <si>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</si>
  <si>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</si>
  <si>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</si>
  <si>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</si>
  <si>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</si>
  <si>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</si>
  <si>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</si>
  <si>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</si>
  <si>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</si>
  <si>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</si>
  <si>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</si>
  <si>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</si>
  <si>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</si>
  <si>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</si>
  <si>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</si>
  <si>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</si>
  <si>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</si>
  <si>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</si>
  <si>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</si>
  <si>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</si>
  <si>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</si>
  <si>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</si>
  <si>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</si>
  <si>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</si>
  <si>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</si>
  <si>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</si>
  <si>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</si>
  <si>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</si>
  <si>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</si>
  <si>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</si>
  <si>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</si>
  <si>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</si>
  <si>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</si>
  <si>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</si>
  <si>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</si>
  <si>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</si>
  <si>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</si>
  <si>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</si>
  <si>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</si>
  <si>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</si>
  <si>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</si>
  <si>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</si>
  <si>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</si>
  <si>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</si>
  <si>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</si>
  <si>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</si>
  <si>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</si>
  <si>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</si>
  <si>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</si>
  <si>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</si>
  <si>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</si>
  <si>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</si>
  <si>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</si>
  <si>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</si>
  <si>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</si>
  <si>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</si>
  <si>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</si>
  <si>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</si>
  <si>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</si>
  <si>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</si>
  <si>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</si>
  <si>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</si>
  <si>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</si>
  <si>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</si>
  <si>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</si>
  <si>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</si>
  <si>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</si>
  <si>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</si>
  <si>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</si>
  <si>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</si>
  <si>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</si>
  <si>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</si>
  <si>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</si>
  <si>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</si>
  <si>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</si>
  <si>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</si>
  <si>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</si>
  <si>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</si>
  <si>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</si>
  <si>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</si>
  <si>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</si>
  <si>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</si>
  <si>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</si>
  <si>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</si>
  <si>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</si>
  <si>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</si>
  <si>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</si>
  <si>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</si>
  <si>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</si>
  <si>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</si>
  <si>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</si>
  <si>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</si>
  <si>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</si>
  <si>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</si>
  <si>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</si>
  <si>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</si>
  <si>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</si>
  <si>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</si>
  <si>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</si>
  <si>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</si>
  <si>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</si>
  <si>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</si>
  <si>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</si>
  <si>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</si>
  <si>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</si>
  <si>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</si>
  <si>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</si>
  <si>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</si>
  <si>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</si>
  <si>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</si>
  <si>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</si>
  <si>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</si>
  <si>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</si>
  <si>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</si>
  <si>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</si>
  <si>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</si>
  <si>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</si>
  <si>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</si>
  <si>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</si>
  <si>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</si>
  <si>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</si>
  <si>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</si>
  <si>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</si>
  <si>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</si>
  <si>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</si>
  <si>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</si>
  <si>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</si>
  <si>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</si>
  <si>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</si>
  <si>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</si>
  <si>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</si>
  <si>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</si>
  <si>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</si>
  <si>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</si>
  <si>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</si>
  <si>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</si>
  <si>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</si>
  <si>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</si>
  <si>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</si>
  <si>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</si>
  <si>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</si>
  <si>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</si>
  <si>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</si>
  <si>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</si>
  <si>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</si>
  <si>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</si>
  <si>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</si>
  <si>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</si>
  <si>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</si>
  <si>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</si>
  <si>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</si>
  <si>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</si>
  <si>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</si>
  <si>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</si>
  <si>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</si>
  <si>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</si>
  <si>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</si>
  <si>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</si>
  <si>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</si>
  <si>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</si>
  <si>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</si>
  <si>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</si>
  <si>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</si>
  <si>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</si>
  <si>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</si>
  <si>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</si>
  <si>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</si>
  <si>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</si>
  <si>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</si>
  <si>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Önkormányzati Hivatal működésének támogatása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</si>
  <si>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</si>
  <si>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</si>
  <si>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</si>
  <si>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</si>
  <si>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</si>
  <si>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</si>
  <si>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</si>
  <si>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Egyes szociális és gyermekjóléti feladatok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</si>
  <si>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</si>
  <si>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</si>
  <si>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</si>
  <si>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</si>
  <si>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</si>
  <si>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</si>
  <si>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</si>
  <si>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</si>
  <si>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</si>
  <si>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</si>
  <si>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felhalmozási célú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</si>
  <si>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</si>
  <si>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</si>
  <si>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</si>
  <si>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</si>
  <si>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</si>
  <si>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</si>
  <si>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</si>
  <si>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</si>
  <si>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</si>
  <si>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</si>
  <si>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</si>
  <si>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</si>
  <si>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</si>
  <si>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</si>
  <si>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</si>
  <si>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</si>
  <si>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</si>
  <si>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</si>
  <si>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</si>
  <si>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</si>
  <si>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</si>
  <si>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</si>
  <si>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</si>
  <si>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</si>
  <si>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</si>
  <si>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</si>
  <si>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</si>
  <si>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</si>
  <si>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</si>
  <si>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</si>
  <si>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</si>
  <si>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</si>
  <si>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</si>
  <si>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</si>
  <si>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</si>
  <si>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</si>
  <si>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</si>
  <si>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</si>
  <si>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</si>
  <si>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</si>
  <si>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</si>
  <si>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</si>
  <si>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</si>
  <si>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</si>
  <si>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</si>
  <si>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</si>
  <si>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</si>
  <si>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</si>
  <si>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</si>
  <si>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</si>
  <si>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</si>
  <si>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</si>
  <si>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</si>
  <si>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</si>
  <si>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</si>
  <si>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</si>
  <si>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</si>
  <si>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</si>
  <si>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</si>
  <si>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</si>
  <si>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</si>
  <si>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</si>
  <si>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</si>
  <si>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</si>
  <si>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</si>
  <si>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</si>
  <si>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</si>
  <si>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</si>
  <si>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</si>
  <si>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</si>
  <si>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</si>
  <si>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</si>
  <si>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</si>
  <si>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</si>
  <si>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</si>
  <si>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</si>
  <si>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</si>
  <si>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</si>
  <si>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</si>
  <si>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</si>
  <si>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</si>
  <si>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</si>
  <si>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</si>
  <si>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</si>
  <si>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</si>
  <si>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</si>
  <si>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</si>
  <si>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</si>
  <si>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</si>
  <si>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</si>
  <si>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</si>
  <si>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</si>
  <si>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</si>
  <si>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</si>
  <si>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</si>
  <si>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</si>
  <si>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</si>
  <si>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</si>
  <si>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</si>
  <si>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</si>
  <si>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</si>
  <si>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</si>
  <si>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</si>
  <si>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</si>
  <si>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</si>
  <si>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</si>
  <si>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</si>
  <si>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</si>
  <si>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</si>
  <si>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</si>
  <si>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</si>
  <si>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</si>
  <si>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</si>
  <si>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</si>
  <si>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</si>
  <si>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</si>
  <si>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</si>
  <si>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Intézményen kívüli gyermekétkeztetés</t>
  </si>
  <si>
    <t>Kamatbevételek és más nyereség jellegű bevételek</t>
  </si>
  <si>
    <t>Kamatbevételek és nyereség jellegű bevételek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</si>
  <si>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</si>
  <si>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</si>
  <si>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</si>
  <si>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</si>
  <si>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</si>
  <si>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</si>
  <si>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</si>
  <si>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</si>
  <si>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</si>
  <si>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</si>
  <si>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</si>
  <si>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</si>
  <si>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</si>
  <si>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</si>
  <si>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</si>
  <si>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</si>
  <si>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</si>
  <si>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</si>
  <si>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</si>
  <si>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</si>
  <si>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</si>
  <si>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</si>
  <si>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</si>
  <si>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</si>
  <si>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</si>
  <si>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</si>
  <si>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</si>
  <si>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</si>
  <si>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</si>
  <si>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</si>
  <si>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</si>
  <si>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</si>
  <si>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</si>
  <si>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</si>
  <si>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</si>
  <si>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</si>
  <si>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</si>
  <si>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</si>
  <si>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</si>
  <si>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</si>
  <si>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</si>
  <si>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</si>
  <si>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</si>
  <si>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</si>
  <si>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</si>
  <si>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</si>
  <si>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</si>
  <si>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</si>
  <si>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GINOP pályázatok (fő)</t>
  </si>
  <si>
    <t>Tiva-Szolg köztemető üzemeltetési támogatás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</si>
  <si>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</si>
  <si>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</si>
  <si>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Az önkormányzati vagyon és az önkormányzatot megillető vagyoni értékű jog értékesítéséből és hasznosításából származó bevétel - tulajdonosi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</si>
  <si>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</si>
  <si>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</si>
  <si>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</si>
  <si>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</si>
  <si>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</si>
  <si>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</si>
  <si>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</si>
  <si>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</si>
  <si>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</si>
  <si>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</si>
  <si>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</si>
  <si>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</si>
  <si>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</si>
  <si>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</si>
  <si>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</si>
  <si>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</si>
  <si>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</si>
  <si>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</si>
  <si>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</si>
  <si>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Vállalkozási tevékenység bevételei, kiadásai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</si>
  <si>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</si>
  <si>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</si>
  <si>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</si>
  <si>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</si>
  <si>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</si>
  <si>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</si>
  <si>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</si>
  <si>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</si>
  <si>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</si>
  <si>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</si>
  <si>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</si>
  <si>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</si>
  <si>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</si>
  <si>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</si>
  <si>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</si>
  <si>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</si>
  <si>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</si>
  <si>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</si>
  <si>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</si>
  <si>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</si>
  <si>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</si>
  <si>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</si>
  <si>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</si>
  <si>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</si>
  <si>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</si>
  <si>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</si>
  <si>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</si>
  <si>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</si>
  <si>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</si>
  <si>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</si>
  <si>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</si>
  <si>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Egyéb kiadói tevékenység</t>
  </si>
  <si>
    <t>- Értékesítési és forgalmi adók</t>
  </si>
  <si>
    <t>Helyi adók  (4.1.1.+4.1.2.)</t>
  </si>
  <si>
    <t>Folyószámlahitel* (hitelkeret=100.000.000 Ft) 2019</t>
  </si>
  <si>
    <t>2019 év</t>
  </si>
  <si>
    <t>2019. év</t>
  </si>
  <si>
    <t>Közhatalmi bevételek (4.1.+4.2.+4.3.+4.4.+4.,5.)</t>
  </si>
  <si>
    <t>2022. évi</t>
  </si>
  <si>
    <t>Szoftver beszerzés</t>
  </si>
  <si>
    <t>Informatikai eszközök beszerzése</t>
  </si>
  <si>
    <t>Víziközmű rendszer éves felújítás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</si>
  <si>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</si>
  <si>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</si>
  <si>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</si>
  <si>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</si>
  <si>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</si>
  <si>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</si>
  <si>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</si>
  <si>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Kábítószer Ügyi Egyeztető Fórum eszközbeszerzés</t>
  </si>
  <si>
    <t>Vasvári P. u. 6. lépcsőházi ablakcsere</t>
  </si>
  <si>
    <t>- Egyesített Óvodai Intézmény</t>
  </si>
  <si>
    <t>- Tiszavasvári Bölcsőde</t>
  </si>
  <si>
    <t>- Kornisné LE Központ</t>
  </si>
  <si>
    <t>Intézmények összesen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</si>
  <si>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</si>
  <si>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</si>
  <si>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</si>
  <si>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</si>
  <si>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</si>
  <si>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</si>
  <si>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</si>
  <si>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Pályázati önerő: közművelődés: 250 eFt, könyvtári: 250 eFt</t>
  </si>
  <si>
    <t>Közutak üzemeltetése (kátyúzás)</t>
  </si>
  <si>
    <t>Bírság-, pótlék-, díj-, és járulékbevétel</t>
  </si>
  <si>
    <t>Közúti jelzőtáblák</t>
  </si>
  <si>
    <t>Tiszavasvári Város Önkormányzata</t>
  </si>
  <si>
    <t>Gyakorlati képzés (fő)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</si>
  <si>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</si>
  <si>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</si>
  <si>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</si>
  <si>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</si>
  <si>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</si>
  <si>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</si>
  <si>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</si>
  <si>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</si>
  <si>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</si>
  <si>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</si>
  <si>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</si>
  <si>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</si>
  <si>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</si>
  <si>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</si>
  <si>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</si>
  <si>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</si>
  <si>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</si>
  <si>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EU-s projekt neve, azonosítója: Komplex energetikai fejlesztések Tiszavasváriban TOP-3.2.2-15-SB1-2016-00012</t>
  </si>
  <si>
    <t>EU-s projekt neve, azonosítója: A Nyíri Mezőség turisztikai kínálatának integrált fejlesztése - Természeti és kulturális vonzerők, termékcsomagok fejlesztése a Nyíri Mezőségben, TOP-1.2.1-15-SB1-2016-00018</t>
  </si>
  <si>
    <t>Komplex energetikai fejlesztések Tiszavasváriban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</si>
  <si>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</si>
  <si>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</si>
  <si>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</si>
  <si>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Esély és otthon - mindkettő lehetséges! Komplex beavatkozások megvalósítása a fiatalok elvándorlásának csökkentése érdekében Tiszavasváriban, EFOP-1.2.11-16-2017-00009</t>
  </si>
  <si>
    <t>NEMLEGES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</si>
  <si>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</si>
  <si>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</si>
  <si>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</si>
  <si>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</si>
  <si>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</si>
  <si>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</si>
  <si>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</si>
  <si>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</si>
  <si>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</si>
  <si>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</si>
  <si>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</si>
  <si>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</si>
  <si>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</si>
  <si>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</si>
  <si>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</si>
  <si>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</si>
  <si>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</si>
  <si>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</si>
  <si>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</si>
  <si>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</si>
  <si>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</si>
  <si>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</si>
  <si>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</si>
  <si>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</si>
  <si>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</si>
  <si>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</si>
  <si>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</si>
  <si>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</si>
  <si>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</si>
  <si>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</si>
  <si>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</si>
  <si>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</si>
  <si>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</si>
  <si>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</si>
  <si>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</si>
  <si>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</si>
  <si>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</si>
  <si>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</si>
  <si>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</si>
  <si>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</si>
  <si>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</si>
  <si>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</si>
  <si>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</si>
  <si>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</si>
  <si>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</si>
  <si>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</si>
  <si>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</si>
  <si>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</si>
  <si>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</si>
  <si>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</si>
  <si>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</si>
  <si>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</si>
  <si>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</si>
  <si>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</si>
  <si>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</si>
  <si>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</si>
  <si>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</si>
  <si>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</si>
  <si>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</si>
  <si>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</si>
  <si>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</si>
  <si>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</si>
  <si>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</si>
  <si>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</si>
  <si>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</si>
  <si>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</si>
  <si>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</si>
  <si>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</si>
  <si>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</si>
  <si>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</si>
  <si>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</si>
  <si>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</si>
  <si>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>Képviselői informatikai eszköz</t>
  </si>
  <si>
    <t>2020</t>
  </si>
  <si>
    <t>Felhasználás
2019. XII.31-ig</t>
  </si>
  <si>
    <t>2020. évi előirányzat</t>
  </si>
  <si>
    <t xml:space="preserve">
2020. év utáni szükséglet
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</si>
  <si>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</si>
  <si>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</si>
  <si>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</si>
  <si>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Találkozások tere kialakítása Tiszavasváriban pályázat megvalósítás</t>
  </si>
  <si>
    <t>Fertőző megbetegedések megelőzése, járványügyi ellátással kapcsolatos tárgyi eszközök beszerzése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</si>
  <si>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</si>
  <si>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</si>
  <si>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</si>
  <si>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</si>
  <si>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</si>
  <si>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</si>
  <si>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</si>
  <si>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</si>
  <si>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2020. év utáni szükséglet
(6=2 - 4 - 5)</t>
  </si>
  <si>
    <t>2017-2020</t>
  </si>
  <si>
    <t>2018-2020</t>
  </si>
  <si>
    <t>Mezőőrség 2020. évi munkaruha beszerzés</t>
  </si>
  <si>
    <t>Orvosi ügyelet eszközbeszerzés</t>
  </si>
  <si>
    <t>Petőfi utca járda</t>
  </si>
  <si>
    <t>2020-2021</t>
  </si>
  <si>
    <t>Közterület felügyelő (Munka, védőruha beszerzés stb.)</t>
  </si>
  <si>
    <t>Önkormányzat összesen:</t>
  </si>
  <si>
    <t>Varázsceruza Óvoda - tornaszoba nyílászáróinak cseréje</t>
  </si>
  <si>
    <t>Kabay J. u. 21.-23. tetőfelújítás</t>
  </si>
  <si>
    <t>2020.</t>
  </si>
  <si>
    <t>2019.12.31. -i hitelállomány</t>
  </si>
  <si>
    <t xml:space="preserve">2020. évi költségvetése </t>
  </si>
  <si>
    <t xml:space="preserve">2020. évi költségvetésében rendelkezésre álló tartalékok </t>
  </si>
  <si>
    <t>2018. évi tény</t>
  </si>
  <si>
    <t xml:space="preserve">"
Tiszavasvári Város Önkormányzata
2020. ÉVI KÖLTSÉGVETÉSÉNEK ÖSSZEVONT MÉRLEGE     
</t>
  </si>
  <si>
    <t>2020. előtti kifizetés</t>
  </si>
  <si>
    <t>2022 után</t>
  </si>
  <si>
    <t>A 2020. évi általános működés és ágazati feladatok támogatásának alakulása jogcímenként</t>
  </si>
  <si>
    <t>A minimálbér és a garantált bérminimum emelés hatásának kompenzációja</t>
  </si>
  <si>
    <t>2020. évi bérkompenzáció 11 hó</t>
  </si>
  <si>
    <t>Gyermekétkeztetés támogatása (bértámogatás)</t>
  </si>
  <si>
    <t>Gyermekétkeztetés üzemeltetési támogatás</t>
  </si>
  <si>
    <t xml:space="preserve"> - ebből könyvtári érdekeltségnövelő támogatás</t>
  </si>
  <si>
    <t>Települési önkormányzatok kulturális feladatainak támogatása</t>
  </si>
  <si>
    <t>K I M U T A T Á S
a 2020. évben céljelleggel juttatandó támogatásokról</t>
  </si>
  <si>
    <t>Az önkormányzat 2020. évi költségvetésének</t>
  </si>
  <si>
    <t>Tiszavasvári Város Önkormányzata
2020. ÉVI KÖLTSÉGVETÉSI ÉVET KÖVETŐ 3 ÉV TERVEZETT BEVÉTELEI, KIADÁSAI</t>
  </si>
  <si>
    <t>2023. évi</t>
  </si>
  <si>
    <t xml:space="preserve">      - nyári diákmunka június, július összesen</t>
  </si>
  <si>
    <t xml:space="preserve">      - GINOP pályázat keretében foglalkoztatott július 1-től</t>
  </si>
  <si>
    <t>Mindösszesen köz- és pályázat keretében foglalkoztatottak nélkül:</t>
  </si>
  <si>
    <t xml:space="preserve">      - pályázat keretében foglalkoztatható létszám (fő)</t>
  </si>
  <si>
    <t>Pályázati forrás terhére foglalkoztatható létszám (fő)</t>
  </si>
  <si>
    <t>Pályázati forrás terhére foglalkoztatható létszám (2 fő május 31-ig)</t>
  </si>
  <si>
    <t>- Városi Kincstár (január 1-től május 31-ig)</t>
  </si>
  <si>
    <t xml:space="preserve">      - pályázat keretében foglalkoztatható létszám (május 31-ig)</t>
  </si>
  <si>
    <t>- Városi Kincstár (június 1-től)</t>
  </si>
  <si>
    <t>Álláshelyek száma</t>
  </si>
  <si>
    <t>Pályázati forrás terhére foglalkoztatható létszám (1 fő május 17-ig)</t>
  </si>
  <si>
    <t xml:space="preserve">- Egyesített Közművelődési Központ és Könyvtár </t>
  </si>
  <si>
    <t xml:space="preserve">      - pályázat keretében foglalkoztatható létszám május 17-ig (fő)</t>
  </si>
  <si>
    <t>TOP pályázat keretében foglalkoztatható létszám</t>
  </si>
  <si>
    <t xml:space="preserve">      - GINOP 5.2.1-14 pályázat keretében fogl. létszáma (fő)</t>
  </si>
  <si>
    <t xml:space="preserve">      - Gyakorlati képz. - szoc. gondozó és ápoló létszám (fő)</t>
  </si>
  <si>
    <t xml:space="preserve">      - NRSZH pály. - megvált. munkakép. fogl. létszám (fő)</t>
  </si>
  <si>
    <t xml:space="preserve">     -  TOP 5.2.1. pályázat keretében foglalkoztatott létszám </t>
  </si>
  <si>
    <t>TOP pályázat keretében foglalkoztatott létszám (fő)</t>
  </si>
  <si>
    <t>Könyvtári könyvek beszerzése (Szja 1 %-ának felajánlásából)</t>
  </si>
  <si>
    <t xml:space="preserve"> TOP pályázat egyéb tárgyi eszközök beszerzése</t>
  </si>
  <si>
    <t>INTÉZMÉNYEK ÖSSZESEN:</t>
  </si>
  <si>
    <t>Informatikai eszközök beszerzése (számítógép, office programcsomag, monitorok, stb.)</t>
  </si>
  <si>
    <t>Egyéb tárgyi eszközök beszerzése</t>
  </si>
  <si>
    <t>Klíma beredezés cseréje</t>
  </si>
  <si>
    <t>Akadálymentes mosdó kialakítása a Sportcsarnokban</t>
  </si>
  <si>
    <t>Fülemüle Óvoda kerítés felújítás</t>
  </si>
  <si>
    <t>Homokozó játékok, rollerek, műanyag játékok beszerzése (Minimanó óvoda)</t>
  </si>
  <si>
    <t>2 db tükör beszerzése (Fülemüle óvoda)</t>
  </si>
  <si>
    <t>Irodai forgószék beszerzése (Minimanó óvoda)</t>
  </si>
  <si>
    <t>Informatikai eszközök beszerzése (Könyvtár)</t>
  </si>
  <si>
    <t>Egyéb tárgyi eszközök beszerzése (Könyvtár)</t>
  </si>
  <si>
    <t>Könyvtári könyvek beszerzése (Könyvtár 10 % kötelező)</t>
  </si>
  <si>
    <t>Konyhai és egyéb tárgyi eszközök beszerzése (gyermekétkeztetés)</t>
  </si>
  <si>
    <t>Egyéb tárgyi eszközök beszerzése (bölcsődei ellátás)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</si>
  <si>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</si>
  <si>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</si>
  <si>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</si>
  <si>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</si>
  <si>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</si>
  <si>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</si>
  <si>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Ápolási és egyéb tárgyi eszközök beszerzése gyakorlati oktatási keretből </t>
  </si>
  <si>
    <t>EU-s projekt neve, azonosítója: Komplex felzárkóztató programok Tiszavasvári Külső-Szentmihály városrészen, TOP-5.2.1-15-SB1-2016-00011 (megvalósító: Önkormányzat)</t>
  </si>
  <si>
    <t>EU-s projekt neve, azonosítója: Komplex felzárkóztató programok Tiszavasvári Külső-Szentmihály városrészen, TOP-5.2.1-15-SB1-2016-00011 (megvalósító: Kornisné Központ)</t>
  </si>
  <si>
    <t>2020. előtt</t>
  </si>
  <si>
    <t>2020. után</t>
  </si>
  <si>
    <t>ALAPADATOK</t>
  </si>
  <si>
    <t>. évi</t>
  </si>
  <si>
    <t>Előterjesztéskor</t>
  </si>
  <si>
    <t>a</t>
  </si>
  <si>
    <t>/</t>
  </si>
  <si>
    <t>(</t>
  </si>
  <si>
    <t>)</t>
  </si>
  <si>
    <t>1. költségvetési szerv neve</t>
  </si>
  <si>
    <t>1 kvi név</t>
  </si>
  <si>
    <t>Tiszavasvári Város Önkormányzat</t>
  </si>
  <si>
    <t>2. költségvetési szerv neve</t>
  </si>
  <si>
    <t>3. költségvetési szerv neve</t>
  </si>
  <si>
    <t>4. költségvetési szerv neve</t>
  </si>
  <si>
    <t>ÖSSZEVONT MÉRLEGE</t>
  </si>
  <si>
    <t>KÖTELEZŐ FELADATOK MÉRLEGE</t>
  </si>
  <si>
    <t>ÖNKÉNT VÁLLALT FELADATOK MÉRLEGE</t>
  </si>
  <si>
    <t>VÁLLALKOZÁSI FELADATOK MÉRLEGE</t>
  </si>
  <si>
    <t>ÁLLAMIGAZGATÁSI FELADATOK MÉRLEGE</t>
  </si>
  <si>
    <t>Költségvetési rendelet űrlapjainak összefüggései:</t>
  </si>
  <si>
    <t>ELTÉRÉS</t>
  </si>
  <si>
    <t>1.1. sz. melléklet Bevételek táblázat C. oszlop 9 sora =</t>
  </si>
  <si>
    <t xml:space="preserve">2.1. számú melléklet C. oszlop 13. sor + 2.2. számú melléklet C. oszlop 12. sor </t>
  </si>
  <si>
    <t>1.1. sz. melléklet Bevételek táblázat C. oszlop 17 sora =</t>
  </si>
  <si>
    <t xml:space="preserve">2.1. számú melléklet C. oszlop 24. sor + 2.2. számú melléklet C. oszlop 25. sor </t>
  </si>
  <si>
    <t>1.1. sz. melléklet Bevételek táblázat C. oszlop 18 sora =</t>
  </si>
  <si>
    <t xml:space="preserve">2.1. számú melléklet C. oszlop 25. sor + 2.2. számú melléklet C. oszlop 26. sor </t>
  </si>
  <si>
    <t>1.1. sz. melléklet Kiadások táblázat C. oszlop 3 sora =</t>
  </si>
  <si>
    <t xml:space="preserve">2.1. számú melléklet E. oszlop 13. sor + 2.2. számú melléklet E. oszlop 12. sor </t>
  </si>
  <si>
    <t>1.1. sz. melléklet Kiadások táblázat C. oszlop 10 sora =</t>
  </si>
  <si>
    <t xml:space="preserve">2.1. számú melléklet E. oszlop 24. sor + 2.2. számú melléklet E. oszlop 25. sor </t>
  </si>
  <si>
    <t>1.1. sz. melléklet Kiadások táblázat C. oszlop 11 sora =</t>
  </si>
  <si>
    <t xml:space="preserve">2.1. számú melléklet E. oszlop 25. sor + 2.2. számú melléklet E. oszlop 26. sor </t>
  </si>
  <si>
    <t>Tiszavasvári Város Önkormányzata 2020. évi adósságot keletkeztető fejlesztési céljai</t>
  </si>
  <si>
    <t>Egyéb tárgyi eszköz beszerzés (Klíma, polc, szék, stb.)</t>
  </si>
  <si>
    <t>Sopron úti épület felújítása</t>
  </si>
  <si>
    <t>Tiszavasvári Polgármesteri Hivatal összesen:</t>
  </si>
  <si>
    <t>Városi Kincstár összesen:</t>
  </si>
  <si>
    <t>Tiszavasvári Egyesített Óvodai Intézmény összesen:</t>
  </si>
  <si>
    <t>Egyesített Közművelődési Intézmény és Könyvtár összesen:</t>
  </si>
  <si>
    <t>Tiszavasvári Bölcsőde összesen:</t>
  </si>
  <si>
    <t>Kornisné Liptay Elza Szociális és Gyermekjóléti Központ összesen:</t>
  </si>
  <si>
    <t>Informatikai és egyéb tárgyi eszközök beszerzése:</t>
  </si>
  <si>
    <t>ÖNKORMÁNYZAT MINDÖSSZESEN:</t>
  </si>
  <si>
    <t>2020. évi TAO felhalmozási célú hitel</t>
  </si>
  <si>
    <t>Petőfi út járda építési hitel</t>
  </si>
  <si>
    <t>2020 után</t>
  </si>
  <si>
    <t>ösztönző támogatás</t>
  </si>
  <si>
    <t>EU-s projekt neve, azonosítója: Találkozások tere kialakítása Tiszavasváriban, TOP-7.1.1-16-H-RFA-2018-00028</t>
  </si>
  <si>
    <t>EU-s projekt neve, azonosítója: Zöld városközpont kialakítása Tiszavasváriban, TOP-2.1.2-15-SB1-2017-00028</t>
  </si>
  <si>
    <t>EU-s projekt neve, azonosítója: Helyi klímastratégia kidolgozása, valamint a klímatudatosságot erősítő szemléletformálás megvalósítása Tiszavasváriban, KEHOP-1.2.1-18-2018-00048</t>
  </si>
  <si>
    <t>EU-s projekt neve, azonosítója: Iparterület kialakítása Tiszavasváriban, TOP-1.1.1-15-SB1-2016-00005</t>
  </si>
  <si>
    <t>Tiszavasvári SE TAO pályázat önerő-2019 kézilabda</t>
  </si>
  <si>
    <t>Tiszavasvári SE TAO pályázat önerő-2019 labdarúgás</t>
  </si>
  <si>
    <t>2020. évi tervezett támogatás összesen</t>
  </si>
  <si>
    <t>Jogcím/Megnevezés</t>
  </si>
  <si>
    <t>2020. évi fordított áfa előirányzata</t>
  </si>
  <si>
    <t>Elkülönítetten nyílvántartott záró pénzkészlet</t>
  </si>
  <si>
    <t>Pervesztesség esetén fizetendő kártérítés</t>
  </si>
  <si>
    <t>Iparterület kialakítása Tiszavasváriban pályázati tartalék</t>
  </si>
  <si>
    <t>Zöld városközpont kialakítása Tiszavasváriban pályázati tartalék</t>
  </si>
  <si>
    <t>Egyéb beruházási tartalék</t>
  </si>
  <si>
    <t>Lakáseladás tervezett bevétele</t>
  </si>
  <si>
    <t>Találkozások tere kialakítása Tiszavasváriban pályázati tartalék</t>
  </si>
  <si>
    <t>Magyar Kézilabda Szövetség tornaterem felújítási pályázat biztosíték</t>
  </si>
  <si>
    <t>2019. évi várható adat</t>
  </si>
  <si>
    <t>Működési célú finanszírozási kiadások
(hiteltörlesztés, értékpapír vásárlás, stb.)*</t>
  </si>
  <si>
    <t>TSE TAO hitel 2017.</t>
  </si>
  <si>
    <t>Előirányzat-felhasználási terv
2020. évre</t>
  </si>
  <si>
    <t>GINOP keretében foglalkoztatott (fő)</t>
  </si>
  <si>
    <t>Komplex környezetvédelmi programok támogatása</t>
  </si>
  <si>
    <t>056010</t>
  </si>
  <si>
    <t>062020</t>
  </si>
  <si>
    <t>Településfejlesztési projektek és támogatásuk</t>
  </si>
  <si>
    <t>104043</t>
  </si>
  <si>
    <t>Család és gyermekjóléti központ</t>
  </si>
  <si>
    <t>107090</t>
  </si>
  <si>
    <t>Romák társadalmi integrációját elősegítő tevékenységek, programok</t>
  </si>
  <si>
    <t>Ifjúság-egészségügyi gondozás</t>
  </si>
  <si>
    <t>074032</t>
  </si>
  <si>
    <t>Sorszám</t>
  </si>
  <si>
    <t>I.</t>
  </si>
  <si>
    <t>I.1.</t>
  </si>
  <si>
    <t>I.2.</t>
  </si>
  <si>
    <t>I.3.</t>
  </si>
  <si>
    <t>A települési önkormányzatok működésének támogatása I.1. = (1+2)</t>
  </si>
  <si>
    <t>A helyi önkormányzatok működésének általános támogatása I. = (I.1.+I.2.+I.3.)</t>
  </si>
  <si>
    <t>II.</t>
  </si>
  <si>
    <t>II.1.</t>
  </si>
  <si>
    <t>II.2.</t>
  </si>
  <si>
    <t>II.3.</t>
  </si>
  <si>
    <t>II.4.</t>
  </si>
  <si>
    <t>II.5.</t>
  </si>
  <si>
    <t>III.</t>
  </si>
  <si>
    <t>III.1.</t>
  </si>
  <si>
    <t>III.2.</t>
  </si>
  <si>
    <t>III.3.</t>
  </si>
  <si>
    <t>III.4.</t>
  </si>
  <si>
    <t>III.5.</t>
  </si>
  <si>
    <t>III.6.</t>
  </si>
  <si>
    <t>III.7.</t>
  </si>
  <si>
    <t>III.8.</t>
  </si>
  <si>
    <t>III.9</t>
  </si>
  <si>
    <t>III.10.</t>
  </si>
  <si>
    <t>III.11.</t>
  </si>
  <si>
    <t>III.12.</t>
  </si>
  <si>
    <t>IV.1.</t>
  </si>
  <si>
    <t>IV.2.</t>
  </si>
  <si>
    <t>IV.3.</t>
  </si>
  <si>
    <t>IV.4.</t>
  </si>
  <si>
    <t>IV.5.</t>
  </si>
  <si>
    <t>IV.6.</t>
  </si>
  <si>
    <t>A települési önkormányzatok egyes köznevelési feladatainak támogatása                                                II. = (II.1.+II.2.+II.3.+II.4.+II.5.)</t>
  </si>
  <si>
    <t>Település üzemeltetéséhez kapcsolódó feladatellátás összesen 2 = (2.1.+….+2.6.)</t>
  </si>
  <si>
    <t>IV.7.</t>
  </si>
  <si>
    <t>Finanszírozási bevételek, kiadások egyenlege (finanszírozási bevételek 17. sor - finanszírozási kiadások 10. sor) (+/-)</t>
  </si>
  <si>
    <t>Finanszírozási bevételek, kiadások egyenlege (finanszírozási bevételek 17. sor - finanszírozási kiadások 10. sor)  (+/-)</t>
  </si>
  <si>
    <t>EU-s projekt neve, azonosítója: "Hagyományok a közösségekért - Közösségek a hagyományokért" hagyományőrző rendezvények megvalósítása, TOP-7.1.1-16-H-ESZA-2019-00348 (megvalósító: Egyesített Közművelődési Intézmény és Könyvtár)</t>
  </si>
  <si>
    <t>EU-s projekt neve, azonosítója: "Hagyományok a közösségekért - Közösségek a hagyományokért" hagyományőrző rendezvények megvalósítása, TOP-7.1.1-16-H-ESZA-2019-00921 (megvalósító: Városi Kincstár)</t>
  </si>
  <si>
    <t>Helyi építési szabályzat felülvizsgálat tervdokumentációk</t>
  </si>
  <si>
    <t>1.3.1</t>
  </si>
  <si>
    <t>1.3.2</t>
  </si>
  <si>
    <t>Önkormányzatok szociális, gyermekjóléti és étkeztetési feladatainak támogatása (1.3.=1.3.1.+1.3.2.)</t>
  </si>
  <si>
    <t xml:space="preserve">Települési önkormányzatok egyes szociális és gyermekjóléti feladatainak támogatása </t>
  </si>
  <si>
    <t xml:space="preserve">Települési önkormányzatok gyermekétkeztetési feladatainak támogatása </t>
  </si>
  <si>
    <t>Wifi4EU - hálózat kiépítés</t>
  </si>
  <si>
    <t>EU-s projekt neve, azonosítója: "WiFi4EU – az internetkapcsolat helyi közösségekben történő előmozdítása", INEA/CEF/WiFi4EU/1-2019/012740-016416</t>
  </si>
  <si>
    <t>A helyi adóból és a települési adóból származó bevétel</t>
  </si>
  <si>
    <t>2019. évi TSE 2db TAO pályázata önerejéhez biztosított felhalmozási támogatás (2020. évi AKÜ)</t>
  </si>
  <si>
    <t>Kossuth utca, Ifjúság utca gyalogátkelő kialakítás (2019. évi AKÜ)</t>
  </si>
  <si>
    <t>Járdaépítés (2020. évi AKÜ)</t>
  </si>
  <si>
    <t>2018. évi TSE 2db TAO pályázata önerejéhez biztosított felhalmozási támogatás (2019. évi AKÜ*)</t>
  </si>
  <si>
    <t>* Adóságot keletkeztető ügylet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</si>
  <si>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</si>
  <si>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</si>
  <si>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</si>
  <si>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</si>
  <si>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Civil alap - támogatás</t>
  </si>
  <si>
    <t>046010</t>
  </si>
  <si>
    <t xml:space="preserve">Hírközlés és az információs társadalom fejlesztésének igazgatása és támogatása </t>
  </si>
  <si>
    <t>072112</t>
  </si>
  <si>
    <t xml:space="preserve">Háziorvosi ügyeleti ellátás </t>
  </si>
  <si>
    <t>074051</t>
  </si>
  <si>
    <t xml:space="preserve">Nem fertőző megbetegedések megelőzése </t>
  </si>
  <si>
    <t>2020.évi előirányzat</t>
  </si>
  <si>
    <t>Finanszírozási hiány:</t>
  </si>
  <si>
    <t>Finanszírozási többlet:</t>
  </si>
  <si>
    <t>29.</t>
  </si>
  <si>
    <t>önkormányzati rendelethez</t>
  </si>
  <si>
    <t>Játszótér kialakítása - Csónakázó tó</t>
  </si>
  <si>
    <t>Könyvtári könyvek beszerzése érdekeltségnövelő támogatásból</t>
  </si>
  <si>
    <t>tájékoztató tábla</t>
  </si>
  <si>
    <t>Mezőőrség és Önkormányzat 2020. évi eszközbeszerzés</t>
  </si>
  <si>
    <t>Járóbeteg szakellátás fejlesztését célzó eszközbeszerzések</t>
  </si>
  <si>
    <t>Térfigyelő kamera Csónakázó tó környéke</t>
  </si>
  <si>
    <t>Útfelújítás saját erőből</t>
  </si>
  <si>
    <t>Képviselői felajánlások</t>
  </si>
  <si>
    <t>Támogatás visszafizetés</t>
  </si>
  <si>
    <t>2020. évi fejlesztési pályázat</t>
  </si>
  <si>
    <t>9.    Oktatás</t>
  </si>
  <si>
    <t>091140</t>
  </si>
  <si>
    <t>Óvodai nevelés, ellátás működtetési feladatai</t>
  </si>
  <si>
    <t>Bölcsődei kiegészítő támogatás</t>
  </si>
  <si>
    <t>III.13.</t>
  </si>
  <si>
    <t>Települési önkormányzatok szociális, gyermekjóléti és gyermekétkeztetési feladatainak támogatása        III. = (III.1.+….+III.13.)</t>
  </si>
  <si>
    <t>Tiszavasvári Fűvószenekari Alapítvány</t>
  </si>
  <si>
    <t>IX.25.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</si>
</sst>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H_U_F_-;\-* #,##0.00\ _H_U_F_-;_-* &quot;-&quot;??\ _H_U_F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  <numFmt numFmtId="170" formatCode="#,##0\ [$Ft-40E]"/>
    <numFmt numFmtId="171" formatCode="#,##0.000"/>
  </numFmts>
  <fonts count="1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i/>
      <sz val="11"/>
      <color indexed="10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8" tint="-0.249977111117893"/>
      <name val="Times New Roman CE"/>
      <charset val="238"/>
    </font>
    <font>
      <i/>
      <sz val="11"/>
      <name val="Times New Roman CE"/>
      <charset val="238"/>
    </font>
    <font>
      <b/>
      <sz val="14"/>
      <name val="Times New Roman CE"/>
      <charset val="238"/>
    </font>
    <font>
      <sz val="10"/>
      <color theme="0"/>
      <name val="Times New Roman CE"/>
      <charset val="238"/>
    </font>
    <font>
      <b/>
      <sz val="12"/>
      <color indexed="10"/>
      <name val="Times New Roman CE"/>
      <charset val="238"/>
    </font>
    <font>
      <sz val="9"/>
      <color indexed="17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2"/>
      <name val="MS Sans Serif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1"/>
      <color rgb="FFFF0000"/>
      <name val="MS Sans Serif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2" borderId="0" applyNumberFormat="0" applyBorder="0" applyAlignment="0" applyProtection="0"/>
    <xf numFmtId="0" fontId="45" fillId="6" borderId="0" applyNumberFormat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48" fillId="0" borderId="0"/>
    <xf numFmtId="0" fontId="6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7" fillId="0" borderId="0"/>
    <xf numFmtId="0" fontId="48" fillId="0" borderId="0"/>
    <xf numFmtId="0" fontId="17" fillId="0" borderId="0"/>
    <xf numFmtId="0" fontId="52" fillId="0" borderId="0"/>
    <xf numFmtId="0" fontId="4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93">
    <xf numFmtId="0" fontId="0" fillId="0" borderId="0" xfId="0"/>
    <xf numFmtId="165" fontId="8" fillId="0" borderId="0" xfId="0" applyNumberFormat="1" applyFont="1" applyFill="1" applyAlignment="1">
      <alignment vertical="center" wrapText="1"/>
    </xf>
    <xf numFmtId="0" fontId="12" fillId="0" borderId="0" xfId="21" applyFont="1" applyFill="1" applyBorder="1" applyAlignment="1" applyProtection="1">
      <alignment horizontal="center" vertical="center" wrapText="1"/>
    </xf>
    <xf numFmtId="0" fontId="12" fillId="0" borderId="0" xfId="21" applyFont="1" applyFill="1" applyBorder="1" applyAlignment="1" applyProtection="1">
      <alignment vertical="center" wrapText="1"/>
    </xf>
    <xf numFmtId="0" fontId="26" fillId="0" borderId="1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4" xfId="21" applyFont="1" applyFill="1" applyBorder="1" applyAlignment="1" applyProtection="1">
      <alignment horizontal="left" vertical="center" wrapText="1" indent="1"/>
    </xf>
    <xf numFmtId="0" fontId="26" fillId="0" borderId="5" xfId="21" applyFont="1" applyFill="1" applyBorder="1" applyAlignment="1" applyProtection="1">
      <alignment horizontal="left" vertical="center" wrapText="1" indent="1"/>
    </xf>
    <xf numFmtId="0" fontId="26" fillId="0" borderId="6" xfId="21" applyFont="1" applyFill="1" applyBorder="1" applyAlignment="1" applyProtection="1">
      <alignment horizontal="left" vertical="center" wrapText="1" indent="1"/>
    </xf>
    <xf numFmtId="49" fontId="26" fillId="0" borderId="7" xfId="21" applyNumberFormat="1" applyFont="1" applyFill="1" applyBorder="1" applyAlignment="1" applyProtection="1">
      <alignment horizontal="left" vertical="center" wrapText="1" indent="1"/>
    </xf>
    <xf numFmtId="49" fontId="26" fillId="0" borderId="8" xfId="21" applyNumberFormat="1" applyFont="1" applyFill="1" applyBorder="1" applyAlignment="1" applyProtection="1">
      <alignment horizontal="left" vertical="center" wrapText="1" indent="1"/>
    </xf>
    <xf numFmtId="49" fontId="26" fillId="0" borderId="9" xfId="21" applyNumberFormat="1" applyFont="1" applyFill="1" applyBorder="1" applyAlignment="1" applyProtection="1">
      <alignment horizontal="left" vertical="center" wrapText="1" indent="1"/>
    </xf>
    <xf numFmtId="49" fontId="26" fillId="0" borderId="10" xfId="21" applyNumberFormat="1" applyFont="1" applyFill="1" applyBorder="1" applyAlignment="1" applyProtection="1">
      <alignment horizontal="left" vertical="center" wrapText="1" indent="1"/>
    </xf>
    <xf numFmtId="49" fontId="26" fillId="0" borderId="11" xfId="21" applyNumberFormat="1" applyFont="1" applyFill="1" applyBorder="1" applyAlignment="1" applyProtection="1">
      <alignment horizontal="left" vertical="center" wrapText="1" indent="1"/>
    </xf>
    <xf numFmtId="49" fontId="26" fillId="0" borderId="12" xfId="21" applyNumberFormat="1" applyFont="1" applyFill="1" applyBorder="1" applyAlignment="1" applyProtection="1">
      <alignment horizontal="left" vertical="center" wrapText="1" indent="1"/>
    </xf>
    <xf numFmtId="0" fontId="26" fillId="0" borderId="0" xfId="21" applyFont="1" applyFill="1" applyBorder="1" applyAlignment="1" applyProtection="1">
      <alignment horizontal="left" vertical="center" wrapText="1" indent="1"/>
    </xf>
    <xf numFmtId="0" fontId="24" fillId="0" borderId="13" xfId="21" applyFont="1" applyFill="1" applyBorder="1" applyAlignment="1" applyProtection="1">
      <alignment horizontal="left" vertical="center" wrapText="1" indent="1"/>
    </xf>
    <xf numFmtId="0" fontId="24" fillId="0" borderId="14" xfId="21" applyFont="1" applyFill="1" applyBorder="1" applyAlignment="1" applyProtection="1">
      <alignment horizontal="left" vertical="center" wrapText="1" indent="1"/>
    </xf>
    <xf numFmtId="0" fontId="24" fillId="0" borderId="15" xfId="21" applyFont="1" applyFill="1" applyBorder="1" applyAlignment="1" applyProtection="1">
      <alignment horizontal="left" vertical="center" wrapText="1" indent="1"/>
    </xf>
    <xf numFmtId="0" fontId="13" fillId="0" borderId="13" xfId="21" applyFont="1" applyFill="1" applyBorder="1" applyAlignment="1" applyProtection="1">
      <alignment horizontal="center" vertical="center" wrapText="1"/>
    </xf>
    <xf numFmtId="0" fontId="13" fillId="0" borderId="14" xfId="21" applyFont="1" applyFill="1" applyBorder="1" applyAlignment="1" applyProtection="1">
      <alignment horizontal="center" vertical="center" wrapText="1"/>
    </xf>
    <xf numFmtId="0" fontId="24" fillId="0" borderId="14" xfId="21" applyFont="1" applyFill="1" applyBorder="1" applyAlignment="1" applyProtection="1">
      <alignment vertical="center" wrapText="1"/>
    </xf>
    <xf numFmtId="0" fontId="24" fillId="0" borderId="16" xfId="21" applyFont="1" applyFill="1" applyBorder="1" applyAlignment="1" applyProtection="1">
      <alignment vertical="center" wrapText="1"/>
    </xf>
    <xf numFmtId="0" fontId="33" fillId="0" borderId="6" xfId="0" applyFont="1" applyBorder="1" applyAlignment="1" applyProtection="1">
      <alignment horizontal="left" vertical="center" indent="1"/>
      <protection locked="0"/>
    </xf>
    <xf numFmtId="0" fontId="24" fillId="0" borderId="13" xfId="21" applyFont="1" applyFill="1" applyBorder="1" applyAlignment="1" applyProtection="1">
      <alignment horizontal="center" vertical="center" wrapText="1"/>
    </xf>
    <xf numFmtId="0" fontId="24" fillId="0" borderId="14" xfId="21" applyFont="1" applyFill="1" applyBorder="1" applyAlignment="1" applyProtection="1">
      <alignment horizontal="center" vertical="center" wrapText="1"/>
    </xf>
    <xf numFmtId="0" fontId="24" fillId="0" borderId="19" xfId="21" applyFont="1" applyFill="1" applyBorder="1" applyAlignment="1" applyProtection="1">
      <alignment horizontal="center" vertical="center" wrapText="1"/>
    </xf>
    <xf numFmtId="0" fontId="13" fillId="0" borderId="14" xfId="23" applyFont="1" applyFill="1" applyBorder="1" applyAlignment="1" applyProtection="1">
      <alignment horizontal="left" vertical="center" indent="1"/>
    </xf>
    <xf numFmtId="0" fontId="13" fillId="0" borderId="19" xfId="21" applyFont="1" applyFill="1" applyBorder="1" applyAlignment="1" applyProtection="1">
      <alignment horizontal="center" vertical="center" wrapText="1"/>
    </xf>
    <xf numFmtId="165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vertical="center" wrapText="1"/>
    </xf>
    <xf numFmtId="16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0" applyNumberFormat="1" applyFont="1" applyFill="1" applyBorder="1" applyAlignment="1" applyProtection="1">
      <alignment horizontal="right" vertical="center" indent="1"/>
      <protection locked="0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23" applyFill="1" applyProtection="1"/>
    <xf numFmtId="0" fontId="26" fillId="0" borderId="13" xfId="23" applyFont="1" applyFill="1" applyBorder="1" applyAlignment="1" applyProtection="1">
      <alignment horizontal="left" vertical="center" indent="1"/>
    </xf>
    <xf numFmtId="0" fontId="17" fillId="0" borderId="0" xfId="23" applyFill="1" applyAlignment="1" applyProtection="1">
      <alignment vertical="center"/>
    </xf>
    <xf numFmtId="0" fontId="26" fillId="0" borderId="7" xfId="23" applyFont="1" applyFill="1" applyBorder="1" applyAlignment="1" applyProtection="1">
      <alignment horizontal="left" vertical="center" indent="1"/>
    </xf>
    <xf numFmtId="0" fontId="26" fillId="0" borderId="8" xfId="23" applyFont="1" applyFill="1" applyBorder="1" applyAlignment="1" applyProtection="1">
      <alignment horizontal="left" vertical="center" indent="1"/>
    </xf>
    <xf numFmtId="165" fontId="26" fillId="0" borderId="2" xfId="23" applyNumberFormat="1" applyFont="1" applyFill="1" applyBorder="1" applyAlignment="1" applyProtection="1">
      <alignment vertical="center"/>
      <protection locked="0"/>
    </xf>
    <xf numFmtId="0" fontId="17" fillId="0" borderId="0" xfId="23" applyFill="1" applyAlignment="1" applyProtection="1">
      <alignment vertical="center"/>
      <protection locked="0"/>
    </xf>
    <xf numFmtId="165" fontId="24" fillId="0" borderId="14" xfId="23" applyNumberFormat="1" applyFont="1" applyFill="1" applyBorder="1" applyAlignment="1" applyProtection="1">
      <alignment vertical="center"/>
    </xf>
    <xf numFmtId="0" fontId="24" fillId="0" borderId="13" xfId="23" applyFont="1" applyFill="1" applyBorder="1" applyAlignment="1" applyProtection="1">
      <alignment horizontal="left" vertical="center" indent="1"/>
    </xf>
    <xf numFmtId="165" fontId="24" fillId="0" borderId="14" xfId="23" applyNumberFormat="1" applyFont="1" applyFill="1" applyBorder="1" applyProtection="1"/>
    <xf numFmtId="0" fontId="20" fillId="0" borderId="0" xfId="23" applyFont="1" applyFill="1" applyProtection="1"/>
    <xf numFmtId="0" fontId="38" fillId="0" borderId="0" xfId="23" applyFont="1" applyFill="1" applyProtection="1">
      <protection locked="0"/>
    </xf>
    <xf numFmtId="0" fontId="28" fillId="0" borderId="0" xfId="23" applyFont="1" applyFill="1" applyProtection="1">
      <protection locked="0"/>
    </xf>
    <xf numFmtId="3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4" xfId="21" applyFont="1" applyFill="1" applyBorder="1" applyAlignment="1" applyProtection="1">
      <alignment horizontal="left" vertical="center" wrapText="1" indent="1"/>
    </xf>
    <xf numFmtId="165" fontId="32" fillId="0" borderId="13" xfId="0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Fill="1" applyBorder="1" applyAlignment="1" applyProtection="1">
      <alignment horizontal="right"/>
    </xf>
    <xf numFmtId="0" fontId="33" fillId="0" borderId="25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indent="6"/>
    </xf>
    <xf numFmtId="0" fontId="26" fillId="0" borderId="2" xfId="21" applyFont="1" applyFill="1" applyBorder="1" applyAlignment="1" applyProtection="1">
      <alignment horizontal="left" vertical="center" wrapText="1" indent="6"/>
    </xf>
    <xf numFmtId="0" fontId="26" fillId="0" borderId="6" xfId="21" applyFont="1" applyFill="1" applyBorder="1" applyAlignment="1" applyProtection="1">
      <alignment horizontal="left" vertical="center" wrapText="1" indent="6"/>
    </xf>
    <xf numFmtId="0" fontId="26" fillId="0" borderId="21" xfId="21" applyFont="1" applyFill="1" applyBorder="1" applyAlignment="1" applyProtection="1">
      <alignment horizontal="left" vertical="center" wrapText="1" indent="6"/>
    </xf>
    <xf numFmtId="0" fontId="16" fillId="0" borderId="0" xfId="0" applyFont="1" applyFill="1" applyBorder="1" applyAlignment="1" applyProtection="1"/>
    <xf numFmtId="0" fontId="27" fillId="0" borderId="0" xfId="0" applyFont="1" applyFill="1" applyBorder="1" applyAlignment="1" applyProtection="1">
      <alignment horizontal="right"/>
    </xf>
    <xf numFmtId="0" fontId="32" fillId="0" borderId="11" xfId="21" applyFont="1" applyFill="1" applyBorder="1" applyAlignment="1" applyProtection="1">
      <alignment horizontal="center" vertical="center" wrapText="1"/>
    </xf>
    <xf numFmtId="0" fontId="32" fillId="0" borderId="4" xfId="21" applyFont="1" applyFill="1" applyBorder="1" applyAlignment="1" applyProtection="1">
      <alignment horizontal="center" vertical="center" wrapText="1"/>
    </xf>
    <xf numFmtId="0" fontId="32" fillId="0" borderId="17" xfId="21" applyFont="1" applyFill="1" applyBorder="1" applyAlignment="1" applyProtection="1">
      <alignment horizontal="center" vertical="center" wrapText="1"/>
    </xf>
    <xf numFmtId="0" fontId="33" fillId="0" borderId="11" xfId="21" applyFont="1" applyFill="1" applyBorder="1" applyAlignment="1" applyProtection="1">
      <alignment horizontal="center" vertical="center"/>
    </xf>
    <xf numFmtId="0" fontId="33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13" fillId="0" borderId="13" xfId="0" applyNumberFormat="1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9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65" fontId="20" fillId="8" borderId="27" xfId="0" applyNumberFormat="1" applyFont="1" applyFill="1" applyBorder="1" applyAlignment="1" applyProtection="1">
      <alignment horizontal="left" vertical="center" wrapText="1" indent="2"/>
    </xf>
    <xf numFmtId="165" fontId="8" fillId="0" borderId="0" xfId="0" applyNumberFormat="1" applyFont="1" applyFill="1" applyAlignment="1" applyProtection="1">
      <alignment horizontal="left" vertical="center" wrapText="1"/>
    </xf>
    <xf numFmtId="165" fontId="8" fillId="0" borderId="0" xfId="0" applyNumberFormat="1" applyFont="1" applyFill="1" applyAlignment="1" applyProtection="1">
      <alignment vertical="center" wrapText="1"/>
    </xf>
    <xf numFmtId="165" fontId="23" fillId="0" borderId="0" xfId="0" applyNumberFormat="1" applyFont="1" applyFill="1" applyAlignment="1" applyProtection="1">
      <alignment vertical="center" wrapText="1"/>
    </xf>
    <xf numFmtId="0" fontId="13" fillId="0" borderId="29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165" fontId="13" fillId="0" borderId="32" xfId="0" applyNumberFormat="1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left" vertical="center" wrapText="1" indent="1"/>
    </xf>
    <xf numFmtId="0" fontId="31" fillId="0" borderId="13" xfId="0" applyFont="1" applyBorder="1" applyAlignment="1" applyProtection="1">
      <alignment horizontal="center" vertical="center" wrapText="1"/>
    </xf>
    <xf numFmtId="0" fontId="41" fillId="0" borderId="33" xfId="0" applyFont="1" applyBorder="1" applyAlignment="1" applyProtection="1">
      <alignment horizontal="left" wrapText="1" indent="1"/>
    </xf>
    <xf numFmtId="0" fontId="26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  <xf numFmtId="0" fontId="24" fillId="0" borderId="34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horizontal="left" vertical="center"/>
    </xf>
    <xf numFmtId="0" fontId="9" fillId="0" borderId="33" xfId="0" applyFont="1" applyFill="1" applyBorder="1" applyAlignment="1" applyProtection="1">
      <alignment vertical="center" wrapText="1"/>
    </xf>
    <xf numFmtId="0" fontId="4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" xfId="23" applyFont="1" applyFill="1" applyBorder="1" applyAlignment="1" applyProtection="1">
      <alignment horizontal="left" vertical="center" indent="1"/>
    </xf>
    <xf numFmtId="0" fontId="26" fillId="0" borderId="3" xfId="23" applyFont="1" applyFill="1" applyBorder="1" applyAlignment="1" applyProtection="1">
      <alignment horizontal="left" vertical="center" wrapText="1" indent="1"/>
    </xf>
    <xf numFmtId="0" fontId="26" fillId="0" borderId="2" xfId="23" applyFont="1" applyFill="1" applyBorder="1" applyAlignment="1" applyProtection="1">
      <alignment horizontal="left" vertical="center" wrapText="1" indent="1"/>
    </xf>
    <xf numFmtId="0" fontId="13" fillId="0" borderId="14" xfId="23" applyFont="1" applyFill="1" applyBorder="1" applyAlignment="1" applyProtection="1">
      <alignment horizontal="left" indent="1"/>
    </xf>
    <xf numFmtId="0" fontId="31" fillId="0" borderId="14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30" fillId="0" borderId="6" xfId="0" applyFont="1" applyBorder="1" applyAlignment="1" applyProtection="1">
      <alignment horizontal="left" vertical="center" wrapText="1" indent="1"/>
    </xf>
    <xf numFmtId="0" fontId="31" fillId="0" borderId="39" xfId="0" applyFont="1" applyBorder="1" applyAlignment="1" applyProtection="1">
      <alignment horizontal="left" vertical="center" wrapText="1" indent="1"/>
    </xf>
    <xf numFmtId="165" fontId="24" fillId="0" borderId="28" xfId="21" applyNumberFormat="1" applyFont="1" applyFill="1" applyBorder="1" applyAlignment="1" applyProtection="1">
      <alignment horizontal="right" vertical="center" wrapText="1" indent="1"/>
    </xf>
    <xf numFmtId="165" fontId="24" fillId="0" borderId="19" xfId="21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21" applyNumberFormat="1" applyFont="1" applyFill="1" applyBorder="1" applyAlignment="1" applyProtection="1">
      <alignment horizontal="right" vertical="center" wrapText="1" indent="1"/>
    </xf>
    <xf numFmtId="165" fontId="12" fillId="0" borderId="0" xfId="21" applyNumberFormat="1" applyFont="1" applyFill="1" applyBorder="1" applyAlignment="1" applyProtection="1">
      <alignment horizontal="right" vertical="center" wrapText="1" indent="1"/>
    </xf>
    <xf numFmtId="165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0" applyNumberFormat="1" applyFont="1" applyBorder="1" applyAlignment="1" applyProtection="1">
      <alignment horizontal="right" vertical="center" wrapText="1" indent="1"/>
    </xf>
    <xf numFmtId="0" fontId="11" fillId="0" borderId="24" xfId="0" applyFont="1" applyFill="1" applyBorder="1" applyAlignment="1" applyProtection="1">
      <alignment horizontal="right" vertical="center"/>
    </xf>
    <xf numFmtId="165" fontId="32" fillId="0" borderId="14" xfId="0" applyNumberFormat="1" applyFont="1" applyFill="1" applyBorder="1" applyAlignment="1" applyProtection="1">
      <alignment horizontal="right" vertical="center" wrapText="1" indent="1"/>
    </xf>
    <xf numFmtId="165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0" applyNumberFormat="1" applyFont="1" applyFill="1" applyBorder="1" applyAlignment="1" applyProtection="1">
      <alignment horizontal="right" vertical="center" wrapText="1" indent="1"/>
    </xf>
    <xf numFmtId="165" fontId="3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3" xfId="0" applyNumberFormat="1" applyFont="1" applyFill="1" applyBorder="1" applyAlignment="1" applyProtection="1">
      <alignment horizontal="centerContinuous" vertical="center" wrapText="1"/>
    </xf>
    <xf numFmtId="165" fontId="13" fillId="0" borderId="14" xfId="0" applyNumberFormat="1" applyFont="1" applyFill="1" applyBorder="1" applyAlignment="1" applyProtection="1">
      <alignment horizontal="centerContinuous" vertical="center" wrapText="1"/>
    </xf>
    <xf numFmtId="165" fontId="13" fillId="0" borderId="19" xfId="0" applyNumberFormat="1" applyFont="1" applyFill="1" applyBorder="1" applyAlignment="1" applyProtection="1">
      <alignment horizontal="centerContinuous" vertical="center" wrapText="1"/>
    </xf>
    <xf numFmtId="165" fontId="9" fillId="0" borderId="0" xfId="0" applyNumberFormat="1" applyFont="1" applyFill="1" applyAlignment="1" applyProtection="1">
      <alignment horizontal="center" vertical="center" wrapText="1"/>
    </xf>
    <xf numFmtId="165" fontId="32" fillId="0" borderId="27" xfId="0" applyNumberFormat="1" applyFont="1" applyFill="1" applyBorder="1" applyAlignment="1" applyProtection="1">
      <alignment horizontal="center" vertical="center" wrapText="1"/>
    </xf>
    <xf numFmtId="165" fontId="32" fillId="0" borderId="13" xfId="0" applyNumberFormat="1" applyFont="1" applyFill="1" applyBorder="1" applyAlignment="1" applyProtection="1">
      <alignment horizontal="center" vertical="center" wrapText="1"/>
    </xf>
    <xf numFmtId="165" fontId="32" fillId="0" borderId="14" xfId="0" applyNumberFormat="1" applyFont="1" applyFill="1" applyBorder="1" applyAlignment="1" applyProtection="1">
      <alignment horizontal="center" vertical="center" wrapText="1"/>
    </xf>
    <xf numFmtId="165" fontId="32" fillId="0" borderId="19" xfId="0" applyNumberFormat="1" applyFont="1" applyFill="1" applyBorder="1" applyAlignment="1" applyProtection="1">
      <alignment horizontal="center" vertical="center" wrapText="1"/>
    </xf>
    <xf numFmtId="165" fontId="32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1"/>
    </xf>
    <xf numFmtId="165" fontId="35" fillId="0" borderId="27" xfId="0" applyNumberFormat="1" applyFont="1" applyFill="1" applyBorder="1" applyAlignment="1" applyProtection="1">
      <alignment horizontal="left" vertical="center" wrapText="1" indent="1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1"/>
    </xf>
    <xf numFmtId="165" fontId="37" fillId="0" borderId="2" xfId="0" applyNumberFormat="1" applyFont="1" applyFill="1" applyBorder="1" applyAlignment="1" applyProtection="1">
      <alignment horizontal="right" vertical="center" wrapText="1" indent="1"/>
    </xf>
    <xf numFmtId="165" fontId="35" fillId="0" borderId="13" xfId="0" applyNumberFormat="1" applyFont="1" applyFill="1" applyBorder="1" applyAlignment="1" applyProtection="1">
      <alignment horizontal="left" vertical="center" wrapText="1" indent="1"/>
    </xf>
    <xf numFmtId="165" fontId="35" fillId="0" borderId="44" xfId="0" applyNumberFormat="1" applyFont="1" applyFill="1" applyBorder="1" applyAlignment="1" applyProtection="1">
      <alignment horizontal="right" vertical="center" wrapText="1" indent="1"/>
    </xf>
    <xf numFmtId="165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7" fillId="0" borderId="7" xfId="0" applyNumberFormat="1" applyFont="1" applyFill="1" applyBorder="1" applyAlignment="1" applyProtection="1">
      <alignment horizontal="lef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2"/>
    </xf>
    <xf numFmtId="165" fontId="37" fillId="0" borderId="2" xfId="0" applyNumberFormat="1" applyFont="1" applyFill="1" applyBorder="1" applyAlignment="1" applyProtection="1">
      <alignment horizontal="left" vertical="center" wrapText="1" indent="1"/>
    </xf>
    <xf numFmtId="165" fontId="33" fillId="0" borderId="9" xfId="0" applyNumberFormat="1" applyFon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2"/>
    </xf>
    <xf numFmtId="165" fontId="26" fillId="0" borderId="10" xfId="0" applyNumberFormat="1" applyFont="1" applyFill="1" applyBorder="1" applyAlignment="1" applyProtection="1">
      <alignment horizontal="left" vertical="center" wrapText="1" indent="2"/>
    </xf>
    <xf numFmtId="165" fontId="37" fillId="0" borderId="3" xfId="0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17" xfId="0" quotePrefix="1" applyFont="1" applyFill="1" applyBorder="1" applyAlignment="1" applyProtection="1">
      <alignment horizontal="right" vertical="center" indent="1"/>
    </xf>
    <xf numFmtId="0" fontId="13" fillId="0" borderId="28" xfId="0" applyFont="1" applyFill="1" applyBorder="1" applyAlignment="1" applyProtection="1">
      <alignment horizontal="right" vertical="center" wrapText="1" indent="1"/>
    </xf>
    <xf numFmtId="165" fontId="13" fillId="0" borderId="32" xfId="0" applyNumberFormat="1" applyFont="1" applyFill="1" applyBorder="1" applyAlignment="1" applyProtection="1">
      <alignment horizontal="right" vertical="center" wrapText="1" indent="1"/>
    </xf>
    <xf numFmtId="165" fontId="2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0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horizontal="right" vertical="center" wrapText="1" indent="1"/>
    </xf>
    <xf numFmtId="165" fontId="24" fillId="0" borderId="44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13" fillId="0" borderId="17" xfId="0" applyNumberFormat="1" applyFont="1" applyFill="1" applyBorder="1" applyAlignment="1" applyProtection="1">
      <alignment horizontal="right" vertical="center"/>
    </xf>
    <xf numFmtId="49" fontId="13" fillId="0" borderId="45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vertical="center" wrapText="1"/>
    </xf>
    <xf numFmtId="0" fontId="29" fillId="0" borderId="25" xfId="0" applyFont="1" applyBorder="1" applyAlignment="1" applyProtection="1">
      <alignment horizontal="left" vertical="center" wrapText="1" indent="1"/>
    </xf>
    <xf numFmtId="0" fontId="17" fillId="0" borderId="0" xfId="21" applyFont="1" applyFill="1" applyProtection="1"/>
    <xf numFmtId="0" fontId="17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3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6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0" fontId="24" fillId="0" borderId="15" xfId="21" applyFont="1" applyFill="1" applyBorder="1" applyAlignment="1" applyProtection="1">
      <alignment horizontal="center" vertical="center" wrapText="1"/>
    </xf>
    <xf numFmtId="0" fontId="24" fillId="0" borderId="16" xfId="21" applyFont="1" applyFill="1" applyBorder="1" applyAlignment="1" applyProtection="1">
      <alignment horizontal="center" vertical="center" wrapText="1"/>
    </xf>
    <xf numFmtId="0" fontId="24" fillId="0" borderId="28" xfId="21" applyFont="1" applyFill="1" applyBorder="1" applyAlignment="1" applyProtection="1">
      <alignment horizontal="center" vertical="center" wrapText="1"/>
    </xf>
    <xf numFmtId="165" fontId="26" fillId="0" borderId="20" xfId="21" applyNumberFormat="1" applyFont="1" applyFill="1" applyBorder="1" applyAlignment="1" applyProtection="1">
      <alignment horizontal="right" vertical="center" wrapText="1" indent="1"/>
    </xf>
    <xf numFmtId="0" fontId="26" fillId="0" borderId="3" xfId="21" applyFont="1" applyFill="1" applyBorder="1" applyAlignment="1" applyProtection="1">
      <alignment horizontal="left" vertical="center" wrapText="1" indent="6"/>
    </xf>
    <xf numFmtId="0" fontId="17" fillId="0" borderId="0" xfId="21" applyFill="1" applyProtection="1"/>
    <xf numFmtId="0" fontId="26" fillId="0" borderId="0" xfId="21" applyFont="1" applyFill="1" applyProtection="1"/>
    <xf numFmtId="0" fontId="20" fillId="0" borderId="0" xfId="21" applyFont="1" applyFill="1" applyProtection="1"/>
    <xf numFmtId="0" fontId="30" fillId="0" borderId="3" xfId="0" applyFont="1" applyBorder="1" applyAlignment="1" applyProtection="1">
      <alignment horizontal="left" wrapText="1" indent="1"/>
    </xf>
    <xf numFmtId="0" fontId="30" fillId="0" borderId="2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wrapText="1"/>
    </xf>
    <xf numFmtId="0" fontId="30" fillId="0" borderId="9" xfId="0" applyFont="1" applyBorder="1" applyAlignment="1" applyProtection="1">
      <alignment wrapText="1"/>
    </xf>
    <xf numFmtId="0" fontId="30" fillId="0" borderId="8" xfId="0" applyFont="1" applyBorder="1" applyAlignment="1" applyProtection="1">
      <alignment wrapText="1"/>
    </xf>
    <xf numFmtId="0" fontId="30" fillId="0" borderId="10" xfId="0" applyFont="1" applyBorder="1" applyAlignment="1" applyProtection="1">
      <alignment wrapText="1"/>
    </xf>
    <xf numFmtId="0" fontId="31" fillId="0" borderId="14" xfId="0" applyFont="1" applyBorder="1" applyAlignment="1" applyProtection="1">
      <alignment wrapText="1"/>
    </xf>
    <xf numFmtId="0" fontId="31" fillId="0" borderId="25" xfId="0" applyFont="1" applyBorder="1" applyAlignment="1" applyProtection="1">
      <alignment wrapText="1"/>
    </xf>
    <xf numFmtId="0" fontId="17" fillId="0" borderId="0" xfId="21" applyFill="1" applyAlignment="1" applyProtection="1"/>
    <xf numFmtId="165" fontId="29" fillId="0" borderId="19" xfId="0" quotePrefix="1" applyNumberFormat="1" applyFont="1" applyBorder="1" applyAlignment="1" applyProtection="1">
      <alignment horizontal="right" vertical="center" wrapText="1" indent="1"/>
    </xf>
    <xf numFmtId="0" fontId="28" fillId="0" borderId="0" xfId="21" applyFont="1" applyFill="1" applyProtection="1"/>
    <xf numFmtId="165" fontId="3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6" fillId="0" borderId="9" xfId="21" applyNumberFormat="1" applyFont="1" applyFill="1" applyBorder="1" applyAlignment="1" applyProtection="1">
      <alignment horizontal="center" vertical="center" wrapText="1"/>
    </xf>
    <xf numFmtId="49" fontId="26" fillId="0" borderId="8" xfId="21" applyNumberFormat="1" applyFont="1" applyFill="1" applyBorder="1" applyAlignment="1" applyProtection="1">
      <alignment horizontal="center" vertical="center" wrapText="1"/>
    </xf>
    <xf numFmtId="49" fontId="26" fillId="0" borderId="10" xfId="21" applyNumberFormat="1" applyFont="1" applyFill="1" applyBorder="1" applyAlignment="1" applyProtection="1">
      <alignment horizontal="center" vertical="center" wrapText="1"/>
    </xf>
    <xf numFmtId="0" fontId="31" fillId="0" borderId="13" xfId="0" applyFont="1" applyBorder="1" applyAlignment="1" applyProtection="1">
      <alignment horizontal="center" wrapText="1"/>
    </xf>
    <xf numFmtId="0" fontId="30" fillId="0" borderId="9" xfId="0" applyFont="1" applyBorder="1" applyAlignment="1" applyProtection="1">
      <alignment horizontal="center" wrapText="1"/>
    </xf>
    <xf numFmtId="0" fontId="30" fillId="0" borderId="8" xfId="0" applyFont="1" applyBorder="1" applyAlignment="1" applyProtection="1">
      <alignment horizontal="center" wrapText="1"/>
    </xf>
    <xf numFmtId="0" fontId="30" fillId="0" borderId="10" xfId="0" applyFont="1" applyBorder="1" applyAlignment="1" applyProtection="1">
      <alignment horizontal="center" wrapText="1"/>
    </xf>
    <xf numFmtId="0" fontId="31" fillId="0" borderId="39" xfId="0" applyFont="1" applyBorder="1" applyAlignment="1" applyProtection="1">
      <alignment horizontal="center" wrapText="1"/>
    </xf>
    <xf numFmtId="49" fontId="26" fillId="0" borderId="11" xfId="21" applyNumberFormat="1" applyFont="1" applyFill="1" applyBorder="1" applyAlignment="1" applyProtection="1">
      <alignment horizontal="center" vertical="center" wrapText="1"/>
    </xf>
    <xf numFmtId="49" fontId="26" fillId="0" borderId="7" xfId="21" applyNumberFormat="1" applyFont="1" applyFill="1" applyBorder="1" applyAlignment="1" applyProtection="1">
      <alignment horizontal="center" vertical="center" wrapText="1"/>
    </xf>
    <xf numFmtId="49" fontId="26" fillId="0" borderId="12" xfId="21" applyNumberFormat="1" applyFont="1" applyFill="1" applyBorder="1" applyAlignment="1" applyProtection="1">
      <alignment horizontal="center" vertical="center" wrapText="1"/>
    </xf>
    <xf numFmtId="0" fontId="31" fillId="0" borderId="39" xfId="0" applyFont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49" fontId="33" fillId="0" borderId="11" xfId="0" applyNumberFormat="1" applyFont="1" applyFill="1" applyBorder="1" applyAlignment="1" applyProtection="1">
      <alignment horizontal="center" vertical="center" wrapText="1"/>
    </xf>
    <xf numFmtId="49" fontId="33" fillId="0" borderId="8" xfId="0" applyNumberFormat="1" applyFont="1" applyFill="1" applyBorder="1" applyAlignment="1" applyProtection="1">
      <alignment horizontal="center" vertical="center" wrapText="1"/>
    </xf>
    <xf numFmtId="49" fontId="33" fillId="0" borderId="9" xfId="0" applyNumberFormat="1" applyFont="1" applyFill="1" applyBorder="1" applyAlignment="1" applyProtection="1">
      <alignment horizontal="center" vertical="center" wrapText="1"/>
    </xf>
    <xf numFmtId="0" fontId="33" fillId="0" borderId="3" xfId="21" applyFont="1" applyFill="1" applyBorder="1" applyAlignment="1" applyProtection="1">
      <alignment horizontal="left" vertical="center" wrapText="1" indent="1"/>
    </xf>
    <xf numFmtId="0" fontId="33" fillId="0" borderId="2" xfId="21" applyFont="1" applyFill="1" applyBorder="1" applyAlignment="1" applyProtection="1">
      <alignment horizontal="left" vertical="center" wrapText="1" indent="1"/>
    </xf>
    <xf numFmtId="0" fontId="42" fillId="0" borderId="0" xfId="0" applyFont="1" applyAlignment="1" applyProtection="1">
      <alignment horizontal="right" vertical="top"/>
    </xf>
    <xf numFmtId="0" fontId="12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165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" xfId="23" applyFont="1" applyFill="1" applyBorder="1" applyAlignment="1" applyProtection="1">
      <alignment horizontal="left" vertical="center" wrapText="1" indent="1"/>
    </xf>
    <xf numFmtId="165" fontId="37" fillId="0" borderId="1" xfId="0" applyNumberFormat="1" applyFont="1" applyFill="1" applyBorder="1" applyAlignment="1" applyProtection="1">
      <alignment horizontal="right" vertical="center" wrapText="1" indent="1"/>
    </xf>
    <xf numFmtId="165" fontId="38" fillId="0" borderId="0" xfId="0" applyNumberFormat="1" applyFont="1" applyFill="1" applyAlignment="1">
      <alignment vertical="center" wrapText="1"/>
    </xf>
    <xf numFmtId="165" fontId="11" fillId="0" borderId="0" xfId="0" applyNumberFormat="1" applyFont="1" applyFill="1" applyAlignment="1">
      <alignment horizontal="right"/>
    </xf>
    <xf numFmtId="165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5" fillId="0" borderId="0" xfId="0" applyNumberFormat="1" applyFont="1" applyFill="1" applyAlignment="1">
      <alignment vertical="center" wrapText="1"/>
    </xf>
    <xf numFmtId="165" fontId="28" fillId="0" borderId="0" xfId="0" applyNumberFormat="1" applyFont="1" applyFill="1" applyAlignment="1">
      <alignment vertical="center" wrapText="1"/>
    </xf>
    <xf numFmtId="165" fontId="35" fillId="0" borderId="0" xfId="0" applyNumberFormat="1" applyFont="1" applyFill="1" applyAlignment="1">
      <alignment horizontal="left" vertical="center" wrapText="1"/>
    </xf>
    <xf numFmtId="0" fontId="20" fillId="0" borderId="0" xfId="18" applyFont="1"/>
    <xf numFmtId="0" fontId="54" fillId="0" borderId="0" xfId="18" applyFont="1" applyAlignment="1">
      <alignment horizontal="centerContinuous"/>
    </xf>
    <xf numFmtId="0" fontId="48" fillId="0" borderId="0" xfId="18" applyFont="1"/>
    <xf numFmtId="0" fontId="33" fillId="0" borderId="3" xfId="0" applyFont="1" applyBorder="1" applyAlignment="1" applyProtection="1">
      <alignment horizontal="left" vertical="center" indent="1"/>
      <protection locked="0"/>
    </xf>
    <xf numFmtId="0" fontId="33" fillId="0" borderId="1" xfId="0" applyFont="1" applyBorder="1" applyAlignment="1" applyProtection="1">
      <alignment horizontal="left" vertical="center" indent="1"/>
      <protection locked="0"/>
    </xf>
    <xf numFmtId="165" fontId="33" fillId="0" borderId="2" xfId="23" applyNumberFormat="1" applyFont="1" applyFill="1" applyBorder="1" applyAlignment="1" applyProtection="1">
      <alignment vertical="center"/>
      <protection locked="0"/>
    </xf>
    <xf numFmtId="165" fontId="33" fillId="0" borderId="3" xfId="23" applyNumberFormat="1" applyFont="1" applyFill="1" applyBorder="1" applyAlignment="1" applyProtection="1">
      <alignment vertical="center"/>
      <protection locked="0"/>
    </xf>
    <xf numFmtId="0" fontId="30" fillId="0" borderId="2" xfId="0" quotePrefix="1" applyFont="1" applyBorder="1" applyAlignment="1" applyProtection="1">
      <alignment horizontal="left" wrapText="1" indent="1"/>
    </xf>
    <xf numFmtId="0" fontId="24" fillId="0" borderId="13" xfId="21" applyFont="1" applyFill="1" applyBorder="1" applyAlignment="1" applyProtection="1">
      <alignment horizontal="left" vertical="center" wrapText="1"/>
    </xf>
    <xf numFmtId="0" fontId="31" fillId="0" borderId="13" xfId="0" applyFont="1" applyBorder="1" applyAlignment="1" applyProtection="1">
      <alignment vertical="center" wrapText="1"/>
    </xf>
    <xf numFmtId="0" fontId="30" fillId="0" borderId="6" xfId="0" applyFont="1" applyBorder="1" applyAlignment="1" applyProtection="1">
      <alignment vertical="center" wrapText="1"/>
    </xf>
    <xf numFmtId="0" fontId="31" fillId="0" borderId="39" xfId="0" applyFont="1" applyBorder="1" applyAlignment="1" applyProtection="1">
      <alignment vertical="center" wrapText="1"/>
    </xf>
    <xf numFmtId="0" fontId="26" fillId="0" borderId="21" xfId="21" applyFont="1" applyFill="1" applyBorder="1" applyAlignment="1" applyProtection="1">
      <alignment horizontal="left" vertical="center" wrapText="1" indent="7"/>
    </xf>
    <xf numFmtId="0" fontId="24" fillId="0" borderId="39" xfId="21" applyFont="1" applyFill="1" applyBorder="1" applyAlignment="1" applyProtection="1">
      <alignment horizontal="left" vertical="center" wrapText="1" indent="1"/>
    </xf>
    <xf numFmtId="0" fontId="24" fillId="0" borderId="25" xfId="21" applyFont="1" applyFill="1" applyBorder="1" applyAlignment="1" applyProtection="1">
      <alignment vertical="center" wrapText="1"/>
    </xf>
    <xf numFmtId="165" fontId="24" fillId="0" borderId="26" xfId="21" applyNumberFormat="1" applyFont="1" applyFill="1" applyBorder="1" applyAlignment="1" applyProtection="1">
      <alignment horizontal="right" vertical="center" wrapText="1" indent="1"/>
    </xf>
    <xf numFmtId="165" fontId="31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13" fillId="0" borderId="45" xfId="0" applyNumberFormat="1" applyFont="1" applyFill="1" applyBorder="1" applyAlignment="1" applyProtection="1">
      <alignment horizontal="right" vertical="center" indent="1"/>
    </xf>
    <xf numFmtId="49" fontId="32" fillId="0" borderId="13" xfId="21" applyNumberFormat="1" applyFont="1" applyFill="1" applyBorder="1" applyAlignment="1" applyProtection="1">
      <alignment horizontal="center" vertical="center" wrapText="1"/>
    </xf>
    <xf numFmtId="166" fontId="48" fillId="0" borderId="0" xfId="18" applyNumberFormat="1" applyFont="1"/>
    <xf numFmtId="165" fontId="5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21" applyNumberFormat="1" applyFont="1" applyFill="1" applyBorder="1" applyAlignment="1" applyProtection="1">
      <alignment horizontal="right" vertical="center" wrapText="1" indent="1"/>
    </xf>
    <xf numFmtId="165" fontId="6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" xfId="23" applyNumberFormat="1" applyFont="1" applyFill="1" applyBorder="1" applyAlignment="1" applyProtection="1">
      <alignment vertical="center"/>
      <protection locked="0"/>
    </xf>
    <xf numFmtId="165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Fill="1" applyAlignment="1">
      <alignment vertical="center" wrapText="1"/>
    </xf>
    <xf numFmtId="165" fontId="33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0" applyFont="1" applyFill="1" applyAlignment="1" applyProtection="1">
      <alignment vertical="center" wrapText="1"/>
    </xf>
    <xf numFmtId="165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21" applyFont="1" applyFill="1"/>
    <xf numFmtId="165" fontId="24" fillId="0" borderId="44" xfId="21" applyNumberFormat="1" applyFont="1" applyFill="1" applyBorder="1" applyAlignment="1" applyProtection="1">
      <alignment horizontal="right" vertical="center" wrapText="1" indent="1"/>
    </xf>
    <xf numFmtId="0" fontId="20" fillId="0" borderId="0" xfId="21" applyFont="1" applyFill="1"/>
    <xf numFmtId="165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21" applyNumberFormat="1" applyFont="1" applyFill="1" applyBorder="1" applyAlignment="1" applyProtection="1">
      <alignment horizontal="right" vertical="center" wrapText="1" indent="1"/>
    </xf>
    <xf numFmtId="165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1" xfId="21" applyFont="1" applyFill="1" applyBorder="1" applyAlignment="1" applyProtection="1">
      <alignment horizontal="center" vertical="center" wrapText="1"/>
    </xf>
    <xf numFmtId="0" fontId="12" fillId="0" borderId="51" xfId="21" applyFont="1" applyFill="1" applyBorder="1" applyAlignment="1" applyProtection="1">
      <alignment vertical="center" wrapText="1"/>
    </xf>
    <xf numFmtId="165" fontId="24" fillId="0" borderId="52" xfId="21" applyNumberFormat="1" applyFont="1" applyFill="1" applyBorder="1" applyAlignment="1" applyProtection="1">
      <alignment horizontal="right" vertical="center" wrapText="1" indent="1"/>
    </xf>
    <xf numFmtId="165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0" applyNumberFormat="1" applyFont="1" applyBorder="1" applyAlignment="1" applyProtection="1">
      <alignment horizontal="right" vertical="center" wrapText="1" indent="1"/>
    </xf>
    <xf numFmtId="165" fontId="29" fillId="0" borderId="44" xfId="0" quotePrefix="1" applyNumberFormat="1" applyFont="1" applyBorder="1" applyAlignment="1" applyProtection="1">
      <alignment horizontal="right" vertical="center" wrapText="1" indent="1"/>
    </xf>
    <xf numFmtId="165" fontId="63" fillId="0" borderId="0" xfId="0" applyNumberFormat="1" applyFont="1" applyFill="1" applyAlignment="1">
      <alignment horizontal="center" vertical="center" wrapText="1"/>
    </xf>
    <xf numFmtId="165" fontId="24" fillId="0" borderId="27" xfId="21" applyNumberFormat="1" applyFont="1" applyFill="1" applyBorder="1" applyAlignment="1" applyProtection="1">
      <alignment horizontal="right" vertical="center" wrapText="1" indent="1"/>
    </xf>
    <xf numFmtId="0" fontId="30" fillId="0" borderId="64" xfId="0" applyFont="1" applyBorder="1" applyAlignment="1" applyProtection="1">
      <alignment horizontal="left" wrapText="1" indent="1"/>
    </xf>
    <xf numFmtId="0" fontId="30" fillId="0" borderId="49" xfId="0" applyFont="1" applyBorder="1" applyAlignment="1" applyProtection="1">
      <alignment horizontal="left" wrapText="1" indent="1"/>
    </xf>
    <xf numFmtId="0" fontId="30" fillId="0" borderId="65" xfId="0" applyFont="1" applyBorder="1" applyAlignment="1" applyProtection="1">
      <alignment horizontal="left" wrapText="1" indent="1"/>
    </xf>
    <xf numFmtId="165" fontId="26" fillId="0" borderId="50" xfId="21" applyNumberFormat="1" applyFont="1" applyFill="1" applyBorder="1" applyAlignment="1" applyProtection="1">
      <alignment horizontal="right" vertical="center" wrapText="1" indent="1"/>
    </xf>
    <xf numFmtId="165" fontId="3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0" xfId="21" applyNumberFormat="1" applyFont="1" applyFill="1" applyBorder="1" applyAlignment="1" applyProtection="1">
      <alignment horizontal="right" vertical="center" wrapText="1" indent="1"/>
    </xf>
    <xf numFmtId="165" fontId="33" fillId="0" borderId="18" xfId="21" applyNumberFormat="1" applyFont="1" applyFill="1" applyBorder="1" applyAlignment="1" applyProtection="1">
      <alignment horizontal="right" vertical="center" wrapText="1" indent="1"/>
    </xf>
    <xf numFmtId="0" fontId="24" fillId="0" borderId="68" xfId="21" applyFont="1" applyFill="1" applyBorder="1" applyAlignment="1" applyProtection="1">
      <alignment horizontal="center" vertical="center" wrapText="1"/>
    </xf>
    <xf numFmtId="165" fontId="34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</xf>
    <xf numFmtId="165" fontId="26" fillId="0" borderId="23" xfId="21" applyNumberFormat="1" applyFont="1" applyFill="1" applyBorder="1" applyAlignment="1" applyProtection="1">
      <alignment horizontal="right" vertical="center" wrapText="1" indent="1"/>
    </xf>
    <xf numFmtId="165" fontId="26" fillId="0" borderId="19" xfId="21" applyNumberFormat="1" applyFont="1" applyFill="1" applyBorder="1" applyAlignment="1" applyProtection="1">
      <alignment horizontal="right" vertical="center" wrapText="1" indent="1"/>
    </xf>
    <xf numFmtId="165" fontId="24" fillId="0" borderId="19" xfId="21" applyNumberFormat="1" applyFont="1" applyFill="1" applyBorder="1" applyAlignment="1" applyProtection="1">
      <alignment horizontal="center" vertical="center" wrapText="1"/>
    </xf>
    <xf numFmtId="0" fontId="8" fillId="0" borderId="0" xfId="21" applyFont="1" applyFill="1" applyAlignment="1" applyProtection="1">
      <alignment horizontal="right" vertical="center" indent="1"/>
    </xf>
    <xf numFmtId="165" fontId="17" fillId="0" borderId="0" xfId="21" applyNumberFormat="1" applyFill="1" applyProtection="1"/>
    <xf numFmtId="0" fontId="20" fillId="0" borderId="0" xfId="25" applyFont="1"/>
    <xf numFmtId="0" fontId="50" fillId="0" borderId="0" xfId="25" applyFont="1" applyAlignment="1">
      <alignment horizontal="centerContinuous"/>
    </xf>
    <xf numFmtId="0" fontId="48" fillId="0" borderId="0" xfId="25" applyFont="1"/>
    <xf numFmtId="0" fontId="8" fillId="0" borderId="0" xfId="20" applyFont="1"/>
    <xf numFmtId="0" fontId="14" fillId="0" borderId="0" xfId="20" applyFont="1" applyAlignment="1">
      <alignment horizontal="center"/>
    </xf>
    <xf numFmtId="0" fontId="50" fillId="0" borderId="0" xfId="20" applyFont="1" applyAlignment="1">
      <alignment horizontal="centerContinuous"/>
    </xf>
    <xf numFmtId="0" fontId="12" fillId="0" borderId="63" xfId="20" applyFont="1" applyBorder="1" applyAlignment="1">
      <alignment vertical="center"/>
    </xf>
    <xf numFmtId="0" fontId="8" fillId="0" borderId="51" xfId="20" applyFont="1" applyBorder="1" applyAlignment="1">
      <alignment vertical="center"/>
    </xf>
    <xf numFmtId="0" fontId="8" fillId="0" borderId="52" xfId="20" applyFont="1" applyBorder="1" applyAlignment="1">
      <alignment vertical="center"/>
    </xf>
    <xf numFmtId="0" fontId="26" fillId="0" borderId="0" xfId="19" applyFont="1"/>
    <xf numFmtId="0" fontId="24" fillId="0" borderId="0" xfId="19" applyFont="1"/>
    <xf numFmtId="0" fontId="65" fillId="0" borderId="0" xfId="19" applyFont="1"/>
    <xf numFmtId="0" fontId="20" fillId="0" borderId="0" xfId="19" applyFont="1"/>
    <xf numFmtId="0" fontId="33" fillId="0" borderId="0" xfId="19" applyFont="1"/>
    <xf numFmtId="0" fontId="25" fillId="0" borderId="0" xfId="19" applyFont="1" applyAlignment="1">
      <alignment horizontal="right"/>
    </xf>
    <xf numFmtId="0" fontId="26" fillId="0" borderId="0" xfId="19" applyFont="1" applyAlignment="1">
      <alignment horizontal="centerContinuous"/>
    </xf>
    <xf numFmtId="0" fontId="24" fillId="0" borderId="0" xfId="19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55" fillId="0" borderId="0" xfId="19" applyFont="1" applyAlignment="1">
      <alignment horizontal="centerContinuous"/>
    </xf>
    <xf numFmtId="0" fontId="12" fillId="0" borderId="51" xfId="19" applyFont="1" applyBorder="1" applyAlignment="1">
      <alignment horizontal="center"/>
    </xf>
    <xf numFmtId="0" fontId="13" fillId="0" borderId="10" xfId="19" applyFont="1" applyBorder="1" applyAlignment="1">
      <alignment horizontal="center"/>
    </xf>
    <xf numFmtId="0" fontId="13" fillId="0" borderId="6" xfId="19" applyFont="1" applyBorder="1" applyAlignment="1">
      <alignment horizontal="center"/>
    </xf>
    <xf numFmtId="0" fontId="13" fillId="0" borderId="23" xfId="19" applyFont="1" applyBorder="1" applyAlignment="1">
      <alignment horizontal="center"/>
    </xf>
    <xf numFmtId="0" fontId="13" fillId="0" borderId="38" xfId="19" applyFont="1" applyBorder="1" applyAlignment="1">
      <alignment horizontal="center"/>
    </xf>
    <xf numFmtId="3" fontId="34" fillId="0" borderId="17" xfId="19" applyNumberFormat="1" applyFont="1" applyBorder="1"/>
    <xf numFmtId="0" fontId="49" fillId="0" borderId="0" xfId="19" applyFont="1"/>
    <xf numFmtId="3" fontId="13" fillId="0" borderId="18" xfId="19" applyNumberFormat="1" applyFont="1" applyBorder="1"/>
    <xf numFmtId="3" fontId="13" fillId="0" borderId="0" xfId="19" applyNumberFormat="1" applyFont="1" applyBorder="1"/>
    <xf numFmtId="3" fontId="40" fillId="0" borderId="2" xfId="19" applyNumberFormat="1" applyFont="1" applyFill="1" applyBorder="1"/>
    <xf numFmtId="3" fontId="58" fillId="0" borderId="2" xfId="19" applyNumberFormat="1" applyFont="1" applyBorder="1"/>
    <xf numFmtId="3" fontId="25" fillId="0" borderId="38" xfId="19" applyNumberFormat="1" applyFont="1" applyBorder="1"/>
    <xf numFmtId="3" fontId="58" fillId="0" borderId="8" xfId="19" applyNumberFormat="1" applyFont="1" applyBorder="1"/>
    <xf numFmtId="3" fontId="25" fillId="0" borderId="56" xfId="19" applyNumberFormat="1" applyFont="1" applyBorder="1"/>
    <xf numFmtId="3" fontId="40" fillId="0" borderId="74" xfId="19" applyNumberFormat="1" applyFont="1" applyFill="1" applyBorder="1"/>
    <xf numFmtId="3" fontId="13" fillId="0" borderId="11" xfId="19" applyNumberFormat="1" applyFont="1" applyBorder="1"/>
    <xf numFmtId="3" fontId="13" fillId="0" borderId="58" xfId="19" applyNumberFormat="1" applyFont="1" applyBorder="1"/>
    <xf numFmtId="3" fontId="23" fillId="0" borderId="5" xfId="19" applyNumberFormat="1" applyFont="1" applyBorder="1"/>
    <xf numFmtId="3" fontId="23" fillId="0" borderId="2" xfId="19" applyNumberFormat="1" applyFont="1" applyBorder="1"/>
    <xf numFmtId="3" fontId="13" fillId="0" borderId="8" xfId="19" applyNumberFormat="1" applyFont="1" applyBorder="1"/>
    <xf numFmtId="3" fontId="13" fillId="0" borderId="54" xfId="19" applyNumberFormat="1" applyFont="1" applyBorder="1"/>
    <xf numFmtId="3" fontId="13" fillId="0" borderId="21" xfId="19" applyNumberFormat="1" applyFont="1" applyBorder="1"/>
    <xf numFmtId="3" fontId="13" fillId="0" borderId="75" xfId="19" applyNumberFormat="1" applyFont="1" applyBorder="1"/>
    <xf numFmtId="3" fontId="13" fillId="0" borderId="22" xfId="19" applyNumberFormat="1" applyFont="1" applyBorder="1"/>
    <xf numFmtId="0" fontId="56" fillId="0" borderId="0" xfId="19" quotePrefix="1" applyFont="1" applyBorder="1"/>
    <xf numFmtId="3" fontId="25" fillId="0" borderId="0" xfId="19" applyNumberFormat="1" applyFont="1" applyBorder="1"/>
    <xf numFmtId="3" fontId="23" fillId="0" borderId="0" xfId="19" applyNumberFormat="1" applyFont="1" applyFill="1" applyBorder="1"/>
    <xf numFmtId="3" fontId="56" fillId="0" borderId="0" xfId="19" applyNumberFormat="1" applyFont="1" applyFill="1" applyBorder="1"/>
    <xf numFmtId="3" fontId="56" fillId="0" borderId="0" xfId="19" applyNumberFormat="1" applyFont="1" applyBorder="1"/>
    <xf numFmtId="3" fontId="57" fillId="0" borderId="0" xfId="19" applyNumberFormat="1" applyFont="1" applyBorder="1"/>
    <xf numFmtId="165" fontId="60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51" fillId="0" borderId="0" xfId="0" applyFont="1" applyFill="1" applyAlignment="1" applyProtection="1">
      <alignment vertical="center" wrapText="1"/>
    </xf>
    <xf numFmtId="0" fontId="34" fillId="0" borderId="15" xfId="23" applyFont="1" applyFill="1" applyBorder="1" applyAlignment="1" applyProtection="1">
      <alignment horizontal="center" vertical="center" wrapText="1"/>
      <protection locked="0"/>
    </xf>
    <xf numFmtId="0" fontId="34" fillId="0" borderId="16" xfId="23" applyFont="1" applyFill="1" applyBorder="1" applyAlignment="1" applyProtection="1">
      <alignment horizontal="center" vertical="center"/>
      <protection locked="0"/>
    </xf>
    <xf numFmtId="0" fontId="34" fillId="0" borderId="28" xfId="23" applyFont="1" applyFill="1" applyBorder="1" applyAlignment="1" applyProtection="1">
      <alignment horizontal="center" vertical="center"/>
      <protection locked="0"/>
    </xf>
    <xf numFmtId="0" fontId="13" fillId="0" borderId="39" xfId="19" applyFont="1" applyBorder="1" applyAlignment="1">
      <alignment horizontal="center"/>
    </xf>
    <xf numFmtId="0" fontId="13" fillId="0" borderId="25" xfId="19" applyFont="1" applyBorder="1" applyAlignment="1">
      <alignment horizontal="center"/>
    </xf>
    <xf numFmtId="0" fontId="13" fillId="0" borderId="26" xfId="19" applyFont="1" applyBorder="1" applyAlignment="1">
      <alignment horizontal="center"/>
    </xf>
    <xf numFmtId="165" fontId="26" fillId="0" borderId="28" xfId="21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Alignment="1" applyProtection="1">
      <alignment horizontal="right" vertical="top"/>
    </xf>
    <xf numFmtId="49" fontId="77" fillId="0" borderId="17" xfId="0" applyNumberFormat="1" applyFont="1" applyFill="1" applyBorder="1" applyAlignment="1" applyProtection="1">
      <alignment horizontal="right" vertical="center"/>
    </xf>
    <xf numFmtId="49" fontId="77" fillId="0" borderId="45" xfId="0" applyNumberFormat="1" applyFont="1" applyFill="1" applyBorder="1" applyAlignment="1" applyProtection="1">
      <alignment horizontal="right" vertical="center"/>
    </xf>
    <xf numFmtId="0" fontId="78" fillId="0" borderId="0" xfId="0" applyFont="1" applyFill="1" applyAlignment="1" applyProtection="1">
      <alignment horizontal="right"/>
    </xf>
    <xf numFmtId="0" fontId="77" fillId="0" borderId="28" xfId="0" applyFont="1" applyFill="1" applyBorder="1" applyAlignment="1" applyProtection="1">
      <alignment horizontal="center" vertical="center" wrapText="1"/>
    </xf>
    <xf numFmtId="0" fontId="73" fillId="0" borderId="19" xfId="0" applyFont="1" applyFill="1" applyBorder="1" applyAlignment="1" applyProtection="1">
      <alignment horizontal="center" vertical="center" wrapText="1"/>
    </xf>
    <xf numFmtId="165" fontId="77" fillId="0" borderId="32" xfId="0" applyNumberFormat="1" applyFont="1" applyFill="1" applyBorder="1" applyAlignment="1" applyProtection="1">
      <alignment horizontal="center" vertical="center" wrapText="1"/>
    </xf>
    <xf numFmtId="0" fontId="70" fillId="0" borderId="0" xfId="0" applyFont="1" applyFill="1" applyAlignment="1" applyProtection="1">
      <alignment vertical="center" wrapText="1"/>
    </xf>
    <xf numFmtId="3" fontId="33" fillId="0" borderId="0" xfId="21" applyNumberFormat="1" applyFont="1" applyFill="1" applyProtection="1"/>
    <xf numFmtId="0" fontId="33" fillId="0" borderId="0" xfId="21" applyFont="1" applyFill="1" applyProtection="1"/>
    <xf numFmtId="3" fontId="32" fillId="0" borderId="27" xfId="21" applyNumberFormat="1" applyFont="1" applyFill="1" applyBorder="1" applyProtection="1"/>
    <xf numFmtId="3" fontId="33" fillId="0" borderId="20" xfId="21" applyNumberFormat="1" applyFont="1" applyFill="1" applyBorder="1" applyProtection="1"/>
    <xf numFmtId="3" fontId="33" fillId="0" borderId="18" xfId="21" applyNumberFormat="1" applyFont="1" applyFill="1" applyBorder="1" applyProtection="1"/>
    <xf numFmtId="3" fontId="33" fillId="0" borderId="23" xfId="21" applyNumberFormat="1" applyFont="1" applyFill="1" applyBorder="1" applyProtection="1"/>
    <xf numFmtId="165" fontId="6" fillId="0" borderId="0" xfId="0" applyNumberFormat="1" applyFont="1" applyFill="1" applyAlignment="1" applyProtection="1">
      <alignment vertical="center" wrapText="1"/>
    </xf>
    <xf numFmtId="3" fontId="24" fillId="0" borderId="0" xfId="0" applyNumberFormat="1" applyFont="1" applyFill="1" applyAlignment="1">
      <alignment vertical="center"/>
    </xf>
    <xf numFmtId="3" fontId="26" fillId="0" borderId="0" xfId="0" applyNumberFormat="1" applyFont="1" applyFill="1" applyAlignment="1">
      <alignment horizontal="right" vertical="center"/>
    </xf>
    <xf numFmtId="3" fontId="24" fillId="0" borderId="0" xfId="0" applyNumberFormat="1" applyFont="1" applyFill="1" applyAlignment="1">
      <alignment horizontal="center" vertical="center" wrapText="1"/>
    </xf>
    <xf numFmtId="3" fontId="24" fillId="0" borderId="27" xfId="0" applyNumberFormat="1" applyFont="1" applyFill="1" applyBorder="1" applyAlignment="1">
      <alignment horizontal="right" vertical="center" wrapText="1"/>
    </xf>
    <xf numFmtId="3" fontId="26" fillId="0" borderId="20" xfId="0" applyNumberFormat="1" applyFont="1" applyFill="1" applyBorder="1" applyAlignment="1">
      <alignment horizontal="right" vertical="center" wrapText="1"/>
    </xf>
    <xf numFmtId="3" fontId="26" fillId="0" borderId="18" xfId="0" applyNumberFormat="1" applyFont="1" applyFill="1" applyBorder="1" applyAlignment="1">
      <alignment horizontal="right" vertical="center" wrapText="1"/>
    </xf>
    <xf numFmtId="3" fontId="26" fillId="0" borderId="23" xfId="0" applyNumberFormat="1" applyFont="1" applyFill="1" applyBorder="1" applyAlignment="1">
      <alignment horizontal="right" vertical="center" wrapText="1"/>
    </xf>
    <xf numFmtId="3" fontId="26" fillId="0" borderId="27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3" fontId="24" fillId="0" borderId="0" xfId="0" applyNumberFormat="1" applyFont="1" applyFill="1" applyAlignment="1" applyProtection="1">
      <alignment vertical="center"/>
    </xf>
    <xf numFmtId="3" fontId="24" fillId="0" borderId="0" xfId="0" applyNumberFormat="1" applyFont="1" applyFill="1" applyAlignment="1" applyProtection="1">
      <alignment horizontal="center" vertical="center" wrapText="1"/>
    </xf>
    <xf numFmtId="3" fontId="53" fillId="0" borderId="2" xfId="0" applyNumberFormat="1" applyFont="1" applyFill="1" applyBorder="1" applyAlignment="1" applyProtection="1">
      <alignment vertical="center" wrapText="1"/>
    </xf>
    <xf numFmtId="3" fontId="53" fillId="0" borderId="0" xfId="0" applyNumberFormat="1" applyFont="1" applyFill="1" applyAlignment="1" applyProtection="1">
      <alignment vertical="center" wrapText="1"/>
    </xf>
    <xf numFmtId="166" fontId="14" fillId="0" borderId="0" xfId="26" applyNumberFormat="1" applyFont="1" applyAlignment="1">
      <alignment horizontal="center"/>
    </xf>
    <xf numFmtId="166" fontId="20" fillId="0" borderId="0" xfId="26" applyNumberFormat="1" applyFont="1"/>
    <xf numFmtId="166" fontId="8" fillId="0" borderId="0" xfId="26" applyNumberFormat="1" applyFont="1"/>
    <xf numFmtId="166" fontId="50" fillId="0" borderId="0" xfId="26" applyNumberFormat="1" applyFont="1" applyAlignment="1">
      <alignment horizontal="centerContinuous"/>
    </xf>
    <xf numFmtId="166" fontId="14" fillId="0" borderId="0" xfId="26" applyNumberFormat="1" applyFont="1" applyAlignment="1">
      <alignment horizontal="right"/>
    </xf>
    <xf numFmtId="166" fontId="12" fillId="0" borderId="27" xfId="26" applyNumberFormat="1" applyFont="1" applyBorder="1" applyAlignment="1">
      <alignment horizontal="center" vertical="center"/>
    </xf>
    <xf numFmtId="166" fontId="20" fillId="0" borderId="0" xfId="26" applyNumberFormat="1" applyFont="1" applyBorder="1" applyAlignment="1"/>
    <xf numFmtId="0" fontId="6" fillId="0" borderId="72" xfId="20" applyFont="1" applyBorder="1"/>
    <xf numFmtId="166" fontId="20" fillId="0" borderId="0" xfId="26" applyNumberFormat="1" applyFont="1" applyBorder="1"/>
    <xf numFmtId="3" fontId="33" fillId="0" borderId="0" xfId="23" applyNumberFormat="1" applyFont="1" applyFill="1" applyAlignment="1" applyProtection="1">
      <alignment vertical="center"/>
    </xf>
    <xf numFmtId="3" fontId="33" fillId="0" borderId="11" xfId="23" applyNumberFormat="1" applyFont="1" applyFill="1" applyBorder="1" applyAlignment="1" applyProtection="1">
      <alignment vertical="center"/>
    </xf>
    <xf numFmtId="3" fontId="33" fillId="0" borderId="17" xfId="23" applyNumberFormat="1" applyFont="1" applyFill="1" applyBorder="1" applyAlignment="1" applyProtection="1">
      <alignment vertical="center"/>
      <protection locked="0"/>
    </xf>
    <xf numFmtId="165" fontId="32" fillId="0" borderId="18" xfId="23" applyNumberFormat="1" applyFont="1" applyFill="1" applyBorder="1" applyAlignment="1" applyProtection="1">
      <alignment vertical="center"/>
    </xf>
    <xf numFmtId="3" fontId="33" fillId="0" borderId="8" xfId="23" applyNumberFormat="1" applyFont="1" applyFill="1" applyBorder="1" applyAlignment="1" applyProtection="1">
      <alignment vertical="center"/>
      <protection locked="0"/>
    </xf>
    <xf numFmtId="3" fontId="33" fillId="0" borderId="18" xfId="23" applyNumberFormat="1" applyFont="1" applyFill="1" applyBorder="1" applyAlignment="1" applyProtection="1">
      <alignment vertical="center"/>
      <protection locked="0"/>
    </xf>
    <xf numFmtId="3" fontId="33" fillId="0" borderId="10" xfId="23" applyNumberFormat="1" applyFont="1" applyFill="1" applyBorder="1" applyAlignment="1" applyProtection="1">
      <alignment vertical="center"/>
      <protection locked="0"/>
    </xf>
    <xf numFmtId="3" fontId="33" fillId="0" borderId="23" xfId="23" applyNumberFormat="1" applyFont="1" applyFill="1" applyBorder="1" applyAlignment="1" applyProtection="1">
      <alignment vertical="center"/>
      <protection locked="0"/>
    </xf>
    <xf numFmtId="3" fontId="33" fillId="0" borderId="27" xfId="23" applyNumberFormat="1" applyFont="1" applyFill="1" applyBorder="1" applyAlignment="1" applyProtection="1">
      <alignment vertical="center"/>
    </xf>
    <xf numFmtId="3" fontId="33" fillId="0" borderId="27" xfId="23" applyNumberFormat="1" applyFont="1" applyFill="1" applyBorder="1" applyAlignment="1" applyProtection="1">
      <alignment vertical="center"/>
      <protection locked="0"/>
    </xf>
    <xf numFmtId="3" fontId="33" fillId="0" borderId="0" xfId="23" applyNumberFormat="1" applyFont="1" applyFill="1" applyAlignment="1" applyProtection="1">
      <alignment vertical="center"/>
      <protection locked="0"/>
    </xf>
    <xf numFmtId="0" fontId="26" fillId="0" borderId="11" xfId="23" applyFont="1" applyFill="1" applyBorder="1" applyAlignment="1" applyProtection="1">
      <alignment horizontal="left" vertical="center" indent="1"/>
    </xf>
    <xf numFmtId="0" fontId="26" fillId="0" borderId="4" xfId="23" applyFont="1" applyFill="1" applyBorder="1" applyAlignment="1" applyProtection="1">
      <alignment horizontal="left" vertical="center" indent="1"/>
    </xf>
    <xf numFmtId="165" fontId="33" fillId="0" borderId="4" xfId="23" applyNumberFormat="1" applyFont="1" applyFill="1" applyBorder="1" applyAlignment="1" applyProtection="1">
      <alignment vertical="center"/>
      <protection locked="0"/>
    </xf>
    <xf numFmtId="3" fontId="30" fillId="0" borderId="0" xfId="25" applyNumberFormat="1" applyFont="1"/>
    <xf numFmtId="0" fontId="6" fillId="0" borderId="47" xfId="20" applyFont="1" applyBorder="1" applyAlignment="1">
      <alignment horizontal="left"/>
    </xf>
    <xf numFmtId="0" fontId="6" fillId="0" borderId="72" xfId="20" quotePrefix="1" applyFont="1" applyBorder="1" applyAlignment="1">
      <alignment horizontal="left"/>
    </xf>
    <xf numFmtId="165" fontId="33" fillId="0" borderId="20" xfId="21" applyNumberFormat="1" applyFont="1" applyFill="1" applyBorder="1" applyAlignment="1" applyProtection="1">
      <alignment horizontal="center" vertical="center" wrapText="1"/>
    </xf>
    <xf numFmtId="165" fontId="32" fillId="0" borderId="20" xfId="21" applyNumberFormat="1" applyFont="1" applyFill="1" applyBorder="1" applyAlignment="1" applyProtection="1">
      <alignment horizontal="center" vertical="center" wrapText="1"/>
    </xf>
    <xf numFmtId="0" fontId="24" fillId="0" borderId="70" xfId="21" applyFont="1" applyFill="1" applyBorder="1" applyAlignment="1" applyProtection="1">
      <alignment vertical="center" wrapText="1"/>
    </xf>
    <xf numFmtId="0" fontId="32" fillId="0" borderId="68" xfId="21" applyFont="1" applyFill="1" applyBorder="1" applyAlignment="1" applyProtection="1">
      <alignment horizontal="left" vertical="center" wrapText="1" indent="1"/>
    </xf>
    <xf numFmtId="165" fontId="32" fillId="0" borderId="40" xfId="21" applyNumberFormat="1" applyFont="1" applyFill="1" applyBorder="1" applyAlignment="1" applyProtection="1">
      <alignment horizontal="center" vertical="center" wrapText="1"/>
    </xf>
    <xf numFmtId="165" fontId="32" fillId="0" borderId="27" xfId="21" applyNumberFormat="1" applyFont="1" applyFill="1" applyBorder="1" applyAlignment="1" applyProtection="1">
      <alignment horizontal="center" vertical="center" wrapText="1"/>
    </xf>
    <xf numFmtId="0" fontId="29" fillId="0" borderId="70" xfId="0" applyFont="1" applyBorder="1" applyAlignment="1" applyProtection="1">
      <alignment horizontal="left" vertical="center" wrapText="1" indent="1"/>
    </xf>
    <xf numFmtId="165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6" fontId="28" fillId="0" borderId="46" xfId="26" applyNumberFormat="1" applyFont="1" applyBorder="1"/>
    <xf numFmtId="0" fontId="6" fillId="0" borderId="36" xfId="20" applyFont="1" applyBorder="1"/>
    <xf numFmtId="166" fontId="28" fillId="0" borderId="29" xfId="26" applyNumberFormat="1" applyFont="1" applyBorder="1"/>
    <xf numFmtId="166" fontId="28" fillId="0" borderId="73" xfId="26" applyNumberFormat="1" applyFont="1" applyBorder="1"/>
    <xf numFmtId="166" fontId="28" fillId="0" borderId="53" xfId="26" applyNumberFormat="1" applyFont="1" applyBorder="1"/>
    <xf numFmtId="166" fontId="28" fillId="0" borderId="34" xfId="26" applyNumberFormat="1" applyFont="1" applyBorder="1"/>
    <xf numFmtId="166" fontId="28" fillId="0" borderId="35" xfId="26" applyNumberFormat="1" applyFont="1" applyBorder="1"/>
    <xf numFmtId="166" fontId="28" fillId="0" borderId="44" xfId="26" applyNumberFormat="1" applyFont="1" applyBorder="1"/>
    <xf numFmtId="166" fontId="35" fillId="0" borderId="44" xfId="26" applyNumberFormat="1" applyFont="1" applyBorder="1"/>
    <xf numFmtId="166" fontId="17" fillId="0" borderId="71" xfId="26" quotePrefix="1" applyNumberFormat="1" applyFont="1" applyBorder="1"/>
    <xf numFmtId="166" fontId="17" fillId="0" borderId="57" xfId="26" quotePrefix="1" applyNumberFormat="1" applyFont="1" applyBorder="1"/>
    <xf numFmtId="166" fontId="17" fillId="0" borderId="57" xfId="26" applyNumberFormat="1" applyFont="1" applyBorder="1"/>
    <xf numFmtId="166" fontId="28" fillId="0" borderId="43" xfId="26" applyNumberFormat="1" applyFont="1" applyBorder="1"/>
    <xf numFmtId="166" fontId="28" fillId="0" borderId="0" xfId="26" applyNumberFormat="1" applyFont="1" applyBorder="1"/>
    <xf numFmtId="166" fontId="28" fillId="0" borderId="48" xfId="26" applyNumberFormat="1" applyFont="1" applyBorder="1"/>
    <xf numFmtId="0" fontId="24" fillId="0" borderId="68" xfId="21" applyFont="1" applyFill="1" applyBorder="1" applyAlignment="1" applyProtection="1">
      <alignment horizontal="left" vertical="center" wrapText="1" indent="1"/>
    </xf>
    <xf numFmtId="0" fontId="30" fillId="0" borderId="49" xfId="0" applyFont="1" applyBorder="1" applyAlignment="1" applyProtection="1">
      <alignment horizontal="left" vertical="center" wrapText="1" indent="1"/>
    </xf>
    <xf numFmtId="0" fontId="30" fillId="0" borderId="65" xfId="0" applyFont="1" applyBorder="1" applyAlignment="1" applyProtection="1">
      <alignment horizontal="left" vertical="center" wrapText="1" indent="1"/>
    </xf>
    <xf numFmtId="0" fontId="31" fillId="0" borderId="68" xfId="0" applyFont="1" applyBorder="1" applyAlignment="1" applyProtection="1">
      <alignment horizontal="left" vertical="center" wrapText="1" indent="1"/>
    </xf>
    <xf numFmtId="0" fontId="30" fillId="0" borderId="65" xfId="0" applyFont="1" applyBorder="1" applyAlignment="1" applyProtection="1">
      <alignment vertical="center" wrapText="1"/>
    </xf>
    <xf numFmtId="0" fontId="31" fillId="0" borderId="68" xfId="0" applyFont="1" applyBorder="1" applyAlignment="1" applyProtection="1">
      <alignment wrapText="1"/>
    </xf>
    <xf numFmtId="0" fontId="31" fillId="0" borderId="70" xfId="0" applyFont="1" applyBorder="1" applyAlignment="1" applyProtection="1">
      <alignment wrapText="1"/>
    </xf>
    <xf numFmtId="0" fontId="24" fillId="0" borderId="62" xfId="21" applyFont="1" applyFill="1" applyBorder="1" applyAlignment="1" applyProtection="1">
      <alignment vertical="center" wrapText="1"/>
    </xf>
    <xf numFmtId="0" fontId="26" fillId="0" borderId="69" xfId="21" applyFont="1" applyFill="1" applyBorder="1" applyAlignment="1" applyProtection="1">
      <alignment horizontal="left" vertical="center" wrapText="1" indent="1"/>
    </xf>
    <xf numFmtId="0" fontId="26" fillId="0" borderId="49" xfId="21" applyFont="1" applyFill="1" applyBorder="1" applyAlignment="1" applyProtection="1">
      <alignment horizontal="left" vertical="center" wrapText="1" indent="1"/>
    </xf>
    <xf numFmtId="0" fontId="26" fillId="0" borderId="65" xfId="21" applyFont="1" applyFill="1" applyBorder="1" applyAlignment="1" applyProtection="1">
      <alignment horizontal="left" vertical="center" wrapText="1" indent="1"/>
    </xf>
    <xf numFmtId="0" fontId="26" fillId="0" borderId="65" xfId="21" applyFont="1" applyFill="1" applyBorder="1" applyAlignment="1" applyProtection="1">
      <alignment horizontal="left" vertical="center" wrapText="1" indent="6"/>
    </xf>
    <xf numFmtId="0" fontId="26" fillId="0" borderId="72" xfId="21" applyFont="1" applyFill="1" applyBorder="1" applyAlignment="1" applyProtection="1">
      <alignment horizontal="left" vertical="center" wrapText="1" indent="1"/>
    </xf>
    <xf numFmtId="0" fontId="26" fillId="0" borderId="37" xfId="21" applyFont="1" applyFill="1" applyBorder="1" applyAlignment="1" applyProtection="1">
      <alignment horizontal="left" vertical="center" wrapText="1" indent="7"/>
    </xf>
    <xf numFmtId="0" fontId="26" fillId="0" borderId="64" xfId="21" applyFont="1" applyFill="1" applyBorder="1" applyAlignment="1" applyProtection="1">
      <alignment horizontal="left" vertical="center" wrapText="1" indent="1"/>
    </xf>
    <xf numFmtId="0" fontId="26" fillId="0" borderId="66" xfId="21" applyFont="1" applyFill="1" applyBorder="1" applyAlignment="1" applyProtection="1">
      <alignment horizontal="left" vertical="center" wrapText="1" indent="1"/>
    </xf>
    <xf numFmtId="0" fontId="26" fillId="0" borderId="64" xfId="21" applyFont="1" applyFill="1" applyBorder="1" applyAlignment="1" applyProtection="1">
      <alignment horizontal="left" vertical="center" wrapText="1" indent="6"/>
    </xf>
    <xf numFmtId="0" fontId="26" fillId="0" borderId="49" xfId="21" applyFont="1" applyFill="1" applyBorder="1" applyAlignment="1" applyProtection="1">
      <alignment horizontal="left" vertical="center" wrapText="1" indent="6"/>
    </xf>
    <xf numFmtId="0" fontId="13" fillId="0" borderId="68" xfId="21" applyFont="1" applyFill="1" applyBorder="1" applyAlignment="1" applyProtection="1">
      <alignment horizontal="center" vertical="center" wrapText="1"/>
    </xf>
    <xf numFmtId="14" fontId="17" fillId="0" borderId="0" xfId="0" applyNumberFormat="1" applyFont="1" applyFill="1" applyAlignment="1">
      <alignment horizontal="left" vertical="center" wrapText="1"/>
    </xf>
    <xf numFmtId="0" fontId="26" fillId="0" borderId="49" xfId="21" applyFont="1" applyFill="1" applyBorder="1" applyAlignment="1" applyProtection="1">
      <alignment horizontal="left" indent="6"/>
    </xf>
    <xf numFmtId="165" fontId="33" fillId="0" borderId="17" xfId="21" applyNumberFormat="1" applyFont="1" applyFill="1" applyBorder="1" applyAlignment="1" applyProtection="1">
      <alignment horizontal="right" vertical="center" wrapText="1" indent="1"/>
    </xf>
    <xf numFmtId="165" fontId="33" fillId="0" borderId="22" xfId="21" applyNumberFormat="1" applyFont="1" applyFill="1" applyBorder="1" applyAlignment="1" applyProtection="1">
      <alignment horizontal="right" vertical="center" wrapText="1" indent="1"/>
    </xf>
    <xf numFmtId="165" fontId="24" fillId="0" borderId="17" xfId="21" applyNumberFormat="1" applyFont="1" applyFill="1" applyBorder="1" applyAlignment="1" applyProtection="1">
      <alignment horizontal="right" vertical="center" wrapText="1" indent="1"/>
    </xf>
    <xf numFmtId="165" fontId="24" fillId="0" borderId="18" xfId="21" applyNumberFormat="1" applyFont="1" applyFill="1" applyBorder="1" applyAlignment="1" applyProtection="1">
      <alignment horizontal="right" vertical="center" wrapText="1" indent="1"/>
    </xf>
    <xf numFmtId="165" fontId="24" fillId="0" borderId="22" xfId="21" applyNumberFormat="1" applyFont="1" applyFill="1" applyBorder="1" applyAlignment="1" applyProtection="1">
      <alignment horizontal="right" vertical="center" wrapText="1" indent="1"/>
    </xf>
    <xf numFmtId="165" fontId="24" fillId="0" borderId="20" xfId="21" applyNumberFormat="1" applyFont="1" applyFill="1" applyBorder="1" applyAlignment="1" applyProtection="1">
      <alignment horizontal="right" vertical="center" wrapText="1" indent="1"/>
    </xf>
    <xf numFmtId="165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0" xfId="25" applyFont="1"/>
    <xf numFmtId="3" fontId="74" fillId="0" borderId="6" xfId="19" applyNumberFormat="1" applyFont="1" applyBorder="1"/>
    <xf numFmtId="4" fontId="3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1" xfId="20" quotePrefix="1" applyFont="1" applyBorder="1" applyAlignment="1">
      <alignment horizontal="left"/>
    </xf>
    <xf numFmtId="0" fontId="6" fillId="0" borderId="32" xfId="20" applyFont="1" applyBorder="1"/>
    <xf numFmtId="166" fontId="6" fillId="0" borderId="32" xfId="26" applyNumberFormat="1" applyFont="1" applyBorder="1" applyAlignment="1"/>
    <xf numFmtId="0" fontId="80" fillId="0" borderId="0" xfId="19" applyFont="1"/>
    <xf numFmtId="3" fontId="48" fillId="0" borderId="0" xfId="19" applyNumberFormat="1" applyFont="1"/>
    <xf numFmtId="0" fontId="48" fillId="0" borderId="0" xfId="20" applyFont="1"/>
    <xf numFmtId="0" fontId="48" fillId="0" borderId="0" xfId="20" applyFont="1" applyAlignment="1">
      <alignment vertical="center"/>
    </xf>
    <xf numFmtId="0" fontId="48" fillId="0" borderId="0" xfId="20" applyFont="1" applyFill="1" applyBorder="1"/>
    <xf numFmtId="0" fontId="48" fillId="0" borderId="0" xfId="20" applyFont="1" applyBorder="1"/>
    <xf numFmtId="167" fontId="70" fillId="9" borderId="26" xfId="26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Fill="1" applyAlignment="1">
      <alignment horizontal="right"/>
    </xf>
    <xf numFmtId="165" fontId="32" fillId="0" borderId="19" xfId="23" applyNumberFormat="1" applyFont="1" applyFill="1" applyBorder="1" applyProtection="1"/>
    <xf numFmtId="0" fontId="17" fillId="0" borderId="0" xfId="23" applyFont="1" applyFill="1" applyProtection="1"/>
    <xf numFmtId="0" fontId="17" fillId="0" borderId="0" xfId="23" applyFont="1" applyFill="1" applyProtection="1">
      <protection locked="0"/>
    </xf>
    <xf numFmtId="3" fontId="33" fillId="0" borderId="11" xfId="23" applyNumberFormat="1" applyFont="1" applyFill="1" applyBorder="1" applyAlignment="1" applyProtection="1">
      <alignment vertical="center"/>
      <protection locked="0"/>
    </xf>
    <xf numFmtId="165" fontId="33" fillId="0" borderId="40" xfId="21" applyNumberFormat="1" applyFont="1" applyFill="1" applyBorder="1" applyAlignment="1" applyProtection="1">
      <alignment horizontal="center" vertical="center" wrapText="1"/>
    </xf>
    <xf numFmtId="165" fontId="70" fillId="0" borderId="0" xfId="0" applyNumberFormat="1" applyFont="1" applyFill="1" applyAlignment="1" applyProtection="1">
      <alignment horizontal="center" vertical="center" wrapText="1"/>
    </xf>
    <xf numFmtId="165" fontId="70" fillId="0" borderId="0" xfId="0" applyNumberFormat="1" applyFont="1" applyFill="1" applyAlignment="1" applyProtection="1">
      <alignment vertical="center" wrapText="1"/>
    </xf>
    <xf numFmtId="165" fontId="78" fillId="0" borderId="0" xfId="0" applyNumberFormat="1" applyFont="1" applyFill="1" applyAlignment="1" applyProtection="1">
      <alignment horizontal="right" wrapText="1"/>
    </xf>
    <xf numFmtId="165" fontId="77" fillId="0" borderId="13" xfId="0" applyNumberFormat="1" applyFont="1" applyFill="1" applyBorder="1" applyAlignment="1" applyProtection="1">
      <alignment horizontal="center" vertical="center" wrapText="1"/>
    </xf>
    <xf numFmtId="165" fontId="77" fillId="0" borderId="14" xfId="0" applyNumberFormat="1" applyFont="1" applyFill="1" applyBorder="1" applyAlignment="1" applyProtection="1">
      <alignment horizontal="center" vertical="center" wrapText="1"/>
    </xf>
    <xf numFmtId="165" fontId="77" fillId="0" borderId="19" xfId="0" applyNumberFormat="1" applyFont="1" applyFill="1" applyBorder="1" applyAlignment="1" applyProtection="1">
      <alignment horizontal="center" vertical="center" wrapText="1"/>
    </xf>
    <xf numFmtId="165" fontId="60" fillId="0" borderId="0" xfId="0" applyNumberFormat="1" applyFont="1" applyFill="1" applyAlignment="1">
      <alignment horizontal="center" vertical="center" wrapText="1"/>
    </xf>
    <xf numFmtId="165" fontId="73" fillId="0" borderId="13" xfId="0" applyNumberFormat="1" applyFont="1" applyFill="1" applyBorder="1" applyAlignment="1" applyProtection="1">
      <alignment horizontal="center" vertical="center" wrapText="1"/>
    </xf>
    <xf numFmtId="165" fontId="73" fillId="0" borderId="14" xfId="0" applyNumberFormat="1" applyFont="1" applyFill="1" applyBorder="1" applyAlignment="1" applyProtection="1">
      <alignment horizontal="center" vertical="center" wrapText="1"/>
    </xf>
    <xf numFmtId="165" fontId="73" fillId="0" borderId="19" xfId="0" applyNumberFormat="1" applyFont="1" applyFill="1" applyBorder="1" applyAlignment="1" applyProtection="1">
      <alignment horizontal="center" vertical="center" wrapText="1"/>
    </xf>
    <xf numFmtId="165" fontId="70" fillId="0" borderId="0" xfId="0" applyNumberFormat="1" applyFont="1" applyFill="1" applyAlignment="1">
      <alignment horizontal="center" vertical="center" wrapText="1"/>
    </xf>
    <xf numFmtId="0" fontId="84" fillId="0" borderId="0" xfId="0" applyFont="1" applyFill="1" applyBorder="1" applyAlignment="1" applyProtection="1"/>
    <xf numFmtId="0" fontId="33" fillId="0" borderId="15" xfId="21" applyFont="1" applyFill="1" applyBorder="1" applyAlignment="1" applyProtection="1">
      <alignment horizontal="center" vertical="center"/>
    </xf>
    <xf numFmtId="0" fontId="33" fillId="0" borderId="16" xfId="21" applyFont="1" applyFill="1" applyBorder="1" applyAlignment="1" applyProtection="1">
      <alignment horizontal="center" vertical="center"/>
    </xf>
    <xf numFmtId="0" fontId="33" fillId="0" borderId="28" xfId="21" applyFont="1" applyFill="1" applyBorder="1" applyAlignment="1" applyProtection="1">
      <alignment horizontal="center" vertical="center"/>
    </xf>
    <xf numFmtId="0" fontId="42" fillId="0" borderId="5" xfId="0" applyFont="1" applyBorder="1" applyAlignment="1">
      <alignment horizontal="justify" wrapText="1"/>
    </xf>
    <xf numFmtId="166" fontId="33" fillId="0" borderId="36" xfId="26" applyNumberFormat="1" applyFont="1" applyFill="1" applyBorder="1" applyProtection="1">
      <protection locked="0"/>
    </xf>
    <xf numFmtId="0" fontId="42" fillId="0" borderId="5" xfId="0" applyFont="1" applyBorder="1" applyAlignment="1">
      <alignment wrapText="1"/>
    </xf>
    <xf numFmtId="0" fontId="33" fillId="0" borderId="12" xfId="21" applyFont="1" applyFill="1" applyBorder="1" applyAlignment="1" applyProtection="1">
      <alignment horizontal="center" vertical="center"/>
    </xf>
    <xf numFmtId="0" fontId="42" fillId="0" borderId="54" xfId="0" applyFont="1" applyBorder="1" applyAlignment="1">
      <alignment wrapText="1"/>
    </xf>
    <xf numFmtId="166" fontId="33" fillId="0" borderId="53" xfId="26" applyNumberFormat="1" applyFont="1" applyFill="1" applyBorder="1" applyProtection="1">
      <protection locked="0"/>
    </xf>
    <xf numFmtId="166" fontId="32" fillId="0" borderId="26" xfId="26" applyNumberFormat="1" applyFont="1" applyFill="1" applyBorder="1" applyProtection="1"/>
    <xf numFmtId="0" fontId="0" fillId="0" borderId="0" xfId="0" applyFill="1" applyAlignment="1" applyProtection="1">
      <alignment vertical="center"/>
    </xf>
    <xf numFmtId="3" fontId="59" fillId="0" borderId="2" xfId="0" applyNumberFormat="1" applyFont="1" applyFill="1" applyBorder="1" applyAlignment="1" applyProtection="1">
      <alignment vertical="center"/>
      <protection locked="0"/>
    </xf>
    <xf numFmtId="3" fontId="66" fillId="0" borderId="2" xfId="0" applyNumberFormat="1" applyFont="1" applyFill="1" applyBorder="1" applyAlignment="1" applyProtection="1">
      <alignment vertical="center"/>
      <protection locked="0"/>
    </xf>
    <xf numFmtId="166" fontId="72" fillId="0" borderId="22" xfId="26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>
      <alignment horizontal="center" vertical="center" wrapText="1"/>
    </xf>
    <xf numFmtId="165" fontId="11" fillId="0" borderId="0" xfId="0" applyNumberFormat="1" applyFont="1" applyFill="1" applyAlignment="1">
      <alignment horizontal="right" vertical="center"/>
    </xf>
    <xf numFmtId="0" fontId="13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 applyProtection="1">
      <alignment horizontal="left" vertical="center" wrapText="1" indent="1"/>
    </xf>
    <xf numFmtId="165" fontId="3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8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 applyProtection="1">
      <alignment horizontal="left" vertical="center" wrapText="1" indent="1"/>
    </xf>
    <xf numFmtId="165" fontId="3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5" xfId="0" applyFont="1" applyFill="1" applyBorder="1" applyAlignment="1" applyProtection="1">
      <alignment horizontal="left" vertical="center" wrapText="1" indent="8"/>
    </xf>
    <xf numFmtId="165" fontId="33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3" xfId="0" applyFont="1" applyFill="1" applyBorder="1" applyAlignment="1" applyProtection="1">
      <alignment vertical="center" wrapTex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1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 applyProtection="1">
      <alignment vertical="center" wrapText="1"/>
      <protection locked="0"/>
    </xf>
    <xf numFmtId="165" fontId="3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 applyProtection="1">
      <alignment vertical="center" wrapText="1"/>
    </xf>
    <xf numFmtId="165" fontId="32" fillId="0" borderId="25" xfId="0" applyNumberFormat="1" applyFont="1" applyFill="1" applyBorder="1" applyAlignment="1" applyProtection="1">
      <alignment vertical="center" wrapText="1"/>
    </xf>
    <xf numFmtId="165" fontId="32" fillId="0" borderId="26" xfId="0" applyNumberFormat="1" applyFont="1" applyFill="1" applyBorder="1" applyAlignment="1" applyProtection="1">
      <alignment vertical="center" wrapText="1"/>
    </xf>
    <xf numFmtId="0" fontId="13" fillId="0" borderId="27" xfId="21" applyFont="1" applyFill="1" applyBorder="1" applyAlignment="1" applyProtection="1">
      <alignment horizontal="center" vertical="center" wrapText="1"/>
    </xf>
    <xf numFmtId="0" fontId="24" fillId="0" borderId="27" xfId="21" applyFont="1" applyFill="1" applyBorder="1" applyAlignment="1" applyProtection="1">
      <alignment horizontal="center" vertical="center" wrapText="1"/>
    </xf>
    <xf numFmtId="165" fontId="24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7" xfId="21" applyNumberFormat="1" applyFont="1" applyFill="1" applyBorder="1" applyAlignment="1" applyProtection="1">
      <alignment horizontal="right" vertical="center" wrapText="1" indent="1"/>
    </xf>
    <xf numFmtId="165" fontId="26" fillId="0" borderId="41" xfId="21" applyNumberFormat="1" applyFont="1" applyFill="1" applyBorder="1" applyAlignment="1" applyProtection="1">
      <alignment horizontal="right" vertical="center" wrapText="1" indent="1"/>
    </xf>
    <xf numFmtId="165" fontId="26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1" xfId="21" applyNumberFormat="1" applyFont="1" applyFill="1" applyBorder="1" applyAlignment="1" applyProtection="1">
      <alignment horizontal="right" vertical="center" wrapText="1" indent="1"/>
    </xf>
    <xf numFmtId="0" fontId="26" fillId="0" borderId="51" xfId="21" applyFont="1" applyFill="1" applyBorder="1" applyAlignment="1" applyProtection="1">
      <alignment horizontal="right" vertical="center" wrapText="1" indent="1"/>
    </xf>
    <xf numFmtId="165" fontId="33" fillId="0" borderId="51" xfId="21" applyNumberFormat="1" applyFont="1" applyFill="1" applyBorder="1" applyAlignment="1" applyProtection="1">
      <alignment horizontal="right" vertical="center" wrapText="1" indent="1"/>
    </xf>
    <xf numFmtId="0" fontId="13" fillId="0" borderId="44" xfId="21" applyFont="1" applyFill="1" applyBorder="1" applyAlignment="1" applyProtection="1">
      <alignment horizontal="center" vertical="center" wrapText="1"/>
    </xf>
    <xf numFmtId="0" fontId="24" fillId="0" borderId="52" xfId="21" applyFont="1" applyFill="1" applyBorder="1" applyAlignment="1" applyProtection="1">
      <alignment horizontal="center" vertical="center" wrapText="1"/>
    </xf>
    <xf numFmtId="165" fontId="24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5" xfId="21" applyFont="1" applyFill="1" applyBorder="1" applyAlignment="1" applyProtection="1">
      <alignment vertical="center" wrapText="1"/>
    </xf>
    <xf numFmtId="165" fontId="32" fillId="0" borderId="25" xfId="21" applyNumberFormat="1" applyFont="1" applyFill="1" applyBorder="1" applyAlignment="1" applyProtection="1">
      <alignment horizontal="right" vertical="center" wrapText="1" indent="1"/>
    </xf>
    <xf numFmtId="165" fontId="26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21" applyNumberFormat="1" applyFont="1" applyFill="1" applyBorder="1" applyAlignment="1" applyProtection="1">
      <alignment horizontal="right" vertical="center" wrapText="1" indent="1"/>
    </xf>
    <xf numFmtId="165" fontId="29" fillId="0" borderId="14" xfId="0" quotePrefix="1" applyNumberFormat="1" applyFont="1" applyBorder="1" applyAlignment="1" applyProtection="1">
      <alignment horizontal="right" vertical="center" wrapText="1" indent="1"/>
    </xf>
    <xf numFmtId="3" fontId="32" fillId="0" borderId="0" xfId="0" applyNumberFormat="1" applyFont="1" applyFill="1" applyAlignment="1" applyProtection="1">
      <alignment vertical="center"/>
    </xf>
    <xf numFmtId="3" fontId="32" fillId="0" borderId="0" xfId="0" applyNumberFormat="1" applyFont="1" applyFill="1" applyAlignment="1" applyProtection="1">
      <alignment horizontal="center" vertical="center" wrapText="1"/>
    </xf>
    <xf numFmtId="3" fontId="37" fillId="0" borderId="0" xfId="0" applyNumberFormat="1" applyFont="1" applyFill="1" applyAlignment="1" applyProtection="1">
      <alignment vertical="center" wrapText="1"/>
    </xf>
    <xf numFmtId="165" fontId="3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3" fontId="53" fillId="0" borderId="49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85" fillId="0" borderId="38" xfId="19" applyNumberFormat="1" applyFont="1" applyBorder="1"/>
    <xf numFmtId="3" fontId="40" fillId="0" borderId="10" xfId="19" applyNumberFormat="1" applyFont="1" applyFill="1" applyBorder="1"/>
    <xf numFmtId="165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1" applyFont="1" applyFill="1" applyAlignment="1" applyProtection="1"/>
    <xf numFmtId="165" fontId="3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3" xfId="0" applyNumberFormat="1" applyFont="1" applyFill="1" applyBorder="1" applyAlignment="1" applyProtection="1">
      <alignment horizontal="centerContinuous" vertical="center" wrapText="1"/>
    </xf>
    <xf numFmtId="165" fontId="34" fillId="0" borderId="14" xfId="0" applyNumberFormat="1" applyFont="1" applyFill="1" applyBorder="1" applyAlignment="1" applyProtection="1">
      <alignment horizontal="centerContinuous" vertical="center" wrapText="1"/>
    </xf>
    <xf numFmtId="165" fontId="34" fillId="0" borderId="19" xfId="0" applyNumberFormat="1" applyFont="1" applyFill="1" applyBorder="1" applyAlignment="1" applyProtection="1">
      <alignment horizontal="centerContinuous" vertical="center" wrapText="1"/>
    </xf>
    <xf numFmtId="165" fontId="34" fillId="0" borderId="13" xfId="0" applyNumberFormat="1" applyFont="1" applyFill="1" applyBorder="1" applyAlignment="1" applyProtection="1">
      <alignment horizontal="center" vertical="center" wrapText="1"/>
    </xf>
    <xf numFmtId="0" fontId="34" fillId="0" borderId="19" xfId="21" applyFont="1" applyFill="1" applyBorder="1" applyAlignment="1" applyProtection="1">
      <alignment horizontal="center" vertical="center" wrapText="1"/>
    </xf>
    <xf numFmtId="165" fontId="34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33" fillId="0" borderId="43" xfId="0" applyNumberFormat="1" applyFont="1" applyFill="1" applyBorder="1" applyAlignment="1" applyProtection="1">
      <alignment horizontal="left" vertical="center" wrapText="1" indent="1"/>
    </xf>
    <xf numFmtId="165" fontId="3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3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1" xfId="21" applyFont="1" applyFill="1" applyBorder="1" applyAlignment="1" applyProtection="1">
      <alignment horizontal="center" vertical="center" wrapText="1"/>
    </xf>
    <xf numFmtId="0" fontId="24" fillId="0" borderId="4" xfId="21" applyFont="1" applyFill="1" applyBorder="1" applyAlignment="1" applyProtection="1">
      <alignment horizontal="center" vertical="center" wrapText="1"/>
    </xf>
    <xf numFmtId="0" fontId="24" fillId="0" borderId="17" xfId="21" applyFont="1" applyFill="1" applyBorder="1" applyAlignment="1" applyProtection="1">
      <alignment horizontal="center" vertical="center" wrapText="1"/>
    </xf>
    <xf numFmtId="0" fontId="26" fillId="0" borderId="13" xfId="21" applyFont="1" applyFill="1" applyBorder="1" applyAlignment="1" applyProtection="1">
      <alignment horizontal="center" vertical="center"/>
    </xf>
    <xf numFmtId="0" fontId="26" fillId="0" borderId="14" xfId="21" applyFont="1" applyFill="1" applyBorder="1" applyAlignment="1" applyProtection="1">
      <alignment horizontal="center" vertical="center"/>
    </xf>
    <xf numFmtId="0" fontId="26" fillId="0" borderId="19" xfId="21" applyFont="1" applyFill="1" applyBorder="1" applyAlignment="1" applyProtection="1">
      <alignment horizontal="center" vertical="center"/>
    </xf>
    <xf numFmtId="0" fontId="26" fillId="0" borderId="2" xfId="21" applyFont="1" applyFill="1" applyBorder="1" applyAlignment="1" applyProtection="1">
      <alignment horizontal="left"/>
      <protection locked="0"/>
    </xf>
    <xf numFmtId="166" fontId="26" fillId="0" borderId="18" xfId="26" applyNumberFormat="1" applyFont="1" applyFill="1" applyBorder="1" applyProtection="1">
      <protection locked="0"/>
    </xf>
    <xf numFmtId="0" fontId="26" fillId="0" borderId="3" xfId="21" applyFont="1" applyFill="1" applyBorder="1" applyAlignment="1" applyProtection="1">
      <alignment horizontal="left"/>
      <protection locked="0"/>
    </xf>
    <xf numFmtId="166" fontId="26" fillId="0" borderId="23" xfId="26" applyNumberFormat="1" applyFont="1" applyFill="1" applyBorder="1" applyProtection="1">
      <protection locked="0"/>
    </xf>
    <xf numFmtId="166" fontId="24" fillId="0" borderId="23" xfId="26" applyNumberFormat="1" applyFont="1" applyFill="1" applyBorder="1" applyProtection="1">
      <protection locked="0"/>
    </xf>
    <xf numFmtId="0" fontId="24" fillId="0" borderId="6" xfId="21" applyFont="1" applyFill="1" applyBorder="1" applyProtection="1">
      <protection locked="0"/>
    </xf>
    <xf numFmtId="0" fontId="26" fillId="0" borderId="6" xfId="21" applyFont="1" applyFill="1" applyBorder="1" applyProtection="1">
      <protection locked="0"/>
    </xf>
    <xf numFmtId="0" fontId="10" fillId="0" borderId="0" xfId="21" applyFont="1" applyFill="1"/>
    <xf numFmtId="0" fontId="24" fillId="0" borderId="13" xfId="21" applyFont="1" applyFill="1" applyBorder="1" applyAlignment="1" applyProtection="1">
      <alignment horizontal="center" vertical="center"/>
    </xf>
    <xf numFmtId="0" fontId="24" fillId="0" borderId="14" xfId="21" applyFont="1" applyFill="1" applyBorder="1" applyAlignment="1" applyProtection="1">
      <alignment horizontal="left" vertical="center" wrapText="1"/>
    </xf>
    <xf numFmtId="166" fontId="24" fillId="0" borderId="19" xfId="26" applyNumberFormat="1" applyFont="1" applyFill="1" applyBorder="1" applyProtection="1"/>
    <xf numFmtId="166" fontId="35" fillId="0" borderId="53" xfId="26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4" xfId="21" applyNumberFormat="1" applyFont="1" applyFill="1" applyBorder="1" applyAlignment="1" applyProtection="1">
      <alignment horizontal="right" vertical="center" indent="1"/>
    </xf>
    <xf numFmtId="3" fontId="39" fillId="0" borderId="0" xfId="21" applyNumberFormat="1" applyFont="1" applyFill="1" applyBorder="1" applyAlignment="1" applyProtection="1">
      <alignment horizontal="right" vertical="center" indent="1"/>
    </xf>
    <xf numFmtId="3" fontId="11" fillId="0" borderId="0" xfId="0" applyNumberFormat="1" applyFont="1" applyFill="1" applyBorder="1" applyAlignment="1" applyProtection="1">
      <alignment horizontal="right" vertical="center" indent="1"/>
    </xf>
    <xf numFmtId="3" fontId="13" fillId="0" borderId="14" xfId="21" applyNumberFormat="1" applyFont="1" applyFill="1" applyBorder="1" applyAlignment="1" applyProtection="1">
      <alignment horizontal="right" vertical="center" wrapText="1" indent="1"/>
    </xf>
    <xf numFmtId="3" fontId="13" fillId="0" borderId="68" xfId="21" applyNumberFormat="1" applyFont="1" applyFill="1" applyBorder="1" applyAlignment="1" applyProtection="1">
      <alignment horizontal="right" vertical="center" wrapText="1" indent="1"/>
    </xf>
    <xf numFmtId="3" fontId="13" fillId="0" borderId="19" xfId="21" applyNumberFormat="1" applyFont="1" applyFill="1" applyBorder="1" applyAlignment="1" applyProtection="1">
      <alignment horizontal="right" vertical="center" wrapText="1" indent="1"/>
    </xf>
    <xf numFmtId="3" fontId="24" fillId="0" borderId="68" xfId="21" applyNumberFormat="1" applyFont="1" applyFill="1" applyBorder="1" applyAlignment="1" applyProtection="1">
      <alignment horizontal="right" vertical="center" wrapText="1" indent="1"/>
    </xf>
    <xf numFmtId="3" fontId="24" fillId="0" borderId="62" xfId="21" applyNumberFormat="1" applyFont="1" applyFill="1" applyBorder="1" applyAlignment="1" applyProtection="1">
      <alignment horizontal="right" vertical="center" wrapText="1" indent="1"/>
    </xf>
    <xf numFmtId="3" fontId="24" fillId="0" borderId="28" xfId="21" applyNumberFormat="1" applyFont="1" applyFill="1" applyBorder="1" applyAlignment="1" applyProtection="1">
      <alignment horizontal="right" vertical="center" wrapText="1" indent="1"/>
    </xf>
    <xf numFmtId="3" fontId="24" fillId="0" borderId="19" xfId="21" applyNumberFormat="1" applyFont="1" applyFill="1" applyBorder="1" applyAlignment="1" applyProtection="1">
      <alignment horizontal="right" vertical="center" wrapText="1" indent="1"/>
    </xf>
    <xf numFmtId="3" fontId="24" fillId="0" borderId="44" xfId="21" applyNumberFormat="1" applyFont="1" applyFill="1" applyBorder="1" applyAlignment="1" applyProtection="1">
      <alignment horizontal="right" vertical="center" wrapText="1" indent="1"/>
    </xf>
    <xf numFmtId="3" fontId="33" fillId="0" borderId="17" xfId="21" applyNumberFormat="1" applyFont="1" applyFill="1" applyBorder="1" applyAlignment="1" applyProtection="1">
      <alignment horizontal="right" vertical="center" wrapText="1" indent="1"/>
    </xf>
    <xf numFmtId="3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21" applyNumberFormat="1" applyFont="1" applyFill="1" applyBorder="1" applyAlignment="1" applyProtection="1">
      <alignment horizontal="right" vertical="center" wrapText="1" indent="1"/>
    </xf>
    <xf numFmtId="3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2" xfId="21" applyNumberFormat="1" applyFont="1" applyFill="1" applyBorder="1" applyAlignment="1" applyProtection="1">
      <alignment horizontal="right" vertical="center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21" applyNumberFormat="1" applyFont="1" applyFill="1" applyBorder="1" applyAlignment="1" applyProtection="1">
      <alignment horizontal="right" vertical="center" wrapText="1" indent="1"/>
    </xf>
    <xf numFmtId="3" fontId="32" fillId="0" borderId="44" xfId="21" applyNumberFormat="1" applyFont="1" applyFill="1" applyBorder="1" applyAlignment="1" applyProtection="1">
      <alignment horizontal="right" vertical="center" wrapText="1" indent="1"/>
    </xf>
    <xf numFmtId="3" fontId="32" fillId="0" borderId="19" xfId="21" applyNumberFormat="1" applyFont="1" applyFill="1" applyBorder="1" applyAlignment="1" applyProtection="1">
      <alignment horizontal="right" vertical="center" wrapText="1" indent="1"/>
    </xf>
    <xf numFmtId="3" fontId="26" fillId="0" borderId="50" xfId="21" applyNumberFormat="1" applyFont="1" applyFill="1" applyBorder="1" applyAlignment="1" applyProtection="1">
      <alignment horizontal="right" vertical="center" wrapText="1" indent="1"/>
    </xf>
    <xf numFmtId="3" fontId="26" fillId="0" borderId="20" xfId="21" applyNumberFormat="1" applyFont="1" applyFill="1" applyBorder="1" applyAlignment="1" applyProtection="1">
      <alignment horizontal="right" vertical="center" wrapText="1" indent="1"/>
    </xf>
    <xf numFmtId="3" fontId="24" fillId="0" borderId="17" xfId="21" applyNumberFormat="1" applyFont="1" applyFill="1" applyBorder="1" applyAlignment="1" applyProtection="1">
      <alignment horizontal="right" vertical="center" wrapText="1" indent="1"/>
    </xf>
    <xf numFmtId="3" fontId="24" fillId="0" borderId="22" xfId="21" applyNumberFormat="1" applyFont="1" applyFill="1" applyBorder="1" applyAlignment="1" applyProtection="1">
      <alignment horizontal="right" vertical="center" wrapText="1" indent="1"/>
    </xf>
    <xf numFmtId="3" fontId="24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20" xfId="21" applyNumberFormat="1" applyFont="1" applyFill="1" applyBorder="1" applyAlignment="1" applyProtection="1">
      <alignment horizontal="right" vertical="center" wrapText="1" indent="1"/>
    </xf>
    <xf numFmtId="3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51" xfId="21" applyNumberFormat="1" applyFont="1" applyFill="1" applyBorder="1" applyAlignment="1" applyProtection="1">
      <alignment horizontal="right" vertical="center" wrapText="1" indent="1"/>
    </xf>
    <xf numFmtId="3" fontId="26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4" xfId="21" applyNumberFormat="1" applyFont="1" applyFill="1" applyBorder="1" applyAlignment="1" applyProtection="1">
      <alignment horizontal="right" indent="1"/>
    </xf>
    <xf numFmtId="3" fontId="11" fillId="0" borderId="24" xfId="0" applyNumberFormat="1" applyFont="1" applyFill="1" applyBorder="1" applyAlignment="1" applyProtection="1">
      <alignment horizontal="right" vertical="center" indent="1"/>
    </xf>
    <xf numFmtId="3" fontId="24" fillId="0" borderId="33" xfId="21" applyNumberFormat="1" applyFont="1" applyFill="1" applyBorder="1" applyAlignment="1" applyProtection="1">
      <alignment horizontal="right" vertical="center" wrapText="1" indent="1"/>
    </xf>
    <xf numFmtId="3" fontId="26" fillId="0" borderId="27" xfId="21" applyNumberFormat="1" applyFont="1" applyFill="1" applyBorder="1" applyAlignment="1" applyProtection="1">
      <alignment horizontal="right" vertical="center" wrapText="1" indent="1"/>
    </xf>
    <xf numFmtId="0" fontId="30" fillId="0" borderId="49" xfId="0" quotePrefix="1" applyFont="1" applyBorder="1" applyAlignment="1" applyProtection="1">
      <alignment horizontal="left" wrapText="1" indent="1"/>
    </xf>
    <xf numFmtId="165" fontId="17" fillId="0" borderId="0" xfId="21" applyNumberFormat="1" applyFont="1" applyFill="1" applyProtection="1"/>
    <xf numFmtId="165" fontId="69" fillId="0" borderId="19" xfId="0" applyNumberFormat="1" applyFont="1" applyFill="1" applyBorder="1" applyAlignment="1" applyProtection="1">
      <alignment horizontal="right" vertical="center" wrapText="1" indent="1"/>
    </xf>
    <xf numFmtId="165" fontId="7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4" xfId="0" applyNumberFormat="1" applyFont="1" applyFill="1" applyBorder="1" applyAlignment="1" applyProtection="1">
      <alignment horizontal="right" vertical="center" wrapText="1" indent="1"/>
    </xf>
    <xf numFmtId="165" fontId="73" fillId="0" borderId="44" xfId="0" applyNumberFormat="1" applyFont="1" applyFill="1" applyBorder="1" applyAlignment="1" applyProtection="1">
      <alignment horizontal="right" vertical="center" wrapText="1" indent="1"/>
    </xf>
    <xf numFmtId="165" fontId="73" fillId="0" borderId="0" xfId="0" applyNumberFormat="1" applyFont="1" applyFill="1" applyBorder="1" applyAlignment="1" applyProtection="1">
      <alignment horizontal="right" vertical="center" wrapText="1" indent="1"/>
    </xf>
    <xf numFmtId="0" fontId="71" fillId="0" borderId="0" xfId="0" applyFont="1" applyFill="1" applyAlignment="1" applyProtection="1">
      <alignment horizontal="right" vertical="center" wrapText="1" indent="1"/>
    </xf>
    <xf numFmtId="165" fontId="73" fillId="0" borderId="19" xfId="0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Fill="1" applyAlignment="1" applyProtection="1">
      <alignment horizontal="right" vertical="center" wrapText="1" indent="1"/>
    </xf>
    <xf numFmtId="4" fontId="7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0" xfId="25"/>
    <xf numFmtId="0" fontId="20" fillId="0" borderId="0" xfId="25" applyFont="1" applyBorder="1"/>
    <xf numFmtId="49" fontId="26" fillId="0" borderId="76" xfId="24" applyNumberFormat="1" applyFont="1" applyBorder="1"/>
    <xf numFmtId="0" fontId="33" fillId="0" borderId="47" xfId="24" quotePrefix="1" applyFont="1" applyBorder="1"/>
    <xf numFmtId="0" fontId="26" fillId="0" borderId="30" xfId="25" applyFont="1" applyBorder="1"/>
    <xf numFmtId="0" fontId="35" fillId="0" borderId="34" xfId="25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33" fillId="0" borderId="8" xfId="0" applyNumberFormat="1" applyFont="1" applyFill="1" applyBorder="1" applyAlignment="1" applyProtection="1">
      <alignment horizontal="left" vertical="center" wrapText="1" indent="3"/>
    </xf>
    <xf numFmtId="166" fontId="33" fillId="0" borderId="57" xfId="26" applyNumberFormat="1" applyFont="1" applyFill="1" applyBorder="1" applyProtection="1">
      <protection locked="0"/>
    </xf>
    <xf numFmtId="0" fontId="33" fillId="0" borderId="10" xfId="21" applyFont="1" applyFill="1" applyBorder="1" applyAlignment="1" applyProtection="1">
      <alignment horizontal="center" vertical="center"/>
    </xf>
    <xf numFmtId="0" fontId="9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9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70" fillId="0" borderId="19" xfId="26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Alignment="1">
      <alignment vertical="center" wrapText="1"/>
    </xf>
    <xf numFmtId="0" fontId="7" fillId="0" borderId="0" xfId="21" applyNumberFormat="1" applyFont="1" applyFill="1"/>
    <xf numFmtId="0" fontId="35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5" fillId="0" borderId="0" xfId="0" applyNumberFormat="1" applyFont="1" applyFill="1" applyAlignment="1">
      <alignment horizontal="center" vertical="center" wrapText="1"/>
    </xf>
    <xf numFmtId="166" fontId="48" fillId="0" borderId="0" xfId="18" applyNumberFormat="1"/>
    <xf numFmtId="0" fontId="17" fillId="0" borderId="0" xfId="0" applyFont="1" applyAlignment="1">
      <alignment horizontal="center" wrapText="1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33" fillId="0" borderId="9" xfId="0" applyFont="1" applyBorder="1" applyAlignment="1" applyProtection="1">
      <alignment horizontal="right" vertical="center" indent="1"/>
    </xf>
    <xf numFmtId="0" fontId="33" fillId="0" borderId="3" xfId="0" applyFont="1" applyBorder="1" applyAlignment="1" applyProtection="1">
      <alignment horizontal="left" vertical="center"/>
      <protection locked="0"/>
    </xf>
    <xf numFmtId="0" fontId="35" fillId="0" borderId="13" xfId="0" applyFont="1" applyBorder="1" applyAlignment="1" applyProtection="1">
      <alignment horizontal="center" vertical="center" wrapText="1"/>
    </xf>
    <xf numFmtId="0" fontId="35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40" fillId="0" borderId="78" xfId="19" applyNumberFormat="1" applyFont="1" applyBorder="1"/>
    <xf numFmtId="3" fontId="40" fillId="0" borderId="3" xfId="19" applyNumberFormat="1" applyFont="1" applyBorder="1"/>
    <xf numFmtId="3" fontId="40" fillId="0" borderId="9" xfId="19" applyNumberFormat="1" applyFont="1" applyBorder="1"/>
    <xf numFmtId="3" fontId="40" fillId="0" borderId="11" xfId="19" applyNumberFormat="1" applyFont="1" applyBorder="1"/>
    <xf numFmtId="3" fontId="40" fillId="0" borderId="4" xfId="19" applyNumberFormat="1" applyFont="1" applyBorder="1"/>
    <xf numFmtId="3" fontId="74" fillId="0" borderId="21" xfId="19" applyNumberFormat="1" applyFont="1" applyBorder="1"/>
    <xf numFmtId="3" fontId="40" fillId="0" borderId="21" xfId="19" applyNumberFormat="1" applyFont="1" applyBorder="1"/>
    <xf numFmtId="3" fontId="40" fillId="0" borderId="55" xfId="19" applyNumberFormat="1" applyFont="1" applyBorder="1"/>
    <xf numFmtId="3" fontId="40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3" fontId="58" fillId="0" borderId="4" xfId="19" applyNumberFormat="1" applyFont="1" applyBorder="1"/>
    <xf numFmtId="3" fontId="25" fillId="0" borderId="61" xfId="19" applyNumberFormat="1" applyFont="1" applyBorder="1"/>
    <xf numFmtId="3" fontId="58" fillId="0" borderId="21" xfId="19" applyNumberFormat="1" applyFont="1" applyBorder="1"/>
    <xf numFmtId="3" fontId="25" fillId="0" borderId="59" xfId="19" applyNumberFormat="1" applyFont="1" applyBorder="1"/>
    <xf numFmtId="0" fontId="13" fillId="0" borderId="24" xfId="19" applyFont="1" applyBorder="1" applyAlignment="1">
      <alignment horizontal="center"/>
    </xf>
    <xf numFmtId="3" fontId="40" fillId="0" borderId="1" xfId="19" applyNumberFormat="1" applyFont="1" applyBorder="1"/>
    <xf numFmtId="3" fontId="34" fillId="0" borderId="40" xfId="19" applyNumberFormat="1" applyFont="1" applyBorder="1"/>
    <xf numFmtId="3" fontId="40" fillId="0" borderId="67" xfId="19" applyNumberFormat="1" applyFont="1" applyBorder="1"/>
    <xf numFmtId="3" fontId="40" fillId="0" borderId="7" xfId="19" applyNumberFormat="1" applyFont="1" applyBorder="1"/>
    <xf numFmtId="3" fontId="40" fillId="0" borderId="67" xfId="19" applyNumberFormat="1" applyFont="1" applyFill="1" applyBorder="1"/>
    <xf numFmtId="3" fontId="40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3" fontId="23" fillId="0" borderId="38" xfId="19" applyNumberFormat="1" applyFont="1" applyBorder="1"/>
    <xf numFmtId="3" fontId="40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32" fillId="0" borderId="0" xfId="19" applyFont="1"/>
    <xf numFmtId="0" fontId="32" fillId="0" borderId="0" xfId="19" applyFont="1" applyAlignment="1">
      <alignment horizontal="centerContinuous"/>
    </xf>
    <xf numFmtId="0" fontId="34" fillId="0" borderId="23" xfId="19" applyFont="1" applyBorder="1" applyAlignment="1">
      <alignment horizontal="center"/>
    </xf>
    <xf numFmtId="0" fontId="34" fillId="0" borderId="26" xfId="19" applyFont="1" applyBorder="1" applyAlignment="1">
      <alignment horizontal="center"/>
    </xf>
    <xf numFmtId="3" fontId="34" fillId="0" borderId="22" xfId="19" applyNumberFormat="1" applyFont="1" applyBorder="1"/>
    <xf numFmtId="3" fontId="34" fillId="0" borderId="58" xfId="19" applyNumberFormat="1" applyFont="1" applyBorder="1"/>
    <xf numFmtId="3" fontId="34" fillId="0" borderId="21" xfId="19" applyNumberFormat="1" applyFont="1" applyBorder="1"/>
    <xf numFmtId="3" fontId="34" fillId="0" borderId="6" xfId="19" applyNumberFormat="1" applyFont="1" applyBorder="1"/>
    <xf numFmtId="3" fontId="40" fillId="0" borderId="47" xfId="19" applyNumberFormat="1" applyFont="1" applyBorder="1"/>
    <xf numFmtId="3" fontId="34" fillId="0" borderId="0" xfId="19" applyNumberFormat="1" applyFont="1" applyBorder="1"/>
    <xf numFmtId="3" fontId="25" fillId="0" borderId="41" xfId="19" applyNumberFormat="1" applyFont="1" applyBorder="1"/>
    <xf numFmtId="0" fontId="20" fillId="0" borderId="0" xfId="21" applyFont="1" applyFill="1" applyBorder="1" applyProtection="1"/>
    <xf numFmtId="165" fontId="3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36" fillId="0" borderId="0" xfId="0" applyNumberFormat="1" applyFont="1" applyFill="1" applyAlignment="1" applyProtection="1">
      <alignment horizontal="right" wrapText="1"/>
    </xf>
    <xf numFmtId="165" fontId="34" fillId="0" borderId="13" xfId="0" applyNumberFormat="1" applyFont="1" applyFill="1" applyBorder="1" applyAlignment="1" applyProtection="1">
      <alignment horizontal="left" vertical="center" wrapText="1"/>
    </xf>
    <xf numFmtId="165" fontId="34" fillId="0" borderId="14" xfId="0" applyNumberFormat="1" applyFont="1" applyFill="1" applyBorder="1" applyAlignment="1" applyProtection="1">
      <alignment vertical="center" wrapText="1"/>
    </xf>
    <xf numFmtId="165" fontId="34" fillId="7" borderId="14" xfId="0" applyNumberFormat="1" applyFont="1" applyFill="1" applyBorder="1" applyAlignment="1" applyProtection="1">
      <alignment vertical="center" wrapText="1"/>
    </xf>
    <xf numFmtId="165" fontId="34" fillId="0" borderId="19" xfId="0" applyNumberFormat="1" applyFont="1" applyFill="1" applyBorder="1" applyAlignment="1" applyProtection="1">
      <alignment vertical="center" wrapText="1"/>
    </xf>
    <xf numFmtId="165" fontId="67" fillId="0" borderId="0" xfId="0" applyNumberFormat="1" applyFont="1" applyFill="1" applyAlignment="1">
      <alignment vertical="center" wrapText="1"/>
    </xf>
    <xf numFmtId="165" fontId="70" fillId="0" borderId="0" xfId="0" applyNumberFormat="1" applyFont="1" applyFill="1" applyAlignment="1">
      <alignment vertical="center" wrapText="1"/>
    </xf>
    <xf numFmtId="165" fontId="72" fillId="0" borderId="0" xfId="0" applyNumberFormat="1" applyFont="1" applyFill="1" applyAlignment="1">
      <alignment vertical="center" wrapText="1"/>
    </xf>
    <xf numFmtId="165" fontId="75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vertical="center" wrapText="1"/>
    </xf>
    <xf numFmtId="0" fontId="79" fillId="0" borderId="0" xfId="25" applyFont="1"/>
    <xf numFmtId="0" fontId="90" fillId="0" borderId="0" xfId="25" applyFont="1"/>
    <xf numFmtId="0" fontId="91" fillId="0" borderId="0" xfId="25" applyFont="1"/>
    <xf numFmtId="0" fontId="93" fillId="0" borderId="0" xfId="25" applyFont="1" applyAlignment="1">
      <alignment horizontal="centerContinuous"/>
    </xf>
    <xf numFmtId="0" fontId="94" fillId="0" borderId="0" xfId="22" applyFont="1" applyFill="1" applyAlignment="1">
      <alignment horizontal="centerContinuous"/>
    </xf>
    <xf numFmtId="0" fontId="94" fillId="0" borderId="0" xfId="25" applyFont="1" applyAlignment="1">
      <alignment horizontal="centerContinuous"/>
    </xf>
    <xf numFmtId="0" fontId="95" fillId="0" borderId="0" xfId="25" applyFont="1" applyAlignment="1">
      <alignment horizontal="centerContinuous"/>
    </xf>
    <xf numFmtId="0" fontId="96" fillId="0" borderId="0" xfId="25" applyFont="1" applyAlignment="1">
      <alignment horizontal="right"/>
    </xf>
    <xf numFmtId="0" fontId="73" fillId="0" borderId="2" xfId="25" applyFont="1" applyBorder="1" applyAlignment="1">
      <alignment horizontal="center"/>
    </xf>
    <xf numFmtId="0" fontId="73" fillId="0" borderId="18" xfId="25" applyFont="1" applyBorder="1" applyAlignment="1">
      <alignment horizontal="center"/>
    </xf>
    <xf numFmtId="0" fontId="68" fillId="0" borderId="8" xfId="25" applyFont="1" applyBorder="1" applyAlignment="1">
      <alignment horizontal="left"/>
    </xf>
    <xf numFmtId="0" fontId="68" fillId="0" borderId="8" xfId="24" applyFont="1" applyBorder="1" applyAlignment="1">
      <alignment horizontal="left"/>
    </xf>
    <xf numFmtId="0" fontId="72" fillId="0" borderId="12" xfId="24" applyFont="1" applyBorder="1"/>
    <xf numFmtId="3" fontId="97" fillId="0" borderId="0" xfId="25" applyNumberFormat="1" applyFont="1"/>
    <xf numFmtId="3" fontId="98" fillId="0" borderId="0" xfId="25" applyNumberFormat="1" applyFont="1"/>
    <xf numFmtId="3" fontId="91" fillId="0" borderId="0" xfId="25" applyNumberFormat="1" applyFont="1"/>
    <xf numFmtId="0" fontId="99" fillId="0" borderId="0" xfId="25" applyFont="1"/>
    <xf numFmtId="49" fontId="33" fillId="0" borderId="76" xfId="24" applyNumberFormat="1" applyFont="1" applyBorder="1"/>
    <xf numFmtId="0" fontId="68" fillId="0" borderId="47" xfId="24" quotePrefix="1" applyFont="1" applyBorder="1"/>
    <xf numFmtId="0" fontId="102" fillId="0" borderId="34" xfId="25" applyFont="1" applyBorder="1"/>
    <xf numFmtId="0" fontId="6" fillId="0" borderId="27" xfId="25" applyFont="1" applyBorder="1"/>
    <xf numFmtId="0" fontId="33" fillId="0" borderId="46" xfId="25" applyFont="1" applyBorder="1"/>
    <xf numFmtId="0" fontId="71" fillId="0" borderId="47" xfId="24" quotePrefix="1" applyFont="1" applyBorder="1"/>
    <xf numFmtId="0" fontId="9" fillId="0" borderId="11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vertical="center" wrapText="1"/>
    </xf>
    <xf numFmtId="4" fontId="7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7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33" fillId="0" borderId="47" xfId="24" applyNumberFormat="1" applyFont="1" applyBorder="1"/>
    <xf numFmtId="0" fontId="33" fillId="0" borderId="47" xfId="24" quotePrefix="1" applyFont="1" applyFill="1" applyBorder="1"/>
    <xf numFmtId="0" fontId="91" fillId="0" borderId="0" xfId="25" applyFont="1" applyAlignment="1">
      <alignment vertical="center"/>
    </xf>
    <xf numFmtId="0" fontId="68" fillId="0" borderId="30" xfId="24" quotePrefix="1" applyFont="1" applyFill="1" applyBorder="1" applyAlignment="1">
      <alignment vertical="center" wrapText="1"/>
    </xf>
    <xf numFmtId="165" fontId="105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18" xfId="0" applyNumberFormat="1" applyFont="1" applyFill="1" applyBorder="1" applyAlignment="1" applyProtection="1">
      <alignment vertical="center" wrapText="1"/>
    </xf>
    <xf numFmtId="165" fontId="105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42" xfId="0" quotePrefix="1" applyFont="1" applyFill="1" applyBorder="1" applyAlignment="1">
      <alignment vertical="center"/>
    </xf>
    <xf numFmtId="165" fontId="106" fillId="0" borderId="0" xfId="0" applyNumberFormat="1" applyFont="1" applyFill="1" applyAlignment="1">
      <alignment vertical="center" wrapText="1"/>
    </xf>
    <xf numFmtId="0" fontId="105" fillId="0" borderId="42" xfId="0" applyFont="1" applyFill="1" applyBorder="1" applyAlignment="1">
      <alignment vertical="center"/>
    </xf>
    <xf numFmtId="0" fontId="105" fillId="0" borderId="42" xfId="0" applyFont="1" applyFill="1" applyBorder="1" applyAlignment="1">
      <alignment vertical="center" wrapText="1"/>
    </xf>
    <xf numFmtId="165" fontId="103" fillId="0" borderId="0" xfId="0" applyNumberFormat="1" applyFont="1" applyFill="1" applyAlignment="1">
      <alignment vertical="center" wrapText="1"/>
    </xf>
    <xf numFmtId="0" fontId="105" fillId="0" borderId="30" xfId="0" quotePrefix="1" applyFont="1" applyFill="1" applyBorder="1" applyAlignment="1">
      <alignment vertical="center"/>
    </xf>
    <xf numFmtId="49" fontId="10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23" xfId="0" applyNumberFormat="1" applyFont="1" applyFill="1" applyBorder="1" applyAlignment="1" applyProtection="1">
      <alignment vertical="center" wrapText="1"/>
    </xf>
    <xf numFmtId="165" fontId="81" fillId="0" borderId="34" xfId="0" applyNumberFormat="1" applyFont="1" applyFill="1" applyBorder="1" applyAlignment="1" applyProtection="1">
      <alignment horizontal="left" vertical="center" wrapText="1"/>
    </xf>
    <xf numFmtId="165" fontId="81" fillId="0" borderId="19" xfId="0" applyNumberFormat="1" applyFont="1" applyFill="1" applyBorder="1" applyAlignment="1" applyProtection="1">
      <alignment vertical="center" wrapText="1"/>
    </xf>
    <xf numFmtId="165" fontId="34" fillId="0" borderId="15" xfId="0" applyNumberFormat="1" applyFont="1" applyFill="1" applyBorder="1" applyAlignment="1" applyProtection="1">
      <alignment horizontal="center" vertical="center" wrapText="1"/>
    </xf>
    <xf numFmtId="165" fontId="34" fillId="0" borderId="16" xfId="0" applyNumberFormat="1" applyFont="1" applyFill="1" applyBorder="1" applyAlignment="1" applyProtection="1">
      <alignment horizontal="center" vertical="center" wrapText="1"/>
    </xf>
    <xf numFmtId="165" fontId="34" fillId="0" borderId="28" xfId="0" applyNumberFormat="1" applyFont="1" applyFill="1" applyBorder="1" applyAlignment="1" applyProtection="1">
      <alignment horizontal="center" vertical="center" wrapText="1"/>
    </xf>
    <xf numFmtId="165" fontId="32" fillId="0" borderId="11" xfId="0" applyNumberFormat="1" applyFont="1" applyFill="1" applyBorder="1" applyAlignment="1" applyProtection="1">
      <alignment horizontal="center" vertical="center" wrapText="1"/>
    </xf>
    <xf numFmtId="165" fontId="32" fillId="0" borderId="4" xfId="0" applyNumberFormat="1" applyFont="1" applyFill="1" applyBorder="1" applyAlignment="1" applyProtection="1">
      <alignment horizontal="center" vertical="center" wrapText="1"/>
    </xf>
    <xf numFmtId="165" fontId="32" fillId="0" borderId="17" xfId="0" applyNumberFormat="1" applyFont="1" applyFill="1" applyBorder="1" applyAlignment="1" applyProtection="1">
      <alignment horizontal="center" vertical="center" wrapText="1"/>
    </xf>
    <xf numFmtId="0" fontId="70" fillId="0" borderId="0" xfId="0" applyFont="1" applyFill="1"/>
    <xf numFmtId="0" fontId="109" fillId="0" borderId="0" xfId="0" applyFont="1" applyFill="1"/>
    <xf numFmtId="0" fontId="0" fillId="0" borderId="0" xfId="0"/>
    <xf numFmtId="0" fontId="0" fillId="0" borderId="0" xfId="0" applyFill="1"/>
    <xf numFmtId="0" fontId="17" fillId="0" borderId="0" xfId="21" applyFont="1" applyFill="1" applyProtection="1"/>
    <xf numFmtId="0" fontId="0" fillId="0" borderId="0" xfId="0" applyAlignment="1" applyProtection="1">
      <protection locked="0"/>
    </xf>
    <xf numFmtId="0" fontId="110" fillId="0" borderId="0" xfId="0" applyFont="1"/>
    <xf numFmtId="0" fontId="0" fillId="0" borderId="0" xfId="0" applyFill="1" applyAlignment="1" applyProtection="1">
      <alignment horizontal="right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8" fillId="0" borderId="0" xfId="0" applyFont="1"/>
    <xf numFmtId="0" fontId="112" fillId="0" borderId="0" xfId="0" applyFont="1"/>
    <xf numFmtId="0" fontId="17" fillId="0" borderId="0" xfId="21" applyFont="1" applyFill="1" applyProtection="1"/>
    <xf numFmtId="0" fontId="17" fillId="0" borderId="0" xfId="21" applyFill="1" applyProtection="1"/>
    <xf numFmtId="0" fontId="111" fillId="0" borderId="0" xfId="0" applyFont="1"/>
    <xf numFmtId="0" fontId="113" fillId="0" borderId="0" xfId="0" applyFont="1" applyAlignment="1">
      <alignment horizontal="center"/>
    </xf>
    <xf numFmtId="0" fontId="40" fillId="0" borderId="0" xfId="0" applyFont="1" applyFill="1"/>
    <xf numFmtId="0" fontId="0" fillId="0" borderId="0" xfId="0"/>
    <xf numFmtId="165" fontId="0" fillId="0" borderId="0" xfId="0" applyNumberFormat="1" applyFill="1" applyAlignment="1" applyProtection="1">
      <alignment vertical="center" wrapText="1"/>
    </xf>
    <xf numFmtId="3" fontId="40" fillId="0" borderId="0" xfId="0" applyNumberFormat="1" applyFont="1" applyFill="1" applyAlignment="1">
      <alignment horizontal="right" indent="1"/>
    </xf>
    <xf numFmtId="0" fontId="40" fillId="0" borderId="0" xfId="0" applyFont="1" applyFill="1" applyAlignment="1">
      <alignment horizontal="right" indent="1"/>
    </xf>
    <xf numFmtId="0" fontId="28" fillId="0" borderId="0" xfId="0" applyFont="1" applyFill="1"/>
    <xf numFmtId="3" fontId="34" fillId="0" borderId="0" xfId="0" applyNumberFormat="1" applyFont="1" applyFill="1" applyAlignment="1">
      <alignment horizontal="right" indent="1"/>
    </xf>
    <xf numFmtId="0" fontId="114" fillId="0" borderId="0" xfId="0" applyFont="1" applyFill="1"/>
    <xf numFmtId="0" fontId="40" fillId="0" borderId="0" xfId="0" applyFont="1"/>
    <xf numFmtId="0" fontId="40" fillId="0" borderId="0" xfId="0" applyFont="1" applyAlignment="1">
      <alignment horizontal="right" indent="1"/>
    </xf>
    <xf numFmtId="165" fontId="6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" fillId="0" borderId="8" xfId="21" applyFont="1" applyFill="1" applyBorder="1" applyAlignment="1" applyProtection="1">
      <alignment horizontal="left"/>
      <protection locked="0"/>
    </xf>
    <xf numFmtId="0" fontId="6" fillId="0" borderId="42" xfId="21" applyFont="1" applyFill="1" applyBorder="1" applyProtection="1">
      <protection locked="0"/>
    </xf>
    <xf numFmtId="165" fontId="6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35" fillId="0" borderId="23" xfId="0" applyNumberFormat="1" applyFont="1" applyFill="1" applyBorder="1" applyAlignment="1">
      <alignment vertical="center" wrapText="1"/>
    </xf>
    <xf numFmtId="0" fontId="115" fillId="0" borderId="41" xfId="28" applyFont="1" applyFill="1" applyBorder="1" applyAlignment="1">
      <alignment vertical="center"/>
    </xf>
    <xf numFmtId="0" fontId="115" fillId="0" borderId="41" xfId="28" applyFont="1" applyFill="1" applyBorder="1" applyAlignment="1">
      <alignment vertical="center" wrapText="1"/>
    </xf>
    <xf numFmtId="0" fontId="115" fillId="0" borderId="59" xfId="28" applyFont="1" applyFill="1" applyBorder="1" applyAlignment="1">
      <alignment vertical="center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0" fillId="9" borderId="2" xfId="28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35" fillId="0" borderId="18" xfId="0" applyNumberFormat="1" applyFont="1" applyFill="1" applyBorder="1" applyAlignment="1" applyProtection="1">
      <alignment vertical="center" wrapText="1"/>
    </xf>
    <xf numFmtId="165" fontId="0" fillId="0" borderId="2" xfId="28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35" fillId="0" borderId="18" xfId="0" applyNumberFormat="1" applyFont="1" applyFill="1" applyBorder="1" applyAlignment="1">
      <alignment vertical="center" wrapText="1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0" fillId="0" borderId="21" xfId="28" applyNumberFormat="1" applyFont="1" applyFill="1" applyBorder="1" applyAlignment="1" applyProtection="1">
      <alignment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1" xfId="0" applyNumberFormat="1" applyFont="1" applyFill="1" applyBorder="1" applyAlignment="1" applyProtection="1">
      <alignment vertical="center" wrapText="1"/>
      <protection locked="0"/>
    </xf>
    <xf numFmtId="165" fontId="35" fillId="0" borderId="22" xfId="0" applyNumberFormat="1" applyFont="1" applyFill="1" applyBorder="1" applyAlignment="1">
      <alignment vertical="center" wrapText="1"/>
    </xf>
    <xf numFmtId="165" fontId="6" fillId="0" borderId="2" xfId="28" applyNumberFormat="1" applyFont="1" applyFill="1" applyBorder="1" applyAlignment="1" applyProtection="1">
      <alignment vertical="center" wrapText="1"/>
      <protection locked="0"/>
    </xf>
    <xf numFmtId="165" fontId="105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20" xfId="0" applyNumberFormat="1" applyFont="1" applyFill="1" applyBorder="1" applyAlignment="1" applyProtection="1">
      <alignment vertical="center" wrapText="1"/>
    </xf>
    <xf numFmtId="165" fontId="104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05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19" xfId="0" applyNumberFormat="1" applyFont="1" applyFill="1" applyBorder="1" applyAlignment="1" applyProtection="1">
      <alignment vertical="center" wrapText="1"/>
    </xf>
    <xf numFmtId="165" fontId="90" fillId="0" borderId="63" xfId="0" applyNumberFormat="1" applyFont="1" applyFill="1" applyBorder="1" applyAlignment="1" applyProtection="1">
      <alignment horizontal="left" vertical="center" wrapText="1"/>
    </xf>
    <xf numFmtId="165" fontId="105" fillId="0" borderId="20" xfId="0" applyNumberFormat="1" applyFont="1" applyFill="1" applyBorder="1" applyAlignment="1" applyProtection="1">
      <alignment vertical="center" wrapText="1"/>
    </xf>
    <xf numFmtId="49" fontId="8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41" xfId="0" quotePrefix="1" applyFont="1" applyFill="1" applyBorder="1" applyAlignment="1">
      <alignment vertical="center"/>
    </xf>
    <xf numFmtId="0" fontId="104" fillId="0" borderId="27" xfId="0" applyFont="1" applyFill="1" applyBorder="1" applyAlignment="1">
      <alignment vertical="center"/>
    </xf>
    <xf numFmtId="0" fontId="105" fillId="0" borderId="41" xfId="21" quotePrefix="1" applyFont="1" applyFill="1" applyBorder="1" applyAlignment="1" applyProtection="1">
      <alignment vertical="center"/>
      <protection locked="0"/>
    </xf>
    <xf numFmtId="0" fontId="89" fillId="0" borderId="27" xfId="21" applyFont="1" applyFill="1" applyBorder="1" applyAlignment="1" applyProtection="1">
      <alignment vertical="center"/>
      <protection locked="0"/>
    </xf>
    <xf numFmtId="49" fontId="44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19" xfId="0" applyNumberFormat="1" applyFont="1" applyFill="1" applyBorder="1" applyAlignment="1" applyProtection="1">
      <alignment vertical="center" wrapText="1"/>
    </xf>
    <xf numFmtId="0" fontId="105" fillId="0" borderId="41" xfId="0" applyFont="1" applyFill="1" applyBorder="1" applyAlignment="1">
      <alignment vertical="center"/>
    </xf>
    <xf numFmtId="0" fontId="104" fillId="0" borderId="27" xfId="0" applyFont="1" applyFill="1" applyBorder="1" applyAlignment="1">
      <alignment vertical="center" wrapText="1"/>
    </xf>
    <xf numFmtId="0" fontId="17" fillId="0" borderId="0" xfId="21" applyFont="1" applyFill="1" applyAlignment="1" applyProtection="1">
      <alignment horizontal="right"/>
    </xf>
    <xf numFmtId="0" fontId="7" fillId="0" borderId="0" xfId="21" applyFont="1" applyFill="1"/>
    <xf numFmtId="165" fontId="10" fillId="0" borderId="0" xfId="21" applyNumberFormat="1" applyFont="1" applyFill="1" applyBorder="1" applyAlignment="1" applyProtection="1">
      <alignment horizontal="centerContinuous" vertical="center"/>
    </xf>
    <xf numFmtId="165" fontId="9" fillId="0" borderId="0" xfId="21" applyNumberFormat="1" applyFont="1" applyFill="1" applyBorder="1" applyAlignment="1" applyProtection="1">
      <alignment horizontal="centerContinuous" vertical="center"/>
    </xf>
    <xf numFmtId="14" fontId="35" fillId="0" borderId="4" xfId="21" applyNumberFormat="1" applyFont="1" applyFill="1" applyBorder="1" applyAlignment="1">
      <alignment horizontal="center" vertical="center" wrapText="1"/>
    </xf>
    <xf numFmtId="0" fontId="20" fillId="0" borderId="27" xfId="21" applyFont="1" applyFill="1" applyBorder="1" applyAlignment="1">
      <alignment horizontal="center" vertical="center"/>
    </xf>
    <xf numFmtId="0" fontId="20" fillId="0" borderId="33" xfId="21" applyFont="1" applyFill="1" applyBorder="1" applyAlignment="1">
      <alignment horizontal="center" vertical="center"/>
    </xf>
    <xf numFmtId="0" fontId="20" fillId="0" borderId="14" xfId="21" applyFont="1" applyFill="1" applyBorder="1" applyAlignment="1">
      <alignment horizontal="center" vertical="center"/>
    </xf>
    <xf numFmtId="0" fontId="20" fillId="0" borderId="19" xfId="21" applyFont="1" applyFill="1" applyBorder="1" applyAlignment="1">
      <alignment horizontal="center" vertical="center"/>
    </xf>
    <xf numFmtId="0" fontId="20" fillId="0" borderId="41" xfId="21" applyFont="1" applyFill="1" applyBorder="1" applyAlignment="1">
      <alignment horizontal="center" vertical="center"/>
    </xf>
    <xf numFmtId="0" fontId="20" fillId="0" borderId="5" xfId="21" applyFont="1" applyFill="1" applyBorder="1" applyAlignment="1" applyProtection="1">
      <alignment wrapText="1"/>
      <protection locked="0"/>
    </xf>
    <xf numFmtId="3" fontId="20" fillId="0" borderId="2" xfId="21" applyNumberFormat="1" applyFont="1" applyFill="1" applyBorder="1" applyAlignment="1" applyProtection="1">
      <alignment horizontal="right"/>
      <protection locked="0"/>
    </xf>
    <xf numFmtId="16" fontId="7" fillId="0" borderId="0" xfId="21" applyNumberFormat="1" applyFont="1" applyFill="1"/>
    <xf numFmtId="0" fontId="26" fillId="0" borderId="0" xfId="21" applyFont="1" applyFill="1" applyAlignment="1">
      <alignment wrapText="1"/>
    </xf>
    <xf numFmtId="0" fontId="87" fillId="0" borderId="0" xfId="21" applyFont="1" applyFill="1"/>
    <xf numFmtId="16" fontId="87" fillId="0" borderId="0" xfId="21" applyNumberFormat="1" applyFont="1" applyFill="1"/>
    <xf numFmtId="0" fontId="20" fillId="0" borderId="8" xfId="21" applyFont="1" applyFill="1" applyBorder="1" applyAlignment="1" applyProtection="1">
      <alignment wrapText="1"/>
      <protection locked="0"/>
    </xf>
    <xf numFmtId="3" fontId="20" fillId="0" borderId="2" xfId="21" applyNumberFormat="1" applyFont="1" applyFill="1" applyBorder="1" applyAlignment="1" applyProtection="1">
      <alignment horizontal="right" wrapText="1"/>
      <protection locked="0"/>
    </xf>
    <xf numFmtId="0" fontId="20" fillId="0" borderId="67" xfId="21" applyFont="1" applyFill="1" applyBorder="1" applyAlignment="1" applyProtection="1">
      <alignment wrapText="1"/>
      <protection locked="0"/>
    </xf>
    <xf numFmtId="3" fontId="20" fillId="0" borderId="1" xfId="21" applyNumberFormat="1" applyFont="1" applyFill="1" applyBorder="1" applyAlignment="1" applyProtection="1">
      <alignment horizontal="right"/>
      <protection locked="0"/>
    </xf>
    <xf numFmtId="0" fontId="20" fillId="0" borderId="2" xfId="21" applyFont="1" applyFill="1" applyBorder="1" applyAlignment="1" applyProtection="1">
      <alignment wrapText="1"/>
      <protection locked="0"/>
    </xf>
    <xf numFmtId="0" fontId="20" fillId="0" borderId="75" xfId="21" applyFont="1" applyFill="1" applyBorder="1" applyAlignment="1">
      <alignment horizontal="center" vertical="center"/>
    </xf>
    <xf numFmtId="0" fontId="35" fillId="0" borderId="33" xfId="21" applyFont="1" applyFill="1" applyBorder="1"/>
    <xf numFmtId="3" fontId="35" fillId="0" borderId="14" xfId="21" applyNumberFormat="1" applyFont="1" applyFill="1" applyBorder="1" applyAlignment="1">
      <alignment horizontal="right"/>
    </xf>
    <xf numFmtId="0" fontId="33" fillId="0" borderId="0" xfId="21" applyFont="1" applyFill="1"/>
    <xf numFmtId="14" fontId="7" fillId="0" borderId="0" xfId="21" applyNumberFormat="1" applyFont="1" applyFill="1" applyAlignment="1">
      <alignment horizontal="left"/>
    </xf>
    <xf numFmtId="0" fontId="38" fillId="0" borderId="0" xfId="21" applyFont="1" applyFill="1" applyBorder="1" applyAlignment="1">
      <alignment horizontal="center"/>
    </xf>
    <xf numFmtId="3" fontId="35" fillId="0" borderId="19" xfId="21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9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44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4" xfId="0" applyNumberFormat="1" applyFont="1" applyFill="1" applyBorder="1" applyAlignment="1" applyProtection="1">
      <alignment horizontal="right" vertical="center" wrapText="1"/>
    </xf>
    <xf numFmtId="165" fontId="81" fillId="7" borderId="14" xfId="0" applyNumberFormat="1" applyFont="1" applyFill="1" applyBorder="1" applyAlignment="1" applyProtection="1">
      <alignment horizontal="right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0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0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18" xfId="0" applyNumberFormat="1" applyFont="1" applyFill="1" applyBorder="1" applyAlignment="1">
      <alignment vertical="center" wrapText="1"/>
    </xf>
    <xf numFmtId="165" fontId="0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3" xfId="0" applyNumberFormat="1" applyFont="1" applyFill="1" applyBorder="1" applyAlignment="1">
      <alignment vertical="center" wrapText="1"/>
    </xf>
    <xf numFmtId="165" fontId="20" fillId="0" borderId="9" xfId="28" applyNumberFormat="1" applyFont="1" applyFill="1" applyBorder="1" applyAlignment="1" applyProtection="1">
      <alignment horizontal="right" vertical="center" wrapText="1"/>
      <protection locked="0"/>
    </xf>
    <xf numFmtId="165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20" xfId="0" applyNumberFormat="1" applyFont="1" applyFill="1" applyBorder="1" applyAlignment="1" applyProtection="1">
      <alignment vertical="center" wrapText="1"/>
    </xf>
    <xf numFmtId="165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23" xfId="0" applyNumberFormat="1" applyFont="1" applyFill="1" applyBorder="1" applyAlignment="1" applyProtection="1">
      <alignment vertical="center" wrapText="1"/>
    </xf>
    <xf numFmtId="165" fontId="0" fillId="0" borderId="23" xfId="0" applyNumberFormat="1" applyFont="1" applyFill="1" applyBorder="1" applyAlignment="1" applyProtection="1">
      <alignment vertical="center" wrapText="1"/>
    </xf>
    <xf numFmtId="165" fontId="0" fillId="0" borderId="39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2" xfId="0" applyNumberFormat="1" applyFont="1" applyFill="1" applyBorder="1" applyAlignment="1" applyProtection="1">
      <alignment vertical="center" wrapText="1"/>
    </xf>
    <xf numFmtId="165" fontId="90" fillId="0" borderId="14" xfId="0" applyNumberFormat="1" applyFont="1" applyFill="1" applyBorder="1" applyAlignment="1" applyProtection="1">
      <alignment horizontal="right" vertical="center" wrapText="1"/>
    </xf>
    <xf numFmtId="165" fontId="90" fillId="0" borderId="33" xfId="0" applyNumberFormat="1" applyFont="1" applyFill="1" applyBorder="1" applyAlignment="1" applyProtection="1">
      <alignment horizontal="right" vertical="center" wrapText="1"/>
    </xf>
    <xf numFmtId="165" fontId="90" fillId="0" borderId="19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Protection="1"/>
    <xf numFmtId="3" fontId="33" fillId="0" borderId="0" xfId="0" applyNumberFormat="1" applyFont="1" applyFill="1" applyBorder="1" applyAlignment="1" applyProtection="1">
      <alignment vertical="center"/>
    </xf>
    <xf numFmtId="3" fontId="32" fillId="0" borderId="0" xfId="0" applyNumberFormat="1" applyFont="1" applyFill="1" applyBorder="1" applyAlignment="1" applyProtection="1">
      <alignment vertical="center"/>
    </xf>
    <xf numFmtId="0" fontId="35" fillId="0" borderId="0" xfId="0" applyFont="1" applyFill="1" applyProtection="1"/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86" fillId="0" borderId="8" xfId="0" quotePrefix="1" applyNumberFormat="1" applyFont="1" applyFill="1" applyBorder="1" applyAlignment="1" applyProtection="1">
      <alignment horizontal="left" vertical="center" indent="1"/>
    </xf>
    <xf numFmtId="3" fontId="86" fillId="0" borderId="2" xfId="0" applyNumberFormat="1" applyFont="1" applyFill="1" applyBorder="1" applyAlignment="1" applyProtection="1">
      <alignment vertical="center"/>
      <protection locked="0"/>
    </xf>
    <xf numFmtId="3" fontId="8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Alignment="1">
      <alignment horizontal="center" vertical="center" wrapText="1"/>
    </xf>
    <xf numFmtId="3" fontId="70" fillId="0" borderId="0" xfId="0" applyNumberFormat="1" applyFont="1" applyFill="1"/>
    <xf numFmtId="3" fontId="33" fillId="0" borderId="19" xfId="0" applyNumberFormat="1" applyFont="1" applyFill="1" applyBorder="1" applyAlignment="1" applyProtection="1">
      <alignment vertical="center"/>
    </xf>
    <xf numFmtId="49" fontId="33" fillId="0" borderId="11" xfId="0" applyNumberFormat="1" applyFont="1" applyFill="1" applyBorder="1" applyAlignment="1" applyProtection="1">
      <alignment vertical="center"/>
    </xf>
    <xf numFmtId="3" fontId="33" fillId="0" borderId="4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7" fillId="0" borderId="8" xfId="0" quotePrefix="1" applyNumberFormat="1" applyFont="1" applyFill="1" applyBorder="1" applyAlignment="1" applyProtection="1">
      <alignment horizontal="left" vertical="center" indent="1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3" fontId="37" fillId="0" borderId="18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vertical="center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33" fillId="0" borderId="10" xfId="0" applyNumberFormat="1" applyFont="1" applyFill="1" applyBorder="1" applyAlignment="1" applyProtection="1">
      <alignment vertical="center"/>
      <protection locked="0"/>
    </xf>
    <xf numFmtId="3" fontId="33" fillId="0" borderId="6" xfId="0" applyNumberFormat="1" applyFont="1" applyFill="1" applyBorder="1" applyAlignment="1" applyProtection="1">
      <alignment vertical="center"/>
      <protection locked="0"/>
    </xf>
    <xf numFmtId="3" fontId="33" fillId="0" borderId="14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/>
    <xf numFmtId="0" fontId="0" fillId="0" borderId="0" xfId="0" applyFill="1" applyAlignment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7" fillId="0" borderId="0" xfId="23" applyFill="1" applyProtection="1">
      <protection locked="0"/>
    </xf>
    <xf numFmtId="0" fontId="33" fillId="0" borderId="8" xfId="0" applyFont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 wrapText="1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1" applyFill="1"/>
    <xf numFmtId="0" fontId="17" fillId="0" borderId="0" xfId="21" applyFont="1" applyFill="1"/>
    <xf numFmtId="3" fontId="26" fillId="0" borderId="0" xfId="0" applyNumberFormat="1" applyFont="1" applyFill="1" applyAlignment="1">
      <alignment vertical="center" wrapText="1"/>
    </xf>
    <xf numFmtId="3" fontId="26" fillId="0" borderId="0" xfId="0" applyNumberFormat="1" applyFont="1" applyFill="1" applyAlignment="1">
      <alignment horizontal="right" vertical="center" wrapText="1"/>
    </xf>
    <xf numFmtId="3" fontId="26" fillId="0" borderId="0" xfId="0" applyNumberFormat="1" applyFont="1" applyFill="1" applyAlignment="1" applyProtection="1">
      <alignment vertical="center" wrapText="1"/>
    </xf>
    <xf numFmtId="3" fontId="33" fillId="0" borderId="0" xfId="23" applyNumberFormat="1" applyFont="1" applyFill="1" applyProtection="1"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49" fontId="34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3" fontId="17" fillId="0" borderId="0" xfId="21" applyNumberFormat="1" applyFont="1" applyFill="1" applyAlignment="1">
      <alignment horizontal="right" indent="1"/>
    </xf>
    <xf numFmtId="0" fontId="0" fillId="0" borderId="0" xfId="0" applyNumberFormat="1" applyFill="1" applyAlignment="1">
      <alignment vertical="center" wrapText="1"/>
    </xf>
    <xf numFmtId="0" fontId="0" fillId="0" borderId="0" xfId="0" applyFont="1"/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3" fontId="33" fillId="0" borderId="0" xfId="0" applyNumberFormat="1" applyFont="1" applyFill="1" applyAlignment="1" applyProtection="1">
      <alignment vertical="center" wrapText="1"/>
    </xf>
    <xf numFmtId="0" fontId="8" fillId="0" borderId="0" xfId="20" applyFont="1" applyAlignment="1"/>
    <xf numFmtId="3" fontId="33" fillId="0" borderId="20" xfId="0" applyNumberFormat="1" applyFont="1" applyFill="1" applyBorder="1" applyAlignment="1" applyProtection="1">
      <alignment horizontal="right" vertical="center" indent="1"/>
      <protection locked="0"/>
    </xf>
    <xf numFmtId="0" fontId="88" fillId="0" borderId="2" xfId="18" applyFont="1" applyBorder="1" applyAlignment="1">
      <alignment horizontal="left" wrapText="1"/>
    </xf>
    <xf numFmtId="0" fontId="43" fillId="0" borderId="2" xfId="18" applyFont="1" applyBorder="1" applyAlignment="1">
      <alignment horizontal="left" wrapText="1"/>
    </xf>
    <xf numFmtId="170" fontId="117" fillId="0" borderId="0" xfId="18" applyNumberFormat="1" applyFont="1" applyAlignment="1">
      <alignment horizontal="right"/>
    </xf>
    <xf numFmtId="165" fontId="81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7" xfId="20" applyFont="1" applyBorder="1"/>
    <xf numFmtId="0" fontId="33" fillId="0" borderId="5" xfId="21" applyNumberFormat="1" applyFont="1" applyFill="1" applyBorder="1" applyAlignment="1" applyProtection="1">
      <alignment wrapText="1"/>
      <protection locked="0"/>
    </xf>
    <xf numFmtId="3" fontId="33" fillId="0" borderId="2" xfId="21" applyNumberFormat="1" applyFont="1" applyFill="1" applyBorder="1" applyAlignment="1" applyProtection="1">
      <alignment horizontal="center" vertical="center"/>
      <protection locked="0"/>
    </xf>
    <xf numFmtId="2" fontId="30" fillId="0" borderId="20" xfId="25" applyNumberFormat="1" applyFont="1" applyFill="1" applyBorder="1"/>
    <xf numFmtId="2" fontId="30" fillId="0" borderId="18" xfId="25" applyNumberFormat="1" applyFont="1" applyFill="1" applyBorder="1"/>
    <xf numFmtId="2" fontId="97" fillId="0" borderId="18" xfId="25" applyNumberFormat="1" applyFont="1" applyFill="1" applyBorder="1"/>
    <xf numFmtId="2" fontId="30" fillId="0" borderId="23" xfId="25" applyNumberFormat="1" applyFont="1" applyFill="1" applyBorder="1"/>
    <xf numFmtId="2" fontId="97" fillId="0" borderId="23" xfId="25" applyNumberFormat="1" applyFont="1" applyFill="1" applyBorder="1" applyAlignment="1">
      <alignment vertical="center"/>
    </xf>
    <xf numFmtId="2" fontId="30" fillId="0" borderId="23" xfId="25" applyNumberFormat="1" applyFont="1" applyBorder="1"/>
    <xf numFmtId="2" fontId="30" fillId="0" borderId="27" xfId="25" applyNumberFormat="1" applyFont="1" applyBorder="1"/>
    <xf numFmtId="2" fontId="31" fillId="0" borderId="17" xfId="25" applyNumberFormat="1" applyFont="1" applyFill="1" applyBorder="1"/>
    <xf numFmtId="2" fontId="98" fillId="0" borderId="18" xfId="25" applyNumberFormat="1" applyFont="1" applyFill="1" applyBorder="1"/>
    <xf numFmtId="2" fontId="98" fillId="0" borderId="40" xfId="25" applyNumberFormat="1" applyFont="1" applyFill="1" applyBorder="1"/>
    <xf numFmtId="2" fontId="31" fillId="0" borderId="19" xfId="25" applyNumberFormat="1" applyFont="1" applyBorder="1"/>
    <xf numFmtId="171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1" fontId="24" fillId="0" borderId="27" xfId="0" applyNumberFormat="1" applyFont="1" applyFill="1" applyBorder="1" applyAlignment="1">
      <alignment horizontal="right" vertical="center" wrapText="1"/>
    </xf>
    <xf numFmtId="3" fontId="82" fillId="0" borderId="8" xfId="19" applyNumberFormat="1" applyFont="1" applyBorder="1"/>
    <xf numFmtId="0" fontId="0" fillId="0" borderId="2" xfId="0" applyBorder="1" applyAlignment="1">
      <alignment wrapText="1"/>
    </xf>
    <xf numFmtId="3" fontId="74" fillId="0" borderId="2" xfId="19" applyNumberFormat="1" applyFont="1" applyBorder="1"/>
    <xf numFmtId="0" fontId="0" fillId="0" borderId="11" xfId="0" quotePrefix="1" applyBorder="1"/>
    <xf numFmtId="0" fontId="0" fillId="0" borderId="4" xfId="0" applyBorder="1" applyAlignment="1">
      <alignment wrapText="1"/>
    </xf>
    <xf numFmtId="0" fontId="0" fillId="0" borderId="8" xfId="0" quotePrefix="1" applyBorder="1"/>
    <xf numFmtId="0" fontId="0" fillId="0" borderId="12" xfId="0" quotePrefix="1" applyBorder="1"/>
    <xf numFmtId="0" fontId="0" fillId="0" borderId="2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3" fontId="34" fillId="0" borderId="8" xfId="19" applyNumberFormat="1" applyFont="1" applyBorder="1"/>
    <xf numFmtId="3" fontId="34" fillId="0" borderId="26" xfId="19" applyNumberFormat="1" applyFont="1" applyBorder="1"/>
    <xf numFmtId="3" fontId="25" fillId="0" borderId="27" xfId="19" applyNumberFormat="1" applyFont="1" applyBorder="1"/>
    <xf numFmtId="3" fontId="58" fillId="0" borderId="12" xfId="19" applyNumberFormat="1" applyFont="1" applyBorder="1"/>
    <xf numFmtId="0" fontId="17" fillId="0" borderId="0" xfId="21" applyFont="1" applyFill="1" applyProtection="1"/>
    <xf numFmtId="0" fontId="17" fillId="0" borderId="0" xfId="21" applyFont="1" applyFill="1" applyAlignment="1" applyProtection="1">
      <alignment horizontal="right" vertical="center" indent="1"/>
    </xf>
    <xf numFmtId="0" fontId="17" fillId="0" borderId="0" xfId="21" applyFill="1" applyProtection="1"/>
    <xf numFmtId="0" fontId="48" fillId="0" borderId="0" xfId="18"/>
    <xf numFmtId="0" fontId="48" fillId="0" borderId="0" xfId="19"/>
    <xf numFmtId="3" fontId="40" fillId="0" borderId="5" xfId="19" applyNumberFormat="1" applyFont="1" applyBorder="1"/>
    <xf numFmtId="3" fontId="40" fillId="0" borderId="2" xfId="19" applyNumberFormat="1" applyFont="1" applyBorder="1"/>
    <xf numFmtId="3" fontId="13" fillId="0" borderId="38" xfId="19" applyNumberFormat="1" applyFont="1" applyBorder="1"/>
    <xf numFmtId="3" fontId="40" fillId="0" borderId="8" xfId="19" applyNumberFormat="1" applyFont="1" applyBorder="1"/>
    <xf numFmtId="3" fontId="34" fillId="0" borderId="18" xfId="19" applyNumberFormat="1" applyFont="1" applyBorder="1"/>
    <xf numFmtId="3" fontId="40" fillId="0" borderId="74" xfId="19" applyNumberFormat="1" applyFont="1" applyBorder="1"/>
    <xf numFmtId="3" fontId="40" fillId="0" borderId="6" xfId="19" applyNumberFormat="1" applyFont="1" applyBorder="1"/>
    <xf numFmtId="3" fontId="34" fillId="0" borderId="23" xfId="19" applyNumberFormat="1" applyFont="1" applyBorder="1"/>
    <xf numFmtId="3" fontId="40" fillId="0" borderId="10" xfId="19" applyNumberFormat="1" applyFont="1" applyBorder="1"/>
    <xf numFmtId="3" fontId="23" fillId="0" borderId="0" xfId="19" applyNumberFormat="1" applyFont="1" applyBorder="1"/>
    <xf numFmtId="0" fontId="48" fillId="0" borderId="0" xfId="19" applyFont="1"/>
    <xf numFmtId="165" fontId="32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3" fontId="34" fillId="0" borderId="20" xfId="19" applyNumberFormat="1" applyFont="1" applyBorder="1"/>
    <xf numFmtId="0" fontId="0" fillId="0" borderId="53" xfId="0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0" fontId="43" fillId="0" borderId="2" xfId="18" applyFont="1" applyBorder="1" applyAlignment="1">
      <alignment horizontal="left"/>
    </xf>
    <xf numFmtId="0" fontId="7" fillId="0" borderId="2" xfId="18" applyFont="1" applyBorder="1" applyAlignment="1">
      <alignment horizontal="left"/>
    </xf>
    <xf numFmtId="0" fontId="7" fillId="0" borderId="2" xfId="18" applyFont="1" applyBorder="1" applyAlignment="1">
      <alignment horizontal="left" wrapText="1"/>
    </xf>
    <xf numFmtId="0" fontId="100" fillId="0" borderId="2" xfId="18" applyFont="1" applyBorder="1" applyAlignment="1">
      <alignment horizontal="left"/>
    </xf>
    <xf numFmtId="49" fontId="48" fillId="0" borderId="8" xfId="18" applyNumberFormat="1" applyBorder="1"/>
    <xf numFmtId="49" fontId="48" fillId="0" borderId="10" xfId="18" applyNumberFormat="1" applyBorder="1"/>
    <xf numFmtId="0" fontId="43" fillId="0" borderId="6" xfId="18" applyFont="1" applyBorder="1" applyAlignment="1">
      <alignment horizontal="left" wrapText="1"/>
    </xf>
    <xf numFmtId="49" fontId="48" fillId="0" borderId="13" xfId="18" applyNumberFormat="1" applyBorder="1"/>
    <xf numFmtId="0" fontId="101" fillId="0" borderId="14" xfId="18" applyFont="1" applyBorder="1" applyAlignment="1">
      <alignment horizontal="left"/>
    </xf>
    <xf numFmtId="49" fontId="48" fillId="0" borderId="9" xfId="18" applyNumberFormat="1" applyBorder="1"/>
    <xf numFmtId="0" fontId="43" fillId="0" borderId="3" xfId="18" applyFont="1" applyBorder="1" applyAlignment="1">
      <alignment horizontal="left" wrapText="1"/>
    </xf>
    <xf numFmtId="0" fontId="88" fillId="0" borderId="14" xfId="18" applyFont="1" applyBorder="1" applyAlignment="1">
      <alignment horizontal="left" wrapText="1"/>
    </xf>
    <xf numFmtId="0" fontId="100" fillId="0" borderId="6" xfId="18" applyFont="1" applyBorder="1" applyAlignment="1">
      <alignment horizontal="left"/>
    </xf>
    <xf numFmtId="0" fontId="7" fillId="0" borderId="3" xfId="18" applyFont="1" applyBorder="1" applyAlignment="1">
      <alignment horizontal="left" wrapText="1"/>
    </xf>
    <xf numFmtId="170" fontId="118" fillId="0" borderId="23" xfId="18" applyNumberFormat="1" applyFont="1" applyFill="1" applyBorder="1" applyAlignment="1">
      <alignment horizontal="right" indent="2"/>
    </xf>
    <xf numFmtId="0" fontId="0" fillId="0" borderId="0" xfId="0" applyFill="1" applyProtection="1"/>
    <xf numFmtId="0" fontId="0" fillId="0" borderId="0" xfId="0" applyFill="1"/>
    <xf numFmtId="0" fontId="0" fillId="0" borderId="0" xfId="0" applyFont="1" applyFill="1"/>
    <xf numFmtId="0" fontId="72" fillId="0" borderId="0" xfId="0" applyFont="1" applyFill="1" applyProtection="1"/>
    <xf numFmtId="0" fontId="108" fillId="0" borderId="15" xfId="0" applyFont="1" applyFill="1" applyBorder="1" applyAlignment="1" applyProtection="1">
      <alignment vertical="center"/>
    </xf>
    <xf numFmtId="0" fontId="108" fillId="0" borderId="16" xfId="0" applyFont="1" applyFill="1" applyBorder="1" applyAlignment="1" applyProtection="1">
      <alignment horizontal="center" vertical="center"/>
    </xf>
    <xf numFmtId="0" fontId="108" fillId="0" borderId="28" xfId="0" applyFont="1" applyFill="1" applyBorder="1" applyAlignment="1" applyProtection="1">
      <alignment horizontal="center" vertical="center"/>
    </xf>
    <xf numFmtId="49" fontId="69" fillId="0" borderId="11" xfId="0" applyNumberFormat="1" applyFont="1" applyFill="1" applyBorder="1" applyAlignment="1" applyProtection="1">
      <alignment vertical="center"/>
    </xf>
    <xf numFmtId="3" fontId="69" fillId="0" borderId="4" xfId="0" applyNumberFormat="1" applyFont="1" applyFill="1" applyBorder="1" applyAlignment="1" applyProtection="1">
      <alignment vertical="center"/>
      <protection locked="0"/>
    </xf>
    <xf numFmtId="3" fontId="69" fillId="0" borderId="17" xfId="0" applyNumberFormat="1" applyFont="1" applyFill="1" applyBorder="1" applyAlignment="1" applyProtection="1">
      <alignment vertical="center"/>
    </xf>
    <xf numFmtId="49" fontId="92" fillId="0" borderId="8" xfId="0" quotePrefix="1" applyNumberFormat="1" applyFont="1" applyFill="1" applyBorder="1" applyAlignment="1" applyProtection="1">
      <alignment horizontal="left" vertical="center" indent="1"/>
    </xf>
    <xf numFmtId="3" fontId="92" fillId="0" borderId="2" xfId="0" applyNumberFormat="1" applyFont="1" applyFill="1" applyBorder="1" applyAlignment="1" applyProtection="1">
      <alignment vertical="center"/>
      <protection locked="0"/>
    </xf>
    <xf numFmtId="3" fontId="92" fillId="0" borderId="18" xfId="0" applyNumberFormat="1" applyFont="1" applyFill="1" applyBorder="1" applyAlignment="1" applyProtection="1">
      <alignment vertical="center"/>
    </xf>
    <xf numFmtId="49" fontId="69" fillId="0" borderId="8" xfId="0" applyNumberFormat="1" applyFont="1" applyFill="1" applyBorder="1" applyAlignment="1" applyProtection="1">
      <alignment vertical="center"/>
    </xf>
    <xf numFmtId="3" fontId="69" fillId="0" borderId="2" xfId="0" applyNumberFormat="1" applyFont="1" applyFill="1" applyBorder="1" applyAlignment="1" applyProtection="1">
      <alignment vertical="center"/>
      <protection locked="0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9" fillId="0" borderId="18" xfId="0" applyNumberFormat="1" applyFont="1" applyFill="1" applyBorder="1" applyAlignment="1" applyProtection="1">
      <alignment vertical="center"/>
    </xf>
    <xf numFmtId="49" fontId="69" fillId="0" borderId="10" xfId="0" applyNumberFormat="1" applyFont="1" applyFill="1" applyBorder="1" applyAlignment="1" applyProtection="1">
      <alignment vertical="center"/>
      <protection locked="0"/>
    </xf>
    <xf numFmtId="3" fontId="69" fillId="0" borderId="6" xfId="0" applyNumberFormat="1" applyFont="1" applyFill="1" applyBorder="1" applyAlignment="1" applyProtection="1">
      <alignment vertical="center"/>
      <protection locked="0"/>
    </xf>
    <xf numFmtId="49" fontId="108" fillId="0" borderId="13" xfId="0" applyNumberFormat="1" applyFont="1" applyFill="1" applyBorder="1" applyAlignment="1" applyProtection="1">
      <alignment vertical="center"/>
    </xf>
    <xf numFmtId="3" fontId="69" fillId="0" borderId="14" xfId="0" applyNumberFormat="1" applyFont="1" applyFill="1" applyBorder="1" applyAlignment="1" applyProtection="1">
      <alignment vertical="center"/>
    </xf>
    <xf numFmtId="3" fontId="69" fillId="0" borderId="19" xfId="0" applyNumberFormat="1" applyFont="1" applyFill="1" applyBorder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49" fontId="69" fillId="0" borderId="8" xfId="0" applyNumberFormat="1" applyFont="1" applyFill="1" applyBorder="1" applyAlignment="1" applyProtection="1">
      <alignment horizontal="left" vertical="center"/>
    </xf>
    <xf numFmtId="49" fontId="69" fillId="0" borderId="8" xfId="0" applyNumberFormat="1" applyFont="1" applyFill="1" applyBorder="1" applyAlignment="1" applyProtection="1">
      <alignment vertical="center"/>
      <protection locked="0"/>
    </xf>
    <xf numFmtId="165" fontId="0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6" fillId="0" borderId="18" xfId="21" applyNumberFormat="1" applyFont="1" applyFill="1" applyBorder="1" applyAlignment="1" applyProtection="1">
      <alignment horizontal="right" vertical="center" wrapText="1" indent="1"/>
    </xf>
    <xf numFmtId="165" fontId="66" fillId="0" borderId="20" xfId="21" applyNumberFormat="1" applyFont="1" applyFill="1" applyBorder="1" applyAlignment="1" applyProtection="1">
      <alignment horizontal="center" vertical="center" wrapText="1"/>
    </xf>
    <xf numFmtId="165" fontId="6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23" applyNumberFormat="1" applyFont="1" applyFill="1" applyBorder="1" applyAlignment="1" applyProtection="1">
      <alignment vertical="center"/>
    </xf>
    <xf numFmtId="3" fontId="73" fillId="0" borderId="21" xfId="26" applyNumberFormat="1" applyFont="1" applyBorder="1" applyAlignment="1">
      <alignment horizontal="right"/>
    </xf>
    <xf numFmtId="165" fontId="66" fillId="0" borderId="17" xfId="21" applyNumberFormat="1" applyFont="1" applyFill="1" applyBorder="1" applyAlignment="1" applyProtection="1">
      <alignment horizontal="righ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1"/>
    </xf>
    <xf numFmtId="0" fontId="67" fillId="0" borderId="0" xfId="0" applyFont="1" applyFill="1" applyProtection="1"/>
    <xf numFmtId="0" fontId="74" fillId="0" borderId="15" xfId="0" applyFont="1" applyFill="1" applyBorder="1" applyAlignment="1" applyProtection="1">
      <alignment vertical="center"/>
    </xf>
    <xf numFmtId="0" fontId="74" fillId="0" borderId="16" xfId="0" applyFont="1" applyFill="1" applyBorder="1" applyAlignment="1" applyProtection="1">
      <alignment horizontal="center" vertical="center"/>
    </xf>
    <xf numFmtId="0" fontId="74" fillId="0" borderId="28" xfId="0" applyFont="1" applyFill="1" applyBorder="1" applyAlignment="1" applyProtection="1">
      <alignment horizontal="center" vertical="center"/>
    </xf>
    <xf numFmtId="49" fontId="66" fillId="0" borderId="11" xfId="0" applyNumberFormat="1" applyFont="1" applyFill="1" applyBorder="1" applyAlignment="1" applyProtection="1">
      <alignment vertical="center"/>
    </xf>
    <xf numFmtId="3" fontId="66" fillId="0" borderId="4" xfId="0" applyNumberFormat="1" applyFont="1" applyFill="1" applyBorder="1" applyAlignment="1" applyProtection="1">
      <alignment vertical="center"/>
      <protection locked="0"/>
    </xf>
    <xf numFmtId="3" fontId="66" fillId="0" borderId="17" xfId="0" applyNumberFormat="1" applyFont="1" applyFill="1" applyBorder="1" applyAlignment="1" applyProtection="1">
      <alignment vertical="center"/>
    </xf>
    <xf numFmtId="49" fontId="123" fillId="0" borderId="8" xfId="0" quotePrefix="1" applyNumberFormat="1" applyFont="1" applyFill="1" applyBorder="1" applyAlignment="1" applyProtection="1">
      <alignment horizontal="left" vertical="center" indent="1"/>
    </xf>
    <xf numFmtId="3" fontId="123" fillId="0" borderId="2" xfId="0" applyNumberFormat="1" applyFont="1" applyFill="1" applyBorder="1" applyAlignment="1" applyProtection="1">
      <alignment vertical="center"/>
      <protection locked="0"/>
    </xf>
    <xf numFmtId="3" fontId="123" fillId="0" borderId="18" xfId="0" applyNumberFormat="1" applyFont="1" applyFill="1" applyBorder="1" applyAlignment="1" applyProtection="1">
      <alignment vertical="center"/>
    </xf>
    <xf numFmtId="49" fontId="66" fillId="0" borderId="8" xfId="0" applyNumberFormat="1" applyFont="1" applyFill="1" applyBorder="1" applyAlignment="1" applyProtection="1">
      <alignment vertical="center"/>
    </xf>
    <xf numFmtId="3" fontId="66" fillId="0" borderId="18" xfId="0" applyNumberFormat="1" applyFont="1" applyFill="1" applyBorder="1" applyAlignment="1" applyProtection="1">
      <alignment vertical="center"/>
    </xf>
    <xf numFmtId="49" fontId="66" fillId="0" borderId="10" xfId="0" applyNumberFormat="1" applyFont="1" applyFill="1" applyBorder="1" applyAlignment="1" applyProtection="1">
      <alignment vertical="center"/>
      <protection locked="0"/>
    </xf>
    <xf numFmtId="3" fontId="66" fillId="0" borderId="6" xfId="0" applyNumberFormat="1" applyFont="1" applyFill="1" applyBorder="1" applyAlignment="1" applyProtection="1">
      <alignment vertical="center"/>
      <protection locked="0"/>
    </xf>
    <xf numFmtId="49" fontId="74" fillId="0" borderId="13" xfId="0" applyNumberFormat="1" applyFont="1" applyFill="1" applyBorder="1" applyAlignment="1" applyProtection="1">
      <alignment vertical="center"/>
    </xf>
    <xf numFmtId="3" fontId="66" fillId="0" borderId="14" xfId="0" applyNumberFormat="1" applyFont="1" applyFill="1" applyBorder="1" applyAlignment="1" applyProtection="1">
      <alignment vertical="center"/>
    </xf>
    <xf numFmtId="3" fontId="66" fillId="0" borderId="19" xfId="0" applyNumberFormat="1" applyFont="1" applyFill="1" applyBorder="1" applyAlignment="1" applyProtection="1">
      <alignment vertical="center"/>
    </xf>
    <xf numFmtId="0" fontId="67" fillId="0" borderId="0" xfId="0" applyFont="1" applyFill="1" applyAlignment="1" applyProtection="1">
      <alignment vertical="center"/>
    </xf>
    <xf numFmtId="49" fontId="66" fillId="0" borderId="8" xfId="0" applyNumberFormat="1" applyFont="1" applyFill="1" applyBorder="1" applyAlignment="1" applyProtection="1">
      <alignment horizontal="left" vertical="center"/>
    </xf>
    <xf numFmtId="49" fontId="66" fillId="0" borderId="8" xfId="0" applyNumberFormat="1" applyFont="1" applyFill="1" applyBorder="1" applyAlignment="1" applyProtection="1">
      <alignment vertical="center"/>
      <protection locked="0"/>
    </xf>
    <xf numFmtId="165" fontId="8" fillId="0" borderId="0" xfId="0" applyNumberFormat="1" applyFont="1" applyFill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</xf>
    <xf numFmtId="165" fontId="6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55" xfId="21" applyFont="1" applyFill="1" applyBorder="1" applyProtection="1"/>
    <xf numFmtId="166" fontId="66" fillId="0" borderId="32" xfId="26" applyNumberFormat="1" applyFont="1" applyFill="1" applyBorder="1" applyProtection="1">
      <protection locked="0"/>
    </xf>
    <xf numFmtId="0" fontId="124" fillId="0" borderId="2" xfId="21" applyFont="1" applyFill="1" applyBorder="1" applyAlignment="1" applyProtection="1">
      <alignment horizontal="left" wrapText="1"/>
      <protection locked="0"/>
    </xf>
    <xf numFmtId="166" fontId="67" fillId="0" borderId="32" xfId="26" applyNumberFormat="1" applyFont="1" applyBorder="1" applyAlignment="1"/>
    <xf numFmtId="0" fontId="43" fillId="0" borderId="2" xfId="18" applyFont="1" applyBorder="1" applyAlignment="1">
      <alignment horizontal="left" vertical="center" wrapText="1"/>
    </xf>
    <xf numFmtId="3" fontId="74" fillId="0" borderId="8" xfId="19" applyNumberFormat="1" applyFont="1" applyBorder="1"/>
    <xf numFmtId="3" fontId="74" fillId="0" borderId="10" xfId="19" applyNumberFormat="1" applyFont="1" applyBorder="1"/>
    <xf numFmtId="3" fontId="74" fillId="0" borderId="0" xfId="19" applyNumberFormat="1" applyFont="1" applyBorder="1"/>
    <xf numFmtId="3" fontId="74" fillId="0" borderId="4" xfId="19" applyNumberFormat="1" applyFont="1" applyBorder="1"/>
    <xf numFmtId="3" fontId="74" fillId="0" borderId="38" xfId="19" applyNumberFormat="1" applyFont="1" applyBorder="1"/>
    <xf numFmtId="3" fontId="82" fillId="0" borderId="61" xfId="19" applyNumberFormat="1" applyFont="1" applyBorder="1"/>
    <xf numFmtId="3" fontId="74" fillId="0" borderId="55" xfId="19" applyNumberFormat="1" applyFont="1" applyBorder="1"/>
    <xf numFmtId="170" fontId="21" fillId="0" borderId="19" xfId="18" applyNumberFormat="1" applyFont="1" applyBorder="1" applyAlignment="1">
      <alignment horizontal="right" indent="2"/>
    </xf>
    <xf numFmtId="165" fontId="33" fillId="0" borderId="23" xfId="21" applyNumberFormat="1" applyFont="1" applyFill="1" applyBorder="1" applyAlignment="1" applyProtection="1">
      <alignment horizontal="right" vertical="center" wrapText="1" indent="1"/>
    </xf>
    <xf numFmtId="165" fontId="6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125" fillId="0" borderId="18" xfId="0" applyNumberFormat="1" applyFont="1" applyFill="1" applyBorder="1" applyAlignment="1" applyProtection="1">
      <alignment vertical="center" wrapText="1"/>
    </xf>
    <xf numFmtId="165" fontId="67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67" fillId="0" borderId="2" xfId="0" applyNumberFormat="1" applyFont="1" applyFill="1" applyBorder="1" applyAlignment="1" applyProtection="1">
      <alignment vertical="center" wrapText="1"/>
      <protection locked="0"/>
    </xf>
    <xf numFmtId="165" fontId="67" fillId="0" borderId="2" xfId="28" applyNumberFormat="1" applyFont="1" applyFill="1" applyBorder="1" applyAlignment="1" applyProtection="1">
      <alignment vertical="center" wrapText="1"/>
      <protection locked="0"/>
    </xf>
    <xf numFmtId="165" fontId="33" fillId="0" borderId="19" xfId="0" applyNumberFormat="1" applyFont="1" applyFill="1" applyBorder="1" applyAlignment="1" applyProtection="1">
      <alignment horizontal="right" vertical="center" wrapText="1" indent="1"/>
    </xf>
    <xf numFmtId="3" fontId="24" fillId="0" borderId="22" xfId="26" applyNumberFormat="1" applyFont="1" applyBorder="1" applyAlignment="1">
      <alignment horizontal="right"/>
    </xf>
    <xf numFmtId="16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0" applyNumberFormat="1" applyFont="1" applyFill="1" applyBorder="1" applyAlignment="1" applyProtection="1">
      <alignment horizontal="right" vertical="center" wrapText="1" indent="1"/>
    </xf>
    <xf numFmtId="165" fontId="32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25" applyNumberFormat="1" applyFont="1" applyBorder="1" applyAlignment="1">
      <alignment horizontal="right"/>
    </xf>
    <xf numFmtId="3" fontId="66" fillId="0" borderId="2" xfId="26" quotePrefix="1" applyNumberFormat="1" applyFont="1" applyBorder="1" applyAlignment="1">
      <alignment horizontal="right"/>
    </xf>
    <xf numFmtId="3" fontId="68" fillId="0" borderId="2" xfId="25" applyNumberFormat="1" applyFont="1" applyBorder="1" applyAlignment="1">
      <alignment horizontal="right"/>
    </xf>
    <xf numFmtId="3" fontId="68" fillId="0" borderId="2" xfId="26" applyNumberFormat="1" applyFont="1" applyBorder="1" applyAlignment="1">
      <alignment horizontal="right"/>
    </xf>
    <xf numFmtId="165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36" xfId="26" applyNumberFormat="1" applyFont="1" applyBorder="1" applyAlignment="1"/>
    <xf numFmtId="3" fontId="66" fillId="0" borderId="2" xfId="25" applyNumberFormat="1" applyFont="1" applyBorder="1" applyAlignment="1">
      <alignment horizontal="right"/>
    </xf>
    <xf numFmtId="165" fontId="6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2" xfId="21" applyNumberFormat="1" applyFont="1" applyFill="1" applyBorder="1" applyAlignment="1" applyProtection="1">
      <alignment horizontal="right" vertical="center" wrapText="1" indent="1"/>
    </xf>
    <xf numFmtId="165" fontId="6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23" applyNumberFormat="1" applyFont="1" applyFill="1" applyBorder="1" applyAlignment="1" applyProtection="1">
      <alignment vertical="center"/>
    </xf>
    <xf numFmtId="0" fontId="43" fillId="0" borderId="1" xfId="18" applyFont="1" applyBorder="1" applyAlignment="1">
      <alignment horizontal="left" wrapText="1"/>
    </xf>
    <xf numFmtId="170" fontId="118" fillId="0" borderId="18" xfId="18" applyNumberFormat="1" applyFont="1" applyFill="1" applyBorder="1" applyAlignment="1">
      <alignment horizontal="right" indent="2"/>
    </xf>
    <xf numFmtId="49" fontId="48" fillId="0" borderId="7" xfId="18" applyNumberFormat="1" applyFont="1" applyBorder="1"/>
    <xf numFmtId="49" fontId="65" fillId="0" borderId="13" xfId="18" applyNumberFormat="1" applyFont="1" applyBorder="1"/>
    <xf numFmtId="0" fontId="0" fillId="0" borderId="47" xfId="0" quotePrefix="1" applyFont="1" applyBorder="1"/>
    <xf numFmtId="0" fontId="0" fillId="0" borderId="36" xfId="0" applyFont="1" applyBorder="1" applyAlignment="1">
      <alignment wrapText="1"/>
    </xf>
    <xf numFmtId="3" fontId="126" fillId="0" borderId="5" xfId="19" applyNumberFormat="1" applyFont="1" applyBorder="1"/>
    <xf numFmtId="3" fontId="126" fillId="0" borderId="2" xfId="19" applyNumberFormat="1" applyFont="1" applyBorder="1"/>
    <xf numFmtId="0" fontId="0" fillId="0" borderId="46" xfId="0" quotePrefix="1" applyFont="1" applyBorder="1" applyAlignment="1">
      <alignment vertical="center" wrapText="1"/>
    </xf>
    <xf numFmtId="0" fontId="0" fillId="0" borderId="57" xfId="0" applyFont="1" applyBorder="1" applyAlignment="1">
      <alignment vertical="center" wrapText="1"/>
    </xf>
    <xf numFmtId="0" fontId="0" fillId="0" borderId="47" xfId="0" quotePrefix="1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165" fontId="39" fillId="0" borderId="24" xfId="21" applyNumberFormat="1" applyFont="1" applyFill="1" applyBorder="1" applyAlignment="1" applyProtection="1">
      <alignment horizontal="left" vertical="center"/>
    </xf>
    <xf numFmtId="0" fontId="21" fillId="0" borderId="0" xfId="0" applyFont="1" applyAlignment="1">
      <alignment horizontal="center" wrapText="1"/>
    </xf>
    <xf numFmtId="0" fontId="0" fillId="0" borderId="0" xfId="0" applyFill="1" applyAlignment="1">
      <alignment horizontal="right" vertical="center" wrapText="1"/>
    </xf>
    <xf numFmtId="0" fontId="17" fillId="0" borderId="0" xfId="23" applyFill="1" applyAlignment="1" applyProtection="1">
      <alignment horizontal="right"/>
    </xf>
    <xf numFmtId="0" fontId="28" fillId="0" borderId="0" xfId="0" applyFont="1" applyAlignment="1">
      <alignment horizontal="center" wrapText="1"/>
    </xf>
    <xf numFmtId="0" fontId="33" fillId="0" borderId="16" xfId="21" applyFont="1" applyFill="1" applyBorder="1" applyAlignment="1" applyProtection="1">
      <alignment horizontal="center" vertical="center" wrapText="1"/>
    </xf>
    <xf numFmtId="0" fontId="16" fillId="0" borderId="0" xfId="48" applyFont="1" applyFill="1" applyBorder="1" applyAlignment="1" applyProtection="1"/>
    <xf numFmtId="3" fontId="20" fillId="0" borderId="2" xfId="49" applyNumberFormat="1" applyFont="1" applyFill="1" applyBorder="1" applyAlignment="1" applyProtection="1">
      <alignment horizontal="right"/>
      <protection locked="0"/>
    </xf>
    <xf numFmtId="3" fontId="35" fillId="0" borderId="20" xfId="49" applyNumberFormat="1" applyFont="1" applyFill="1" applyBorder="1" applyAlignment="1">
      <alignment horizontal="right"/>
    </xf>
    <xf numFmtId="3" fontId="20" fillId="0" borderId="5" xfId="49" applyNumberFormat="1" applyFont="1" applyFill="1" applyBorder="1" applyAlignment="1" applyProtection="1">
      <alignment horizontal="right"/>
      <protection locked="0"/>
    </xf>
    <xf numFmtId="3" fontId="20" fillId="0" borderId="67" xfId="49" applyNumberFormat="1" applyFont="1" applyFill="1" applyBorder="1" applyAlignment="1" applyProtection="1">
      <alignment horizontal="right"/>
      <protection locked="0"/>
    </xf>
    <xf numFmtId="3" fontId="20" fillId="0" borderId="1" xfId="49" applyNumberFormat="1" applyFont="1" applyFill="1" applyBorder="1" applyAlignment="1" applyProtection="1">
      <alignment horizontal="right"/>
      <protection locked="0"/>
    </xf>
    <xf numFmtId="3" fontId="69" fillId="0" borderId="2" xfId="25" applyNumberFormat="1" applyFont="1" applyBorder="1" applyAlignment="1">
      <alignment horizontal="right"/>
    </xf>
    <xf numFmtId="0" fontId="13" fillId="0" borderId="37" xfId="50" applyNumberFormat="1" applyFont="1" applyFill="1" applyBorder="1" applyAlignment="1" applyProtection="1">
      <alignment horizontal="center" vertical="center"/>
    </xf>
    <xf numFmtId="0" fontId="13" fillId="0" borderId="22" xfId="50" applyNumberFormat="1" applyFont="1" applyFill="1" applyBorder="1" applyAlignment="1" applyProtection="1">
      <alignment horizontal="center" vertical="center" wrapText="1"/>
    </xf>
    <xf numFmtId="165" fontId="24" fillId="0" borderId="63" xfId="50" applyNumberFormat="1" applyFont="1" applyFill="1" applyBorder="1" applyAlignment="1" applyProtection="1">
      <alignment horizontal="center" vertical="center" wrapText="1"/>
    </xf>
    <xf numFmtId="0" fontId="24" fillId="0" borderId="61" xfId="50" applyNumberFormat="1" applyFont="1" applyFill="1" applyBorder="1" applyAlignment="1" applyProtection="1">
      <alignment horizontal="center" vertical="center" wrapText="1"/>
    </xf>
    <xf numFmtId="0" fontId="24" fillId="0" borderId="62" xfId="50" applyNumberFormat="1" applyFont="1" applyFill="1" applyBorder="1" applyAlignment="1" applyProtection="1">
      <alignment horizontal="center" vertical="center" wrapText="1"/>
    </xf>
    <xf numFmtId="165" fontId="24" fillId="0" borderId="61" xfId="50" applyNumberFormat="1" applyFont="1" applyFill="1" applyBorder="1" applyAlignment="1" applyProtection="1">
      <alignment horizontal="center" vertical="center" wrapText="1"/>
    </xf>
    <xf numFmtId="165" fontId="24" fillId="0" borderId="62" xfId="50" applyNumberFormat="1" applyFont="1" applyFill="1" applyBorder="1" applyAlignment="1" applyProtection="1">
      <alignment horizontal="center" vertical="center" wrapText="1"/>
    </xf>
    <xf numFmtId="165" fontId="24" fillId="0" borderId="28" xfId="50" applyNumberFormat="1" applyFont="1" applyFill="1" applyBorder="1" applyAlignment="1" applyProtection="1">
      <alignment horizontal="center" vertical="center" wrapText="1"/>
    </xf>
    <xf numFmtId="165" fontId="24" fillId="0" borderId="38" xfId="50" applyNumberFormat="1" applyFont="1" applyFill="1" applyBorder="1" applyAlignment="1" applyProtection="1">
      <alignment horizontal="center" vertical="center" wrapText="1"/>
    </xf>
    <xf numFmtId="165" fontId="24" fillId="0" borderId="58" xfId="50" applyNumberFormat="1" applyFont="1" applyFill="1" applyBorder="1" applyAlignment="1" applyProtection="1">
      <alignment horizontal="center" vertical="center" wrapText="1"/>
    </xf>
    <xf numFmtId="0" fontId="24" fillId="0" borderId="55" xfId="50" applyNumberFormat="1" applyFont="1" applyFill="1" applyBorder="1" applyAlignment="1" applyProtection="1">
      <alignment vertical="center" wrapText="1"/>
    </xf>
    <xf numFmtId="0" fontId="26" fillId="0" borderId="4" xfId="5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" xfId="50" applyNumberFormat="1" applyFont="1" applyFill="1" applyBorder="1" applyAlignment="1" applyProtection="1">
      <alignment horizontal="center" vertical="center" wrapText="1"/>
      <protection locked="0"/>
    </xf>
    <xf numFmtId="3" fontId="32" fillId="0" borderId="17" xfId="50" applyNumberFormat="1" applyFont="1" applyFill="1" applyBorder="1" applyAlignment="1" applyProtection="1">
      <alignment horizontal="center" vertical="center" wrapText="1"/>
    </xf>
    <xf numFmtId="165" fontId="24" fillId="0" borderId="75" xfId="50" applyNumberFormat="1" applyFont="1" applyFill="1" applyBorder="1" applyAlignment="1" applyProtection="1">
      <alignment horizontal="center" vertical="center" wrapText="1"/>
    </xf>
    <xf numFmtId="0" fontId="33" fillId="0" borderId="54" xfId="50" applyNumberFormat="1" applyFont="1" applyFill="1" applyBorder="1" applyAlignment="1" applyProtection="1">
      <alignment vertical="center" wrapText="1"/>
    </xf>
    <xf numFmtId="0" fontId="26" fillId="0" borderId="21" xfId="5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21" xfId="50" applyNumberFormat="1" applyFont="1" applyFill="1" applyBorder="1" applyAlignment="1" applyProtection="1">
      <alignment horizontal="center" vertical="center" wrapText="1"/>
      <protection locked="0"/>
    </xf>
    <xf numFmtId="3" fontId="32" fillId="0" borderId="40" xfId="50" applyNumberFormat="1" applyFont="1" applyFill="1" applyBorder="1" applyAlignment="1" applyProtection="1">
      <alignment horizontal="center" vertical="center" wrapText="1"/>
    </xf>
    <xf numFmtId="165" fontId="24" fillId="0" borderId="27" xfId="50" applyNumberFormat="1" applyFont="1" applyFill="1" applyBorder="1" applyAlignment="1" applyProtection="1">
      <alignment horizontal="center" vertical="center" wrapText="1"/>
    </xf>
    <xf numFmtId="0" fontId="24" fillId="0" borderId="33" xfId="50" applyNumberFormat="1" applyFont="1" applyFill="1" applyBorder="1" applyAlignment="1" applyProtection="1">
      <alignment vertical="center" wrapText="1"/>
    </xf>
    <xf numFmtId="0" fontId="20" fillId="0" borderId="14" xfId="5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14" xfId="50" applyNumberFormat="1" applyFont="1" applyFill="1" applyBorder="1" applyAlignment="1" applyProtection="1">
      <alignment horizontal="center" vertical="center" wrapText="1"/>
      <protection locked="0"/>
    </xf>
    <xf numFmtId="3" fontId="26" fillId="0" borderId="68" xfId="50" applyNumberFormat="1" applyFont="1" applyFill="1" applyBorder="1" applyAlignment="1" applyProtection="1">
      <alignment horizontal="center" vertical="center" wrapText="1"/>
      <protection locked="0"/>
    </xf>
    <xf numFmtId="3" fontId="32" fillId="0" borderId="27" xfId="50" applyNumberFormat="1" applyFont="1" applyFill="1" applyBorder="1" applyAlignment="1" applyProtection="1">
      <alignment horizontal="center" vertical="center" wrapText="1"/>
    </xf>
    <xf numFmtId="165" fontId="24" fillId="0" borderId="42" xfId="50" applyNumberFormat="1" applyFont="1" applyFill="1" applyBorder="1" applyAlignment="1" applyProtection="1">
      <alignment horizontal="center" vertical="center" wrapText="1"/>
    </xf>
    <xf numFmtId="0" fontId="33" fillId="0" borderId="2" xfId="5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2" xfId="50" applyNumberFormat="1" applyFont="1" applyFill="1" applyBorder="1" applyAlignment="1" applyProtection="1">
      <alignment horizontal="center" vertical="center" wrapText="1"/>
      <protection locked="0"/>
    </xf>
    <xf numFmtId="3" fontId="33" fillId="0" borderId="2" xfId="51" applyNumberFormat="1" applyFont="1" applyFill="1" applyBorder="1" applyAlignment="1" applyProtection="1">
      <alignment horizontal="center" vertical="center"/>
      <protection locked="0"/>
    </xf>
    <xf numFmtId="3" fontId="33" fillId="0" borderId="2" xfId="50" applyNumberFormat="1" applyFont="1" applyFill="1" applyBorder="1" applyAlignment="1" applyProtection="1">
      <alignment horizontal="center" vertical="center"/>
      <protection locked="0"/>
    </xf>
    <xf numFmtId="3" fontId="32" fillId="0" borderId="20" xfId="50" applyNumberFormat="1" applyFont="1" applyFill="1" applyBorder="1" applyAlignment="1" applyProtection="1">
      <alignment horizontal="center" vertical="center" wrapText="1"/>
    </xf>
    <xf numFmtId="0" fontId="33" fillId="0" borderId="78" xfId="50" applyNumberFormat="1" applyFont="1" applyFill="1" applyBorder="1" applyAlignment="1" applyProtection="1">
      <alignment vertical="center" wrapText="1"/>
    </xf>
    <xf numFmtId="0" fontId="33" fillId="0" borderId="3" xfId="5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33" fillId="0" borderId="67" xfId="50" applyNumberFormat="1" applyFont="1" applyFill="1" applyBorder="1" applyAlignment="1" applyProtection="1">
      <alignment vertical="center" wrapText="1"/>
    </xf>
    <xf numFmtId="0" fontId="33" fillId="0" borderId="1" xfId="5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50" applyNumberFormat="1" applyFont="1" applyFill="1" applyBorder="1" applyAlignment="1" applyProtection="1">
      <alignment vertical="center" wrapText="1"/>
      <protection locked="0"/>
    </xf>
    <xf numFmtId="3" fontId="32" fillId="0" borderId="18" xfId="50" applyNumberFormat="1" applyFont="1" applyFill="1" applyBorder="1" applyAlignment="1" applyProtection="1">
      <alignment horizontal="center" vertical="center" wrapText="1"/>
    </xf>
    <xf numFmtId="0" fontId="20" fillId="7" borderId="68" xfId="50" applyNumberFormat="1" applyFont="1" applyFill="1" applyBorder="1" applyAlignment="1" applyProtection="1">
      <alignment horizontal="left" vertical="center" wrapText="1" indent="2"/>
    </xf>
    <xf numFmtId="170" fontId="21" fillId="0" borderId="0" xfId="52" applyNumberFormat="1" applyFont="1" applyFill="1" applyBorder="1" applyAlignment="1" applyProtection="1">
      <alignment horizontal="right"/>
    </xf>
    <xf numFmtId="170" fontId="118" fillId="0" borderId="18" xfId="53" applyNumberFormat="1" applyFont="1" applyBorder="1" applyAlignment="1">
      <alignment horizontal="right" indent="2"/>
    </xf>
    <xf numFmtId="170" fontId="21" fillId="0" borderId="18" xfId="53" applyNumberFormat="1" applyFont="1" applyBorder="1" applyAlignment="1">
      <alignment horizontal="right" indent="2"/>
    </xf>
    <xf numFmtId="170" fontId="118" fillId="0" borderId="18" xfId="53" applyNumberFormat="1" applyFont="1" applyFill="1" applyBorder="1" applyAlignment="1">
      <alignment horizontal="right" indent="2"/>
    </xf>
    <xf numFmtId="170" fontId="118" fillId="0" borderId="23" xfId="53" applyNumberFormat="1" applyFont="1" applyBorder="1" applyAlignment="1">
      <alignment horizontal="right" indent="2"/>
    </xf>
    <xf numFmtId="170" fontId="119" fillId="0" borderId="19" xfId="53" applyNumberFormat="1" applyFont="1" applyBorder="1" applyAlignment="1">
      <alignment horizontal="right" indent="2"/>
    </xf>
    <xf numFmtId="170" fontId="118" fillId="10" borderId="23" xfId="53" applyNumberFormat="1" applyFont="1" applyFill="1" applyBorder="1" applyAlignment="1">
      <alignment horizontal="right" indent="2"/>
    </xf>
    <xf numFmtId="170" fontId="118" fillId="10" borderId="18" xfId="53" applyNumberFormat="1" applyFont="1" applyFill="1" applyBorder="1" applyAlignment="1">
      <alignment horizontal="right" indent="2"/>
    </xf>
    <xf numFmtId="170" fontId="118" fillId="10" borderId="20" xfId="53" applyNumberFormat="1" applyFont="1" applyFill="1" applyBorder="1" applyAlignment="1">
      <alignment horizontal="right" indent="2"/>
    </xf>
    <xf numFmtId="170" fontId="118" fillId="0" borderId="40" xfId="53" applyNumberFormat="1" applyFont="1" applyBorder="1" applyAlignment="1">
      <alignment horizontal="right" indent="2"/>
    </xf>
    <xf numFmtId="170" fontId="21" fillId="0" borderId="19" xfId="53" applyNumberFormat="1" applyFont="1" applyBorder="1" applyAlignment="1">
      <alignment horizontal="right" indent="2"/>
    </xf>
    <xf numFmtId="0" fontId="115" fillId="0" borderId="42" xfId="0" applyFont="1" applyFill="1" applyBorder="1" applyAlignment="1">
      <alignment vertical="center"/>
    </xf>
    <xf numFmtId="165" fontId="115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11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18" xfId="0" applyNumberFormat="1" applyFont="1" applyFill="1" applyBorder="1" applyAlignment="1">
      <alignment vertical="center" wrapText="1"/>
    </xf>
    <xf numFmtId="165" fontId="7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75" fillId="0" borderId="18" xfId="0" applyNumberFormat="1" applyFont="1" applyFill="1" applyBorder="1" applyAlignment="1">
      <alignment vertical="center" wrapText="1"/>
    </xf>
    <xf numFmtId="49" fontId="6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18" xfId="0" applyNumberFormat="1" applyFont="1" applyFill="1" applyBorder="1" applyAlignment="1" applyProtection="1">
      <alignment vertical="center" wrapText="1"/>
    </xf>
    <xf numFmtId="0" fontId="110" fillId="0" borderId="0" xfId="0" applyFont="1" applyFill="1" applyBorder="1" applyAlignment="1" applyProtection="1">
      <alignment vertical="center" wrapText="1"/>
    </xf>
    <xf numFmtId="0" fontId="67" fillId="0" borderId="30" xfId="20" applyFont="1" applyBorder="1" applyAlignment="1">
      <alignment horizontal="left"/>
    </xf>
    <xf numFmtId="0" fontId="67" fillId="0" borderId="31" xfId="20" quotePrefix="1" applyFont="1" applyBorder="1" applyAlignment="1">
      <alignment horizontal="left"/>
    </xf>
    <xf numFmtId="0" fontId="67" fillId="0" borderId="32" xfId="20" applyFont="1" applyBorder="1"/>
    <xf numFmtId="3" fontId="30" fillId="0" borderId="58" xfId="27" applyNumberFormat="1" applyFont="1" applyBorder="1" applyAlignment="1" applyProtection="1">
      <alignment horizontal="right" vertical="center" wrapText="1" indent="1"/>
    </xf>
    <xf numFmtId="3" fontId="30" fillId="0" borderId="41" xfId="27" applyNumberFormat="1" applyFont="1" applyBorder="1" applyAlignment="1" applyProtection="1">
      <alignment horizontal="right" vertical="center" wrapText="1" indent="1"/>
    </xf>
    <xf numFmtId="3" fontId="30" fillId="0" borderId="38" xfId="27" applyNumberFormat="1" applyFont="1" applyBorder="1" applyAlignment="1" applyProtection="1">
      <alignment horizontal="right" vertical="center" wrapText="1" indent="1"/>
    </xf>
    <xf numFmtId="3" fontId="31" fillId="0" borderId="27" xfId="27" applyNumberFormat="1" applyFont="1" applyBorder="1" applyAlignment="1" applyProtection="1">
      <alignment horizontal="right" vertical="center" wrapText="1" indent="1"/>
    </xf>
    <xf numFmtId="3" fontId="30" fillId="0" borderId="27" xfId="27" applyNumberFormat="1" applyFont="1" applyBorder="1" applyAlignment="1" applyProtection="1">
      <alignment horizontal="right" vertical="center" wrapText="1" indent="1"/>
    </xf>
    <xf numFmtId="3" fontId="24" fillId="0" borderId="27" xfId="21" applyNumberFormat="1" applyFont="1" applyFill="1" applyBorder="1" applyAlignment="1" applyProtection="1">
      <alignment horizontal="center" vertical="center" wrapText="1"/>
    </xf>
    <xf numFmtId="3" fontId="24" fillId="0" borderId="52" xfId="21" applyNumberFormat="1" applyFont="1" applyFill="1" applyBorder="1" applyAlignment="1" applyProtection="1">
      <alignment horizontal="center" vertical="center" wrapText="1"/>
    </xf>
    <xf numFmtId="3" fontId="24" fillId="0" borderId="28" xfId="21" applyNumberFormat="1" applyFont="1" applyFill="1" applyBorder="1" applyAlignment="1" applyProtection="1">
      <alignment horizontal="center" vertical="center" wrapText="1"/>
    </xf>
    <xf numFmtId="3" fontId="26" fillId="0" borderId="58" xfId="27" applyNumberFormat="1" applyFont="1" applyFill="1" applyBorder="1" applyAlignment="1" applyProtection="1">
      <alignment horizontal="center" wrapText="1"/>
    </xf>
    <xf numFmtId="3" fontId="33" fillId="0" borderId="50" xfId="21" applyNumberFormat="1" applyFont="1" applyFill="1" applyBorder="1" applyAlignment="1" applyProtection="1">
      <alignment horizontal="center" vertical="center" wrapText="1"/>
    </xf>
    <xf numFmtId="3" fontId="33" fillId="0" borderId="57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17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42" xfId="27" applyNumberFormat="1" applyFont="1" applyFill="1" applyBorder="1" applyAlignment="1" applyProtection="1">
      <alignment horizontal="center" wrapText="1"/>
    </xf>
    <xf numFmtId="3" fontId="33" fillId="0" borderId="36" xfId="21" applyNumberFormat="1" applyFont="1" applyFill="1" applyBorder="1" applyAlignment="1" applyProtection="1">
      <alignment horizontal="center" vertical="center" wrapText="1"/>
    </xf>
    <xf numFmtId="3" fontId="33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18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56" xfId="27" applyNumberFormat="1" applyFont="1" applyFill="1" applyBorder="1" applyAlignment="1" applyProtection="1">
      <alignment horizontal="center" wrapText="1"/>
    </xf>
    <xf numFmtId="3" fontId="33" fillId="0" borderId="32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23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56" xfId="27" applyNumberFormat="1" applyFont="1" applyFill="1" applyBorder="1" applyAlignment="1" applyProtection="1">
      <alignment horizontal="center"/>
    </xf>
    <xf numFmtId="3" fontId="26" fillId="0" borderId="56" xfId="27" applyNumberFormat="1" applyFont="1" applyFill="1" applyBorder="1" applyAlignment="1" applyProtection="1">
      <alignment horizontal="center" vertical="center" wrapText="1"/>
    </xf>
    <xf numFmtId="3" fontId="33" fillId="0" borderId="42" xfId="27" applyNumberFormat="1" applyFont="1" applyFill="1" applyBorder="1" applyAlignment="1" applyProtection="1">
      <alignment horizontal="center" vertical="center" wrapText="1"/>
    </xf>
    <xf numFmtId="3" fontId="26" fillId="0" borderId="42" xfId="27" applyNumberFormat="1" applyFont="1" applyFill="1" applyBorder="1" applyAlignment="1" applyProtection="1">
      <alignment horizontal="center" vertical="center" wrapText="1"/>
    </xf>
    <xf numFmtId="3" fontId="26" fillId="0" borderId="75" xfId="27" applyNumberFormat="1" applyFont="1" applyFill="1" applyBorder="1" applyAlignment="1" applyProtection="1">
      <alignment horizontal="center" vertical="center" wrapText="1"/>
    </xf>
    <xf numFmtId="3" fontId="33" fillId="0" borderId="32" xfId="21" applyNumberFormat="1" applyFont="1" applyFill="1" applyBorder="1" applyAlignment="1" applyProtection="1">
      <alignment horizontal="center" vertical="center" wrapText="1"/>
    </xf>
    <xf numFmtId="3" fontId="33" fillId="0" borderId="53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22" xfId="21" applyNumberFormat="1" applyFont="1" applyFill="1" applyBorder="1" applyAlignment="1" applyProtection="1">
      <alignment horizontal="center" vertical="center" wrapText="1"/>
      <protection locked="0"/>
    </xf>
    <xf numFmtId="3" fontId="24" fillId="0" borderId="44" xfId="21" applyNumberFormat="1" applyFont="1" applyFill="1" applyBorder="1" applyAlignment="1" applyProtection="1">
      <alignment horizontal="center" vertical="center" wrapText="1"/>
    </xf>
    <xf numFmtId="3" fontId="24" fillId="0" borderId="19" xfId="21" applyNumberFormat="1" applyFont="1" applyFill="1" applyBorder="1" applyAlignment="1" applyProtection="1">
      <alignment horizontal="center" vertical="center" wrapText="1"/>
    </xf>
    <xf numFmtId="3" fontId="24" fillId="0" borderId="26" xfId="21" applyNumberFormat="1" applyFont="1" applyFill="1" applyBorder="1" applyAlignment="1" applyProtection="1">
      <alignment horizontal="center" vertical="center" wrapText="1"/>
    </xf>
    <xf numFmtId="3" fontId="26" fillId="0" borderId="41" xfId="27" applyNumberFormat="1" applyFont="1" applyFill="1" applyBorder="1" applyAlignment="1" applyProtection="1">
      <alignment horizontal="center" vertical="center" wrapText="1"/>
    </xf>
    <xf numFmtId="3" fontId="33" fillId="0" borderId="50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20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38" xfId="27" applyNumberFormat="1" applyFont="1" applyFill="1" applyBorder="1" applyAlignment="1" applyProtection="1">
      <alignment horizontal="center" vertical="center" wrapText="1"/>
    </xf>
    <xf numFmtId="3" fontId="26" fillId="0" borderId="56" xfId="21" applyNumberFormat="1" applyFont="1" applyFill="1" applyBorder="1" applyAlignment="1" applyProtection="1">
      <alignment horizontal="center" vertical="center" wrapText="1"/>
    </xf>
    <xf numFmtId="3" fontId="32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30" fillId="0" borderId="56" xfId="0" applyNumberFormat="1" applyFont="1" applyBorder="1" applyAlignment="1" applyProtection="1">
      <alignment horizontal="center" vertical="center" wrapText="1"/>
    </xf>
    <xf numFmtId="3" fontId="30" fillId="0" borderId="42" xfId="0" applyNumberFormat="1" applyFont="1" applyBorder="1" applyAlignment="1" applyProtection="1">
      <alignment horizontal="center" vertical="center" wrapText="1"/>
    </xf>
    <xf numFmtId="3" fontId="26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41" xfId="21" applyNumberFormat="1" applyFont="1" applyFill="1" applyBorder="1" applyAlignment="1" applyProtection="1">
      <alignment horizontal="center" vertical="center" wrapText="1"/>
    </xf>
    <xf numFmtId="3" fontId="26" fillId="0" borderId="42" xfId="21" applyNumberFormat="1" applyFont="1" applyFill="1" applyBorder="1" applyAlignment="1" applyProtection="1">
      <alignment horizontal="center" vertical="center" wrapText="1"/>
    </xf>
    <xf numFmtId="3" fontId="26" fillId="0" borderId="50" xfId="21" applyNumberFormat="1" applyFont="1" applyFill="1" applyBorder="1" applyAlignment="1" applyProtection="1">
      <alignment horizontal="center" vertical="center" wrapText="1"/>
    </xf>
    <xf numFmtId="3" fontId="26" fillId="0" borderId="36" xfId="21" applyNumberFormat="1" applyFont="1" applyFill="1" applyBorder="1" applyAlignment="1" applyProtection="1">
      <alignment horizontal="center" vertical="center" wrapText="1"/>
    </xf>
    <xf numFmtId="3" fontId="26" fillId="0" borderId="32" xfId="21" applyNumberFormat="1" applyFont="1" applyFill="1" applyBorder="1" applyAlignment="1" applyProtection="1">
      <alignment horizontal="center" vertical="center" wrapText="1"/>
    </xf>
    <xf numFmtId="3" fontId="26" fillId="0" borderId="27" xfId="21" applyNumberFormat="1" applyFont="1" applyFill="1" applyBorder="1" applyAlignment="1" applyProtection="1">
      <alignment horizontal="center" vertical="center" wrapText="1"/>
    </xf>
    <xf numFmtId="3" fontId="26" fillId="0" borderId="38" xfId="21" applyNumberFormat="1" applyFont="1" applyFill="1" applyBorder="1" applyAlignment="1" applyProtection="1">
      <alignment horizontal="center" vertical="center" wrapText="1"/>
    </xf>
    <xf numFmtId="3" fontId="32" fillId="0" borderId="27" xfId="21" applyNumberFormat="1" applyFont="1" applyFill="1" applyBorder="1" applyAlignment="1" applyProtection="1">
      <alignment horizontal="center" vertical="center" wrapText="1"/>
    </xf>
    <xf numFmtId="3" fontId="26" fillId="0" borderId="32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44" xfId="21" applyNumberFormat="1" applyFont="1" applyFill="1" applyBorder="1" applyAlignment="1" applyProtection="1">
      <alignment horizontal="center" vertical="center" wrapText="1"/>
    </xf>
    <xf numFmtId="3" fontId="31" fillId="0" borderId="44" xfId="0" applyNumberFormat="1" applyFont="1" applyBorder="1" applyAlignment="1" applyProtection="1">
      <alignment horizontal="center" vertical="center" wrapText="1"/>
    </xf>
    <xf numFmtId="3" fontId="31" fillId="0" borderId="19" xfId="0" applyNumberFormat="1" applyFont="1" applyBorder="1" applyAlignment="1" applyProtection="1">
      <alignment horizontal="center" vertical="center" wrapText="1"/>
    </xf>
    <xf numFmtId="3" fontId="31" fillId="0" borderId="19" xfId="0" applyNumberFormat="1" applyFont="1" applyBorder="1" applyAlignment="1" applyProtection="1">
      <alignment horizontal="center" vertical="center" wrapText="1"/>
      <protection locked="0"/>
    </xf>
    <xf numFmtId="3" fontId="29" fillId="0" borderId="44" xfId="0" quotePrefix="1" applyNumberFormat="1" applyFont="1" applyBorder="1" applyAlignment="1" applyProtection="1">
      <alignment horizontal="center" vertical="center" wrapText="1"/>
    </xf>
    <xf numFmtId="3" fontId="29" fillId="0" borderId="19" xfId="0" quotePrefix="1" applyNumberFormat="1" applyFont="1" applyBorder="1" applyAlignment="1" applyProtection="1">
      <alignment horizontal="center" vertical="center" wrapText="1"/>
    </xf>
    <xf numFmtId="3" fontId="33" fillId="0" borderId="40" xfId="0" applyNumberFormat="1" applyFont="1" applyFill="1" applyBorder="1" applyAlignment="1" applyProtection="1">
      <alignment horizontal="right" vertical="center" indent="1"/>
      <protection locked="0"/>
    </xf>
    <xf numFmtId="0" fontId="33" fillId="0" borderId="6" xfId="0" applyFont="1" applyBorder="1" applyAlignment="1" applyProtection="1">
      <alignment horizontal="right" vertical="center" indent="1"/>
    </xf>
    <xf numFmtId="0" fontId="33" fillId="0" borderId="6" xfId="0" applyFont="1" applyBorder="1" applyAlignment="1" applyProtection="1">
      <alignment horizontal="left" vertical="center"/>
      <protection locked="0"/>
    </xf>
    <xf numFmtId="3" fontId="33" fillId="0" borderId="6" xfId="0" applyNumberFormat="1" applyFont="1" applyFill="1" applyBorder="1" applyAlignment="1" applyProtection="1">
      <alignment horizontal="right" vertical="center" indent="1"/>
      <protection locked="0"/>
    </xf>
    <xf numFmtId="3" fontId="74" fillId="0" borderId="12" xfId="19" applyNumberFormat="1" applyFont="1" applyBorder="1"/>
    <xf numFmtId="3" fontId="74" fillId="0" borderId="7" xfId="19" applyNumberFormat="1" applyFont="1" applyBorder="1"/>
    <xf numFmtId="3" fontId="33" fillId="0" borderId="2" xfId="25" applyNumberFormat="1" applyFont="1" applyBorder="1" applyAlignment="1">
      <alignment horizontal="right"/>
    </xf>
    <xf numFmtId="3" fontId="33" fillId="0" borderId="2" xfId="26" quotePrefix="1" applyNumberFormat="1" applyFont="1" applyBorder="1" applyAlignment="1">
      <alignment horizontal="right"/>
    </xf>
    <xf numFmtId="3" fontId="33" fillId="0" borderId="2" xfId="26" applyNumberFormat="1" applyFont="1" applyBorder="1" applyAlignment="1">
      <alignment horizontal="right"/>
    </xf>
    <xf numFmtId="3" fontId="24" fillId="0" borderId="21" xfId="26" applyNumberFormat="1" applyFont="1" applyBorder="1" applyAlignment="1">
      <alignment horizontal="right"/>
    </xf>
    <xf numFmtId="165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2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2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6" xfId="21" applyFont="1" applyFill="1" applyBorder="1" applyAlignment="1">
      <alignment horizontal="center" vertical="center" wrapText="1"/>
    </xf>
    <xf numFmtId="0" fontId="121" fillId="0" borderId="0" xfId="21" applyFont="1" applyFill="1" applyProtection="1"/>
    <xf numFmtId="165" fontId="66" fillId="0" borderId="23" xfId="21" applyNumberFormat="1" applyFont="1" applyFill="1" applyBorder="1" applyAlignment="1" applyProtection="1">
      <alignment horizontal="right" vertical="center" wrapText="1" indent="1"/>
    </xf>
    <xf numFmtId="165" fontId="66" fillId="0" borderId="20" xfId="21" applyNumberFormat="1" applyFont="1" applyFill="1" applyBorder="1" applyAlignment="1" applyProtection="1">
      <alignment horizontal="right" vertical="center" wrapText="1" indent="1"/>
    </xf>
    <xf numFmtId="0" fontId="127" fillId="0" borderId="67" xfId="48" applyNumberFormat="1" applyFont="1" applyFill="1" applyBorder="1" applyAlignment="1" applyProtection="1">
      <alignment vertical="center" wrapText="1"/>
      <protection locked="0"/>
    </xf>
    <xf numFmtId="3" fontId="75" fillId="0" borderId="1" xfId="21" applyNumberFormat="1" applyFont="1" applyFill="1" applyBorder="1" applyAlignment="1" applyProtection="1">
      <alignment horizontal="right"/>
      <protection locked="0"/>
    </xf>
    <xf numFmtId="3" fontId="75" fillId="0" borderId="1" xfId="48" applyNumberFormat="1" applyFont="1" applyFill="1" applyBorder="1" applyAlignment="1" applyProtection="1">
      <alignment horizontal="right" vertical="center" wrapText="1"/>
      <protection locked="0"/>
    </xf>
    <xf numFmtId="3" fontId="75" fillId="0" borderId="1" xfId="49" applyNumberFormat="1" applyFont="1" applyFill="1" applyBorder="1" applyAlignment="1" applyProtection="1">
      <alignment horizontal="right"/>
      <protection locked="0"/>
    </xf>
    <xf numFmtId="3" fontId="67" fillId="0" borderId="20" xfId="49" applyNumberFormat="1" applyFont="1" applyFill="1" applyBorder="1" applyAlignment="1">
      <alignment horizontal="right"/>
    </xf>
    <xf numFmtId="0" fontId="127" fillId="0" borderId="8" xfId="48" applyNumberFormat="1" applyFont="1" applyFill="1" applyBorder="1" applyAlignment="1" applyProtection="1">
      <alignment vertical="center" wrapText="1"/>
      <protection locked="0"/>
    </xf>
    <xf numFmtId="3" fontId="75" fillId="0" borderId="2" xfId="21" applyNumberFormat="1" applyFont="1" applyFill="1" applyBorder="1" applyAlignment="1" applyProtection="1">
      <alignment horizontal="right"/>
      <protection locked="0"/>
    </xf>
    <xf numFmtId="3" fontId="75" fillId="0" borderId="2" xfId="48" applyNumberFormat="1" applyFont="1" applyFill="1" applyBorder="1" applyAlignment="1" applyProtection="1">
      <alignment horizontal="right" vertical="center" wrapText="1"/>
      <protection locked="0"/>
    </xf>
    <xf numFmtId="3" fontId="75" fillId="0" borderId="2" xfId="49" applyNumberFormat="1" applyFont="1" applyFill="1" applyBorder="1" applyAlignment="1" applyProtection="1">
      <alignment horizontal="right"/>
      <protection locked="0"/>
    </xf>
    <xf numFmtId="0" fontId="20" fillId="0" borderId="38" xfId="21" applyFont="1" applyFill="1" applyBorder="1" applyAlignment="1">
      <alignment horizontal="center" vertical="center"/>
    </xf>
    <xf numFmtId="0" fontId="20" fillId="0" borderId="76" xfId="21" applyFont="1" applyFill="1" applyBorder="1" applyAlignment="1">
      <alignment horizontal="center" vertical="center"/>
    </xf>
    <xf numFmtId="0" fontId="127" fillId="0" borderId="2" xfId="48" applyNumberFormat="1" applyFont="1" applyFill="1" applyBorder="1" applyAlignment="1" applyProtection="1">
      <alignment vertical="center" wrapText="1"/>
      <protection locked="0"/>
    </xf>
    <xf numFmtId="3" fontId="67" fillId="0" borderId="18" xfId="49" applyNumberFormat="1" applyFont="1" applyFill="1" applyBorder="1" applyAlignment="1">
      <alignment horizontal="right"/>
    </xf>
    <xf numFmtId="0" fontId="26" fillId="0" borderId="2" xfId="21" applyFont="1" applyFill="1" applyBorder="1" applyAlignment="1" applyProtection="1">
      <alignment horizontal="left" wrapText="1"/>
      <protection locked="0"/>
    </xf>
    <xf numFmtId="0" fontId="127" fillId="0" borderId="2" xfId="21" applyFont="1" applyFill="1" applyBorder="1" applyAlignment="1" applyProtection="1">
      <alignment horizontal="left"/>
      <protection locked="0"/>
    </xf>
    <xf numFmtId="166" fontId="127" fillId="0" borderId="18" xfId="26" applyNumberFormat="1" applyFont="1" applyFill="1" applyBorder="1" applyProtection="1">
      <protection locked="0"/>
    </xf>
    <xf numFmtId="166" fontId="66" fillId="0" borderId="18" xfId="26" applyNumberFormat="1" applyFont="1" applyFill="1" applyBorder="1" applyProtection="1">
      <protection locked="0"/>
    </xf>
    <xf numFmtId="165" fontId="6" fillId="0" borderId="11" xfId="28" applyNumberFormat="1" applyFont="1" applyFill="1" applyBorder="1" applyAlignment="1" applyProtection="1">
      <alignment horizontal="right" vertical="center" wrapText="1"/>
      <protection locked="0"/>
    </xf>
    <xf numFmtId="165" fontId="6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5" fillId="0" borderId="9" xfId="28" applyNumberFormat="1" applyFont="1" applyFill="1" applyBorder="1" applyAlignment="1" applyProtection="1">
      <alignment horizontal="right" vertical="center" wrapText="1"/>
      <protection locked="0"/>
    </xf>
    <xf numFmtId="165" fontId="7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8" xfId="21" applyFont="1" applyFill="1" applyBorder="1" applyAlignment="1" applyProtection="1">
      <alignment horizontal="left"/>
      <protection locked="0"/>
    </xf>
    <xf numFmtId="165" fontId="75" fillId="0" borderId="76" xfId="28" applyNumberFormat="1" applyFont="1" applyFill="1" applyBorder="1" applyAlignment="1" applyProtection="1">
      <alignment horizontal="left" vertical="center" wrapText="1"/>
      <protection locked="0"/>
    </xf>
    <xf numFmtId="0" fontId="89" fillId="0" borderId="59" xfId="28" applyFont="1" applyFill="1" applyBorder="1" applyAlignment="1">
      <alignment vertical="center"/>
    </xf>
    <xf numFmtId="165" fontId="35" fillId="0" borderId="39" xfId="28" applyNumberFormat="1" applyFont="1" applyFill="1" applyBorder="1" applyAlignment="1" applyProtection="1">
      <alignment horizontal="right" vertical="center" wrapText="1"/>
      <protection locked="0"/>
    </xf>
    <xf numFmtId="49" fontId="35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26" xfId="0" applyNumberFormat="1" applyFont="1" applyFill="1" applyBorder="1" applyAlignment="1" applyProtection="1">
      <alignment vertical="center" wrapText="1"/>
    </xf>
    <xf numFmtId="165" fontId="6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2" xfId="28" applyNumberFormat="1" applyFont="1" applyFill="1" applyBorder="1" applyAlignment="1" applyProtection="1">
      <alignment horizontal="right" vertical="center" wrapText="1"/>
      <protection locked="0"/>
    </xf>
    <xf numFmtId="165" fontId="67" fillId="0" borderId="2" xfId="0" applyNumberFormat="1" applyFont="1" applyFill="1" applyBorder="1" applyAlignment="1">
      <alignment vertical="center" wrapText="1"/>
    </xf>
    <xf numFmtId="0" fontId="127" fillId="0" borderId="5" xfId="50" applyNumberFormat="1" applyFont="1" applyFill="1" applyBorder="1" applyAlignment="1" applyProtection="1">
      <alignment vertical="center" wrapText="1"/>
      <protection locked="0"/>
    </xf>
    <xf numFmtId="0" fontId="127" fillId="0" borderId="2" xfId="50" applyNumberFormat="1" applyFont="1" applyFill="1" applyBorder="1" applyAlignment="1" applyProtection="1">
      <alignment horizontal="left" vertical="center" wrapText="1" indent="2"/>
      <protection locked="0"/>
    </xf>
    <xf numFmtId="3" fontId="127" fillId="0" borderId="2" xfId="50" applyNumberFormat="1" applyFont="1" applyFill="1" applyBorder="1" applyAlignment="1" applyProtection="1">
      <alignment horizontal="center" vertical="center" wrapText="1"/>
      <protection locked="0"/>
    </xf>
    <xf numFmtId="3" fontId="66" fillId="0" borderId="18" xfId="5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Alignment="1">
      <alignment horizontal="left" vertical="top" wrapText="1"/>
    </xf>
    <xf numFmtId="165" fontId="127" fillId="0" borderId="5" xfId="50" applyNumberFormat="1" applyFont="1" applyFill="1" applyBorder="1" applyAlignment="1" applyProtection="1">
      <alignment vertical="center" wrapText="1"/>
    </xf>
    <xf numFmtId="165" fontId="33" fillId="0" borderId="67" xfId="50" applyNumberFormat="1" applyFont="1" applyFill="1" applyBorder="1" applyAlignment="1" applyProtection="1">
      <alignment horizontal="left" vertical="center" wrapText="1" indent="1"/>
    </xf>
    <xf numFmtId="165" fontId="24" fillId="0" borderId="59" xfId="50" applyNumberFormat="1" applyFont="1" applyFill="1" applyBorder="1" applyAlignment="1" applyProtection="1">
      <alignment horizontal="center" vertical="center" wrapText="1"/>
    </xf>
    <xf numFmtId="0" fontId="127" fillId="0" borderId="2" xfId="0" applyFont="1" applyBorder="1" applyAlignment="1" applyProtection="1">
      <alignment horizontal="left" vertical="center"/>
      <protection locked="0"/>
    </xf>
    <xf numFmtId="0" fontId="127" fillId="0" borderId="2" xfId="0" applyFont="1" applyBorder="1" applyAlignment="1" applyProtection="1">
      <alignment horizontal="left" vertical="center" indent="1"/>
      <protection locked="0"/>
    </xf>
    <xf numFmtId="3" fontId="127" fillId="0" borderId="18" xfId="0" applyNumberFormat="1" applyFont="1" applyFill="1" applyBorder="1" applyAlignment="1" applyProtection="1">
      <alignment horizontal="right" vertical="center" indent="1"/>
      <protection locked="0"/>
    </xf>
    <xf numFmtId="3" fontId="34" fillId="0" borderId="38" xfId="19" applyNumberFormat="1" applyFont="1" applyBorder="1"/>
    <xf numFmtId="3" fontId="34" fillId="0" borderId="49" xfId="19" applyNumberFormat="1" applyFont="1" applyBorder="1"/>
    <xf numFmtId="3" fontId="74" fillId="0" borderId="11" xfId="19" applyNumberFormat="1" applyFont="1" applyBorder="1"/>
    <xf numFmtId="3" fontId="74" fillId="0" borderId="46" xfId="19" applyNumberFormat="1" applyFont="1" applyBorder="1"/>
    <xf numFmtId="3" fontId="74" fillId="0" borderId="74" xfId="19" applyNumberFormat="1" applyFont="1" applyBorder="1"/>
    <xf numFmtId="170" fontId="118" fillId="0" borderId="18" xfId="18" applyNumberFormat="1" applyFont="1" applyBorder="1" applyAlignment="1">
      <alignment horizontal="right" indent="2"/>
    </xf>
    <xf numFmtId="170" fontId="118" fillId="0" borderId="20" xfId="53" applyNumberFormat="1" applyFont="1" applyBorder="1" applyAlignment="1">
      <alignment horizontal="right" indent="2"/>
    </xf>
    <xf numFmtId="49" fontId="48" fillId="0" borderId="8" xfId="18" applyNumberFormat="1" applyFont="1" applyBorder="1"/>
    <xf numFmtId="49" fontId="80" fillId="0" borderId="10" xfId="18" applyNumberFormat="1" applyFont="1" applyBorder="1"/>
    <xf numFmtId="0" fontId="128" fillId="0" borderId="6" xfId="18" applyFont="1" applyBorder="1" applyAlignment="1">
      <alignment horizontal="left"/>
    </xf>
    <xf numFmtId="170" fontId="120" fillId="0" borderId="23" xfId="18" applyNumberFormat="1" applyFont="1" applyFill="1" applyBorder="1" applyAlignment="1">
      <alignment horizontal="right" indent="2"/>
    </xf>
    <xf numFmtId="3" fontId="6" fillId="0" borderId="0" xfId="21" applyNumberFormat="1" applyFont="1" applyFill="1" applyAlignment="1">
      <alignment horizontal="right" indent="1"/>
    </xf>
    <xf numFmtId="0" fontId="111" fillId="0" borderId="0" xfId="0" applyFont="1" applyAlignment="1">
      <alignment horizontal="center"/>
    </xf>
    <xf numFmtId="0" fontId="28" fillId="11" borderId="0" xfId="0" applyFont="1" applyFill="1" applyAlignment="1" applyProtection="1">
      <alignment horizontal="center"/>
      <protection locked="0"/>
    </xf>
    <xf numFmtId="0" fontId="38" fillId="11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0" xfId="21" applyFont="1" applyFill="1" applyAlignment="1" applyProtection="1">
      <alignment horizontal="center"/>
    </xf>
    <xf numFmtId="0" fontId="6" fillId="0" borderId="0" xfId="21" applyFont="1" applyFill="1" applyAlignment="1" applyProtection="1">
      <alignment horizontal="right"/>
    </xf>
    <xf numFmtId="165" fontId="39" fillId="0" borderId="24" xfId="21" applyNumberFormat="1" applyFont="1" applyFill="1" applyBorder="1" applyAlignment="1" applyProtection="1">
      <alignment horizontal="left" vertical="center"/>
    </xf>
    <xf numFmtId="165" fontId="12" fillId="0" borderId="0" xfId="21" applyNumberFormat="1" applyFont="1" applyFill="1" applyBorder="1" applyAlignment="1" applyProtection="1">
      <alignment horizontal="center" vertical="center"/>
    </xf>
    <xf numFmtId="165" fontId="39" fillId="0" borderId="24" xfId="21" applyNumberFormat="1" applyFont="1" applyFill="1" applyBorder="1" applyAlignment="1" applyProtection="1">
      <alignment horizontal="left"/>
    </xf>
    <xf numFmtId="165" fontId="34" fillId="0" borderId="24" xfId="21" applyNumberFormat="1" applyFont="1" applyFill="1" applyBorder="1" applyAlignment="1" applyProtection="1">
      <alignment horizontal="center" vertical="center"/>
    </xf>
    <xf numFmtId="0" fontId="17" fillId="0" borderId="0" xfId="21" applyFont="1" applyFill="1" applyAlignment="1" applyProtection="1">
      <alignment horizontal="right"/>
    </xf>
    <xf numFmtId="165" fontId="0" fillId="0" borderId="0" xfId="0" applyNumberFormat="1" applyFont="1" applyFill="1" applyAlignment="1" applyProtection="1">
      <alignment horizontal="center" vertical="center" textRotation="180" wrapText="1"/>
    </xf>
    <xf numFmtId="165" fontId="34" fillId="0" borderId="61" xfId="0" applyNumberFormat="1" applyFont="1" applyFill="1" applyBorder="1" applyAlignment="1" applyProtection="1">
      <alignment horizontal="center" vertical="center" wrapText="1"/>
    </xf>
    <xf numFmtId="165" fontId="34" fillId="0" borderId="59" xfId="0" applyNumberFormat="1" applyFont="1" applyFill="1" applyBorder="1" applyAlignment="1" applyProtection="1">
      <alignment horizontal="center" vertical="center" wrapText="1"/>
    </xf>
    <xf numFmtId="165" fontId="46" fillId="0" borderId="51" xfId="0" applyNumberFormat="1" applyFont="1" applyFill="1" applyBorder="1" applyAlignment="1" applyProtection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center" vertical="center" wrapText="1"/>
    </xf>
    <xf numFmtId="165" fontId="34" fillId="0" borderId="58" xfId="0" applyNumberFormat="1" applyFont="1" applyFill="1" applyBorder="1" applyAlignment="1" applyProtection="1">
      <alignment horizontal="center" vertical="center" wrapText="1"/>
    </xf>
    <xf numFmtId="165" fontId="34" fillId="0" borderId="75" xfId="0" applyNumberFormat="1" applyFont="1" applyFill="1" applyBorder="1" applyAlignment="1" applyProtection="1">
      <alignment horizontal="center" vertical="center" wrapText="1"/>
    </xf>
    <xf numFmtId="165" fontId="12" fillId="0" borderId="24" xfId="0" applyNumberFormat="1" applyFont="1" applyFill="1" applyBorder="1" applyAlignment="1" applyProtection="1">
      <alignment horizontal="center" vertical="center" wrapText="1"/>
    </xf>
    <xf numFmtId="0" fontId="20" fillId="0" borderId="0" xfId="21" applyFont="1" applyFill="1" applyAlignment="1">
      <alignment horizontal="right"/>
    </xf>
    <xf numFmtId="165" fontId="10" fillId="0" borderId="0" xfId="21" applyNumberFormat="1" applyFont="1" applyFill="1" applyBorder="1" applyAlignment="1" applyProtection="1">
      <alignment horizontal="center" vertical="center" wrapText="1"/>
    </xf>
    <xf numFmtId="0" fontId="16" fillId="0" borderId="0" xfId="48" applyFont="1" applyFill="1" applyBorder="1" applyAlignment="1" applyProtection="1">
      <alignment horizontal="right"/>
    </xf>
    <xf numFmtId="0" fontId="25" fillId="0" borderId="0" xfId="48" applyFont="1" applyFill="1" applyBorder="1" applyAlignment="1" applyProtection="1">
      <alignment horizontal="right"/>
    </xf>
    <xf numFmtId="0" fontId="35" fillId="0" borderId="11" xfId="21" applyFont="1" applyFill="1" applyBorder="1" applyAlignment="1">
      <alignment horizontal="center" vertical="center" wrapText="1"/>
    </xf>
    <xf numFmtId="0" fontId="35" fillId="0" borderId="10" xfId="21" applyFont="1" applyFill="1" applyBorder="1" applyAlignment="1">
      <alignment horizontal="center" vertical="center" wrapText="1"/>
    </xf>
    <xf numFmtId="0" fontId="35" fillId="0" borderId="4" xfId="21" applyFont="1" applyFill="1" applyBorder="1" applyAlignment="1">
      <alignment horizontal="center" vertical="center" wrapText="1"/>
    </xf>
    <xf numFmtId="0" fontId="35" fillId="0" borderId="6" xfId="21" applyFont="1" applyFill="1" applyBorder="1" applyAlignment="1">
      <alignment horizontal="center" vertical="center" wrapText="1"/>
    </xf>
    <xf numFmtId="0" fontId="35" fillId="0" borderId="17" xfId="21" applyFont="1" applyFill="1" applyBorder="1" applyAlignment="1">
      <alignment horizontal="center" vertical="center" wrapText="1"/>
    </xf>
    <xf numFmtId="0" fontId="35" fillId="0" borderId="23" xfId="21" applyFont="1" applyFill="1" applyBorder="1" applyAlignment="1">
      <alignment horizontal="center" vertical="center" wrapText="1"/>
    </xf>
    <xf numFmtId="0" fontId="8" fillId="0" borderId="0" xfId="21" applyFont="1" applyFill="1" applyAlignment="1">
      <alignment horizontal="right"/>
    </xf>
    <xf numFmtId="0" fontId="34" fillId="0" borderId="39" xfId="21" applyFont="1" applyFill="1" applyBorder="1" applyAlignment="1" applyProtection="1">
      <alignment horizontal="left"/>
    </xf>
    <xf numFmtId="0" fontId="34" fillId="0" borderId="25" xfId="21" applyFont="1" applyFill="1" applyBorder="1" applyAlignment="1" applyProtection="1">
      <alignment horizontal="left"/>
    </xf>
    <xf numFmtId="0" fontId="26" fillId="0" borderId="51" xfId="21" applyFont="1" applyFill="1" applyBorder="1" applyAlignment="1">
      <alignment horizontal="justify" vertical="center" wrapText="1"/>
    </xf>
    <xf numFmtId="165" fontId="70" fillId="0" borderId="0" xfId="0" applyNumberFormat="1" applyFont="1" applyFill="1" applyAlignment="1">
      <alignment horizontal="right" vertical="center" wrapText="1"/>
    </xf>
    <xf numFmtId="165" fontId="83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right" vertical="center" wrapText="1"/>
    </xf>
    <xf numFmtId="165" fontId="28" fillId="0" borderId="0" xfId="0" applyNumberFormat="1" applyFont="1" applyFill="1" applyAlignment="1">
      <alignment horizontal="center" vertical="center" wrapText="1"/>
    </xf>
    <xf numFmtId="165" fontId="89" fillId="0" borderId="47" xfId="0" applyNumberFormat="1" applyFont="1" applyFill="1" applyBorder="1" applyAlignment="1" applyProtection="1">
      <alignment horizontal="left" vertical="center" wrapText="1"/>
      <protection locked="0"/>
    </xf>
    <xf numFmtId="165" fontId="89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89" fillId="0" borderId="36" xfId="0" applyNumberFormat="1" applyFont="1" applyFill="1" applyBorder="1" applyAlignment="1" applyProtection="1">
      <alignment horizontal="left" vertical="center" wrapText="1"/>
      <protection locked="0"/>
    </xf>
    <xf numFmtId="165" fontId="116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16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116" fillId="0" borderId="18" xfId="28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right"/>
    </xf>
    <xf numFmtId="0" fontId="28" fillId="0" borderId="0" xfId="0" applyFont="1" applyFill="1" applyAlignment="1" applyProtection="1">
      <alignment horizontal="center" wrapText="1"/>
    </xf>
    <xf numFmtId="0" fontId="36" fillId="0" borderId="0" xfId="0" applyFont="1" applyFill="1" applyBorder="1" applyAlignment="1" applyProtection="1">
      <alignment horizontal="right"/>
    </xf>
    <xf numFmtId="0" fontId="83" fillId="0" borderId="0" xfId="0" applyFont="1" applyFill="1" applyAlignment="1" applyProtection="1">
      <alignment horizontal="center" wrapText="1"/>
    </xf>
    <xf numFmtId="0" fontId="107" fillId="0" borderId="0" xfId="0" applyFont="1" applyFill="1" applyBorder="1" applyAlignment="1" applyProtection="1">
      <alignment horizontal="right"/>
    </xf>
    <xf numFmtId="0" fontId="83" fillId="0" borderId="0" xfId="0" applyFont="1" applyFill="1" applyAlignment="1" applyProtection="1">
      <alignment horizontal="center" vertical="center" wrapText="1"/>
    </xf>
    <xf numFmtId="0" fontId="121" fillId="0" borderId="0" xfId="0" applyFont="1" applyFill="1" applyAlignment="1" applyProtection="1">
      <alignment horizontal="center" vertical="center" wrapText="1"/>
    </xf>
    <xf numFmtId="0" fontId="122" fillId="0" borderId="0" xfId="0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72" fillId="0" borderId="12" xfId="0" applyFont="1" applyFill="1" applyBorder="1" applyAlignment="1" applyProtection="1">
      <alignment horizontal="left" vertical="center" wrapText="1"/>
    </xf>
    <xf numFmtId="0" fontId="72" fillId="0" borderId="21" xfId="0" applyFont="1" applyFill="1" applyBorder="1" applyAlignment="1" applyProtection="1">
      <alignment horizontal="left" vertical="center" wrapText="1"/>
    </xf>
    <xf numFmtId="0" fontId="70" fillId="0" borderId="13" xfId="0" applyFont="1" applyFill="1" applyBorder="1" applyAlignment="1" applyProtection="1">
      <alignment horizontal="left" vertical="center" wrapText="1"/>
    </xf>
    <xf numFmtId="0" fontId="70" fillId="0" borderId="14" xfId="0" applyFont="1" applyFill="1" applyBorder="1" applyAlignment="1" applyProtection="1">
      <alignment horizontal="left" vertical="center" wrapText="1"/>
    </xf>
    <xf numFmtId="0" fontId="70" fillId="9" borderId="39" xfId="0" applyFont="1" applyFill="1" applyBorder="1" applyAlignment="1" applyProtection="1">
      <alignment horizontal="left" vertical="center" wrapText="1"/>
    </xf>
    <xf numFmtId="0" fontId="70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79" fillId="0" borderId="0" xfId="25" applyFont="1" applyAlignment="1">
      <alignment horizontal="right"/>
    </xf>
    <xf numFmtId="0" fontId="73" fillId="0" borderId="15" xfId="25" applyFont="1" applyBorder="1" applyAlignment="1">
      <alignment horizontal="center" vertical="center"/>
    </xf>
    <xf numFmtId="0" fontId="73" fillId="0" borderId="7" xfId="25" applyFont="1" applyBorder="1" applyAlignment="1">
      <alignment horizontal="center" vertical="center"/>
    </xf>
    <xf numFmtId="0" fontId="73" fillId="0" borderId="9" xfId="25" applyFont="1" applyBorder="1" applyAlignment="1">
      <alignment horizontal="center" vertical="center"/>
    </xf>
    <xf numFmtId="0" fontId="73" fillId="0" borderId="4" xfId="25" applyFont="1" applyBorder="1" applyAlignment="1">
      <alignment horizontal="left"/>
    </xf>
    <xf numFmtId="0" fontId="91" fillId="0" borderId="4" xfId="25" applyFont="1" applyBorder="1" applyAlignment="1">
      <alignment horizontal="left"/>
    </xf>
    <xf numFmtId="0" fontId="73" fillId="0" borderId="4" xfId="25" applyFont="1" applyBorder="1" applyAlignment="1">
      <alignment horizontal="center"/>
    </xf>
    <xf numFmtId="0" fontId="91" fillId="0" borderId="4" xfId="25" applyFont="1" applyBorder="1" applyAlignment="1">
      <alignment horizontal="center"/>
    </xf>
    <xf numFmtId="0" fontId="91" fillId="0" borderId="17" xfId="25" applyFont="1" applyBorder="1" applyAlignment="1">
      <alignment horizontal="center"/>
    </xf>
    <xf numFmtId="0" fontId="73" fillId="0" borderId="6" xfId="25" applyFont="1" applyBorder="1" applyAlignment="1">
      <alignment horizontal="center" vertical="top" wrapText="1"/>
    </xf>
    <xf numFmtId="0" fontId="73" fillId="0" borderId="3" xfId="25" applyFont="1" applyBorder="1" applyAlignment="1">
      <alignment horizontal="center" vertical="top" wrapText="1"/>
    </xf>
    <xf numFmtId="0" fontId="20" fillId="0" borderId="0" xfId="20" applyFont="1" applyAlignment="1">
      <alignment horizontal="right"/>
    </xf>
    <xf numFmtId="0" fontId="6" fillId="0" borderId="0" xfId="21" applyFont="1" applyFill="1" applyAlignment="1">
      <alignment horizontal="right"/>
    </xf>
    <xf numFmtId="0" fontId="28" fillId="0" borderId="0" xfId="21" applyFont="1" applyFill="1" applyAlignment="1">
      <alignment horizontal="center" wrapText="1"/>
    </xf>
    <xf numFmtId="0" fontId="28" fillId="0" borderId="0" xfId="21" applyFont="1" applyFill="1" applyAlignment="1">
      <alignment horizontal="center"/>
    </xf>
    <xf numFmtId="165" fontId="13" fillId="0" borderId="34" xfId="50" applyNumberFormat="1" applyFont="1" applyFill="1" applyBorder="1" applyAlignment="1" applyProtection="1">
      <alignment horizontal="left" vertical="center" wrapText="1" indent="2"/>
    </xf>
    <xf numFmtId="165" fontId="13" fillId="0" borderId="44" xfId="50" applyNumberFormat="1" applyFont="1" applyFill="1" applyBorder="1" applyAlignment="1" applyProtection="1">
      <alignment horizontal="left" vertical="center" wrapText="1" indent="2"/>
    </xf>
    <xf numFmtId="165" fontId="0" fillId="0" borderId="0" xfId="0" applyNumberFormat="1" applyFont="1" applyFill="1" applyAlignment="1">
      <alignment horizontal="right" vertical="center" wrapText="1"/>
    </xf>
    <xf numFmtId="0" fontId="13" fillId="0" borderId="61" xfId="50" applyNumberFormat="1" applyFont="1" applyFill="1" applyBorder="1" applyAlignment="1" applyProtection="1">
      <alignment horizontal="center" vertical="center" wrapText="1"/>
    </xf>
    <xf numFmtId="0" fontId="13" fillId="0" borderId="59" xfId="50" applyNumberFormat="1" applyFont="1" applyFill="1" applyBorder="1" applyAlignment="1" applyProtection="1">
      <alignment horizontal="center" vertical="center" wrapText="1"/>
    </xf>
    <xf numFmtId="0" fontId="13" fillId="0" borderId="61" xfId="50" applyNumberFormat="1" applyFont="1" applyFill="1" applyBorder="1" applyAlignment="1" applyProtection="1">
      <alignment horizontal="center" vertical="center"/>
    </xf>
    <xf numFmtId="0" fontId="13" fillId="0" borderId="59" xfId="50" applyNumberFormat="1" applyFont="1" applyFill="1" applyBorder="1" applyAlignment="1" applyProtection="1">
      <alignment horizontal="center" vertical="center"/>
    </xf>
    <xf numFmtId="0" fontId="13" fillId="0" borderId="46" xfId="50" applyNumberFormat="1" applyFont="1" applyFill="1" applyBorder="1" applyAlignment="1" applyProtection="1">
      <alignment horizontal="center" vertical="center"/>
    </xf>
    <xf numFmtId="0" fontId="13" fillId="0" borderId="71" xfId="50" applyNumberFormat="1" applyFont="1" applyFill="1" applyBorder="1" applyAlignment="1" applyProtection="1">
      <alignment horizontal="center" vertical="center"/>
    </xf>
    <xf numFmtId="0" fontId="13" fillId="0" borderId="57" xfId="5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1" fillId="0" borderId="0" xfId="0" applyFont="1" applyAlignment="1">
      <alignment horizontal="center" wrapText="1"/>
    </xf>
    <xf numFmtId="0" fontId="33" fillId="0" borderId="51" xfId="0" applyFont="1" applyFill="1" applyBorder="1" applyAlignment="1">
      <alignment horizontal="justify" vertical="center" wrapText="1"/>
    </xf>
    <xf numFmtId="0" fontId="6" fillId="0" borderId="0" xfId="23" applyFont="1" applyFill="1" applyAlignment="1" applyProtection="1">
      <alignment horizontal="right"/>
    </xf>
    <xf numFmtId="0" fontId="28" fillId="0" borderId="0" xfId="23" applyFont="1" applyFill="1" applyAlignment="1" applyProtection="1">
      <alignment horizontal="center" wrapText="1"/>
    </xf>
    <xf numFmtId="0" fontId="28" fillId="0" borderId="0" xfId="23" applyFont="1" applyFill="1" applyAlignment="1" applyProtection="1">
      <alignment horizontal="center"/>
    </xf>
    <xf numFmtId="0" fontId="25" fillId="0" borderId="68" xfId="23" applyFont="1" applyFill="1" applyBorder="1" applyAlignment="1" applyProtection="1">
      <alignment horizontal="left" vertical="center" indent="1"/>
    </xf>
    <xf numFmtId="0" fontId="25" fillId="0" borderId="35" xfId="23" applyFont="1" applyFill="1" applyBorder="1" applyAlignment="1" applyProtection="1">
      <alignment horizontal="left" vertical="center" indent="1"/>
    </xf>
    <xf numFmtId="0" fontId="25" fillId="0" borderId="44" xfId="23" applyFont="1" applyFill="1" applyBorder="1" applyAlignment="1" applyProtection="1">
      <alignment horizontal="left" vertical="center" indent="1"/>
    </xf>
    <xf numFmtId="0" fontId="6" fillId="0" borderId="0" xfId="18" applyFont="1" applyAlignment="1">
      <alignment horizontal="right"/>
    </xf>
    <xf numFmtId="0" fontId="21" fillId="0" borderId="0" xfId="52" applyFont="1" applyFill="1" applyBorder="1" applyAlignment="1" applyProtection="1">
      <alignment horizontal="center" vertical="center"/>
    </xf>
    <xf numFmtId="0" fontId="65" fillId="0" borderId="11" xfId="18" applyFont="1" applyBorder="1" applyAlignment="1">
      <alignment horizontal="center" vertical="center"/>
    </xf>
    <xf numFmtId="0" fontId="65" fillId="0" borderId="8" xfId="18" applyFont="1" applyBorder="1" applyAlignment="1">
      <alignment horizontal="center" vertical="center"/>
    </xf>
    <xf numFmtId="0" fontId="28" fillId="0" borderId="4" xfId="18" applyFont="1" applyBorder="1" applyAlignment="1">
      <alignment horizontal="center" vertical="center" wrapText="1"/>
    </xf>
    <xf numFmtId="0" fontId="28" fillId="0" borderId="2" xfId="18" applyFont="1" applyBorder="1" applyAlignment="1">
      <alignment horizontal="center" vertical="center" wrapText="1"/>
    </xf>
    <xf numFmtId="170" fontId="28" fillId="0" borderId="17" xfId="18" applyNumberFormat="1" applyFont="1" applyBorder="1" applyAlignment="1">
      <alignment horizontal="right" vertical="center" wrapText="1"/>
    </xf>
    <xf numFmtId="170" fontId="28" fillId="0" borderId="18" xfId="18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center" wrapText="1"/>
    </xf>
    <xf numFmtId="0" fontId="39" fillId="0" borderId="0" xfId="0" applyFont="1" applyAlignment="1" applyProtection="1">
      <alignment horizontal="right"/>
    </xf>
    <xf numFmtId="0" fontId="34" fillId="0" borderId="34" xfId="0" applyFont="1" applyBorder="1" applyAlignment="1" applyProtection="1">
      <alignment horizontal="left" vertical="center" indent="2"/>
    </xf>
    <xf numFmtId="0" fontId="34" fillId="0" borderId="44" xfId="0" applyFont="1" applyBorder="1" applyAlignment="1" applyProtection="1">
      <alignment horizontal="left" vertical="center" indent="2"/>
    </xf>
    <xf numFmtId="0" fontId="13" fillId="0" borderId="34" xfId="19" applyFont="1" applyBorder="1" applyAlignment="1">
      <alignment horizontal="right"/>
    </xf>
    <xf numFmtId="0" fontId="13" fillId="0" borderId="44" xfId="19" applyFont="1" applyBorder="1" applyAlignment="1">
      <alignment horizontal="right"/>
    </xf>
    <xf numFmtId="0" fontId="36" fillId="0" borderId="63" xfId="19" applyFont="1" applyBorder="1" applyAlignment="1">
      <alignment horizontal="center"/>
    </xf>
    <xf numFmtId="0" fontId="36" fillId="0" borderId="51" xfId="19" applyFont="1" applyBorder="1" applyAlignment="1">
      <alignment horizontal="center"/>
    </xf>
    <xf numFmtId="0" fontId="36" fillId="0" borderId="35" xfId="19" applyFont="1" applyBorder="1" applyAlignment="1">
      <alignment horizontal="center"/>
    </xf>
    <xf numFmtId="0" fontId="36" fillId="0" borderId="44" xfId="19" applyFont="1" applyBorder="1" applyAlignment="1">
      <alignment horizontal="center"/>
    </xf>
    <xf numFmtId="0" fontId="36" fillId="0" borderId="60" xfId="19" applyFont="1" applyBorder="1" applyAlignment="1">
      <alignment horizontal="center"/>
    </xf>
    <xf numFmtId="0" fontId="36" fillId="0" borderId="24" xfId="19" applyFont="1" applyBorder="1" applyAlignment="1">
      <alignment horizontal="center"/>
    </xf>
    <xf numFmtId="0" fontId="36" fillId="0" borderId="43" xfId="19" applyFont="1" applyBorder="1" applyAlignment="1">
      <alignment horizontal="center"/>
    </xf>
    <xf numFmtId="0" fontId="36" fillId="0" borderId="0" xfId="19" applyFont="1" applyBorder="1" applyAlignment="1">
      <alignment horizontal="center"/>
    </xf>
    <xf numFmtId="0" fontId="36" fillId="0" borderId="52" xfId="19" applyFont="1" applyBorder="1" applyAlignment="1">
      <alignment horizontal="center"/>
    </xf>
    <xf numFmtId="0" fontId="36" fillId="0" borderId="48" xfId="19" applyFont="1" applyBorder="1" applyAlignment="1">
      <alignment horizontal="center"/>
    </xf>
    <xf numFmtId="49" fontId="36" fillId="0" borderId="43" xfId="19" applyNumberFormat="1" applyFont="1" applyBorder="1" applyAlignment="1">
      <alignment horizontal="center"/>
    </xf>
    <xf numFmtId="49" fontId="36" fillId="0" borderId="0" xfId="19" applyNumberFormat="1" applyFont="1" applyBorder="1" applyAlignment="1">
      <alignment horizontal="center"/>
    </xf>
    <xf numFmtId="49" fontId="36" fillId="0" borderId="24" xfId="19" applyNumberFormat="1" applyFont="1" applyBorder="1" applyAlignment="1">
      <alignment horizontal="center"/>
    </xf>
    <xf numFmtId="49" fontId="36" fillId="0" borderId="45" xfId="19" applyNumberFormat="1" applyFont="1" applyBorder="1" applyAlignment="1">
      <alignment horizontal="center"/>
    </xf>
    <xf numFmtId="0" fontId="88" fillId="0" borderId="43" xfId="19" applyFont="1" applyBorder="1" applyAlignment="1">
      <alignment horizontal="center"/>
    </xf>
    <xf numFmtId="0" fontId="88" fillId="0" borderId="0" xfId="19" applyFont="1" applyBorder="1" applyAlignment="1">
      <alignment horizontal="center"/>
    </xf>
    <xf numFmtId="0" fontId="88" fillId="0" borderId="48" xfId="19" applyFont="1" applyBorder="1" applyAlignment="1">
      <alignment horizontal="center"/>
    </xf>
    <xf numFmtId="0" fontId="23" fillId="0" borderId="34" xfId="19" quotePrefix="1" applyFont="1" applyBorder="1" applyAlignment="1">
      <alignment horizontal="right"/>
    </xf>
    <xf numFmtId="0" fontId="23" fillId="0" borderId="44" xfId="19" quotePrefix="1" applyFont="1" applyBorder="1" applyAlignment="1">
      <alignment horizontal="right"/>
    </xf>
    <xf numFmtId="0" fontId="115" fillId="0" borderId="0" xfId="19" applyFont="1" applyAlignment="1">
      <alignment horizontal="right"/>
    </xf>
    <xf numFmtId="3" fontId="6" fillId="0" borderId="0" xfId="21" applyNumberFormat="1" applyFont="1" applyFill="1" applyAlignment="1">
      <alignment horizontal="right"/>
    </xf>
    <xf numFmtId="49" fontId="50" fillId="0" borderId="0" xfId="19" applyNumberFormat="1" applyFont="1" applyAlignment="1">
      <alignment horizontal="center"/>
    </xf>
    <xf numFmtId="0" fontId="50" fillId="0" borderId="0" xfId="19" applyFont="1" applyAlignment="1">
      <alignment horizontal="center"/>
    </xf>
    <xf numFmtId="0" fontId="65" fillId="0" borderId="61" xfId="19" applyFont="1" applyBorder="1" applyAlignment="1">
      <alignment horizontal="center" vertical="center" wrapText="1"/>
    </xf>
    <xf numFmtId="0" fontId="65" fillId="0" borderId="38" xfId="19" applyFont="1" applyBorder="1" applyAlignment="1">
      <alignment horizontal="center" vertical="center" wrapText="1"/>
    </xf>
    <xf numFmtId="0" fontId="65" fillId="0" borderId="59" xfId="19" applyFont="1" applyBorder="1" applyAlignment="1">
      <alignment horizontal="center" vertical="center" wrapText="1"/>
    </xf>
    <xf numFmtId="0" fontId="12" fillId="0" borderId="61" xfId="19" applyFont="1" applyBorder="1" applyAlignment="1">
      <alignment horizontal="center" vertical="center" wrapText="1"/>
    </xf>
    <xf numFmtId="0" fontId="12" fillId="0" borderId="38" xfId="19" applyFont="1" applyBorder="1" applyAlignment="1">
      <alignment horizontal="center" vertical="center" wrapText="1"/>
    </xf>
    <xf numFmtId="0" fontId="12" fillId="0" borderId="59" xfId="19" applyFont="1" applyBorder="1" applyAlignment="1">
      <alignment horizontal="center" vertical="center" wrapText="1"/>
    </xf>
    <xf numFmtId="0" fontId="12" fillId="0" borderId="11" xfId="19" applyFont="1" applyBorder="1" applyAlignment="1">
      <alignment horizontal="center"/>
    </xf>
    <xf numFmtId="0" fontId="12" fillId="0" borderId="4" xfId="19" applyFont="1" applyBorder="1" applyAlignment="1">
      <alignment horizontal="center"/>
    </xf>
    <xf numFmtId="0" fontId="12" fillId="0" borderId="17" xfId="19" applyFont="1" applyBorder="1" applyAlignment="1">
      <alignment horizontal="center"/>
    </xf>
    <xf numFmtId="0" fontId="28" fillId="0" borderId="0" xfId="21" applyFont="1" applyFill="1" applyAlignment="1" applyProtection="1">
      <alignment horizontal="center" wrapText="1"/>
    </xf>
    <xf numFmtId="0" fontId="20" fillId="0" borderId="0" xfId="25" applyFont="1" applyAlignment="1">
      <alignment horizontal="right"/>
    </xf>
    <xf numFmtId="0" fontId="53" fillId="0" borderId="0" xfId="22" applyFont="1" applyFill="1" applyAlignment="1">
      <alignment horizontal="center"/>
    </xf>
    <xf numFmtId="0" fontId="50" fillId="0" borderId="0" xfId="25" applyFont="1" applyAlignment="1">
      <alignment horizontal="center" vertical="center" wrapText="1"/>
    </xf>
    <xf numFmtId="0" fontId="32" fillId="0" borderId="61" xfId="25" applyFont="1" applyBorder="1" applyAlignment="1">
      <alignment horizontal="center" vertical="center"/>
    </xf>
    <xf numFmtId="0" fontId="32" fillId="0" borderId="38" xfId="25" applyFont="1" applyBorder="1" applyAlignment="1">
      <alignment horizontal="center" vertical="center"/>
    </xf>
    <xf numFmtId="0" fontId="32" fillId="0" borderId="59" xfId="25" applyFont="1" applyBorder="1" applyAlignment="1">
      <alignment horizontal="center" vertical="center"/>
    </xf>
    <xf numFmtId="0" fontId="24" fillId="0" borderId="61" xfId="25" applyFont="1" applyBorder="1" applyAlignment="1">
      <alignment horizontal="center" vertical="center" wrapText="1"/>
    </xf>
    <xf numFmtId="0" fontId="24" fillId="0" borderId="38" xfId="25" applyFont="1" applyBorder="1" applyAlignment="1">
      <alignment horizontal="center" vertical="center" wrapText="1"/>
    </xf>
    <xf numFmtId="0" fontId="24" fillId="0" borderId="59" xfId="25" applyFont="1" applyBorder="1" applyAlignment="1">
      <alignment horizontal="center" vertical="center" wrapText="1"/>
    </xf>
  </cellXfs>
  <cellStyles count="54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31"/>
    <cellStyle name="Ezres 2 3" xfId="29"/>
    <cellStyle name="Ezres 2 4" xfId="35"/>
    <cellStyle name="Ezres 3" xfId="8"/>
    <cellStyle name="Ezres 3 2" xfId="32"/>
    <cellStyle name="Ezres 3 3" xfId="30"/>
    <cellStyle name="Ezres 4" xfId="9"/>
    <cellStyle name="Ezres 4 2" xfId="10"/>
    <cellStyle name="Ezres 4 2 2" xfId="26"/>
    <cellStyle name="Ezres 5" xfId="34"/>
    <cellStyle name="Ezres 5 2" xfId="43"/>
    <cellStyle name="Ezres 5 3" xfId="53"/>
    <cellStyle name="Ezres 6" xfId="39"/>
    <cellStyle name="Ezres 6 2" xfId="45"/>
    <cellStyle name="Ezres 6 3" xfId="49"/>
    <cellStyle name="Ezres 7" xfId="41"/>
    <cellStyle name="Ezres 7 2" xfId="47"/>
    <cellStyle name="Ezres 7 3" xfId="51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2 3" xfId="36"/>
    <cellStyle name="Normál 3" xfId="15"/>
    <cellStyle name="Normál 3 2" xfId="16"/>
    <cellStyle name="Normál 3 2 2" xfId="17"/>
    <cellStyle name="Normál 4" xfId="33"/>
    <cellStyle name="Normál 4 2" xfId="42"/>
    <cellStyle name="Normál 4 3" xfId="52"/>
    <cellStyle name="Normál 5" xfId="38"/>
    <cellStyle name="Normál 5 2" xfId="44"/>
    <cellStyle name="Normál 5 3" xfId="48"/>
    <cellStyle name="Normál 6" xfId="40"/>
    <cellStyle name="Normál 6 2" xfId="46"/>
    <cellStyle name="Normál 6 3" xfId="50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  <cellStyle name="Százalék 2" xfId="37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age\Dokumentumok1\Hogyan%20k&#233;sz&#237;ts%20j&#243;%20k&#246;lts&#233;gvet&#233;s\2020\TERV_ZARSZ_ONKRM\Tartalom\&#214;NKORM&#193;NYZAT\EXCEL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SZEK-5\Downloads\VK\VK2\3.%20m&#243;dos&#237;t&#225;s%20ut&#225;n-2020.%20m&#225;jus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/>
      <sheetData sheetId="2">
        <row r="5">
          <cell r="A5" t="str">
            <v>2020. évi előirányzat BEVÉTELEK</v>
          </cell>
        </row>
        <row r="12">
          <cell r="A12" t="str">
            <v>2020. évi előirányzat KIADÁSOK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 refreshError="1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 refreshError="1"/>
      <sheetData sheetId="2" refreshError="1"/>
      <sheetData sheetId="3" refreshError="1">
        <row r="11">
          <cell r="D11">
            <v>183403360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183403360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113272668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113272668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5405000</v>
          </cell>
        </row>
        <row r="43">
          <cell r="D43">
            <v>0</v>
          </cell>
        </row>
        <row r="44">
          <cell r="D44">
            <v>4255905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1149095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1109000</v>
          </cell>
        </row>
        <row r="61">
          <cell r="D61">
            <v>0</v>
          </cell>
        </row>
        <row r="62">
          <cell r="D62">
            <v>400000</v>
          </cell>
        </row>
        <row r="63">
          <cell r="D63">
            <v>709000</v>
          </cell>
        </row>
        <row r="64">
          <cell r="D64">
            <v>0</v>
          </cell>
        </row>
        <row r="65">
          <cell r="D65">
            <v>6000000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6000000</v>
          </cell>
        </row>
        <row r="69">
          <cell r="D69">
            <v>6000000</v>
          </cell>
        </row>
        <row r="70">
          <cell r="D70">
            <v>309190028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8179828</v>
          </cell>
        </row>
        <row r="81">
          <cell r="D81">
            <v>8179828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8179828</v>
          </cell>
        </row>
        <row r="95">
          <cell r="D95">
            <v>317369856</v>
          </cell>
        </row>
        <row r="101">
          <cell r="D101">
            <v>84152091</v>
          </cell>
        </row>
        <row r="102">
          <cell r="D102">
            <v>6764448</v>
          </cell>
        </row>
        <row r="103">
          <cell r="D103">
            <v>2186205</v>
          </cell>
        </row>
        <row r="104">
          <cell r="D104">
            <v>65580469</v>
          </cell>
        </row>
        <row r="105">
          <cell r="D105">
            <v>0</v>
          </cell>
        </row>
        <row r="106">
          <cell r="D106">
            <v>9620969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9620969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11585208</v>
          </cell>
        </row>
        <row r="123">
          <cell r="D123">
            <v>11585208</v>
          </cell>
        </row>
        <row r="124">
          <cell r="D124">
            <v>11016896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95737299</v>
          </cell>
        </row>
        <row r="137">
          <cell r="D137">
            <v>3474590</v>
          </cell>
        </row>
        <row r="138">
          <cell r="D138">
            <v>3474590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3474590</v>
          </cell>
        </row>
        <row r="162">
          <cell r="D162">
            <v>99211889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19"/>
  <sheetViews>
    <sheetView zoomScale="130" zoomScaleNormal="130" workbookViewId="0">
      <selection activeCell="F8" sqref="F8"/>
    </sheetView>
  </sheetViews>
  <sheetFormatPr defaultRowHeight="12.75" x14ac:dyDescent="0.2"/>
  <cols>
    <col min="1" max="1" width="32" bestFit="1" customWidth="1"/>
    <col min="3" max="3" width="1.83203125" bestFit="1" customWidth="1"/>
    <col min="5" max="5" width="1.83203125" bestFit="1" customWidth="1"/>
    <col min="7" max="7" width="1.83203125" bestFit="1" customWidth="1"/>
    <col min="8" max="8" width="26.1640625" customWidth="1"/>
  </cols>
  <sheetData>
    <row r="1" spans="1:10" ht="18.75" x14ac:dyDescent="0.3">
      <c r="A1" s="1438" t="s">
        <v>878</v>
      </c>
      <c r="B1" s="1438"/>
      <c r="C1" s="1438"/>
      <c r="D1" s="1438"/>
      <c r="E1" s="1438"/>
      <c r="F1" s="1438"/>
      <c r="G1" s="1438"/>
      <c r="H1" s="1438"/>
      <c r="I1" s="1438"/>
      <c r="J1" s="1438"/>
    </row>
    <row r="2" spans="1:10" x14ac:dyDescent="0.2">
      <c r="A2" s="847">
        <v>2020</v>
      </c>
      <c r="B2" s="847" t="s">
        <v>879</v>
      </c>
      <c r="C2" s="838"/>
      <c r="D2" s="838"/>
      <c r="E2" s="838"/>
      <c r="F2" s="838"/>
      <c r="G2" s="838"/>
      <c r="H2" s="838"/>
      <c r="I2" s="838"/>
      <c r="J2" s="838"/>
    </row>
    <row r="3" spans="1:10" ht="15.75" x14ac:dyDescent="0.25">
      <c r="A3" s="1439" t="s">
        <v>887</v>
      </c>
      <c r="B3" s="1439"/>
      <c r="C3" s="1439"/>
      <c r="D3" s="1439"/>
      <c r="E3" s="1439"/>
      <c r="F3" s="1439"/>
      <c r="G3" s="1439"/>
      <c r="H3" s="1439"/>
      <c r="I3" s="838"/>
      <c r="J3" s="838"/>
    </row>
    <row r="6" spans="1:10" ht="15" x14ac:dyDescent="0.25">
      <c r="A6" s="842" t="s">
        <v>880</v>
      </c>
      <c r="B6" s="838"/>
      <c r="C6" s="838"/>
      <c r="D6" s="838"/>
      <c r="E6" s="838"/>
      <c r="F6" s="838"/>
      <c r="G6" s="838"/>
      <c r="H6" s="838"/>
      <c r="I6" s="838"/>
      <c r="J6" s="838"/>
    </row>
    <row r="7" spans="1:10" x14ac:dyDescent="0.2">
      <c r="A7" s="843" t="s">
        <v>881</v>
      </c>
      <c r="B7" s="844">
        <v>21</v>
      </c>
      <c r="C7" s="845" t="s">
        <v>882</v>
      </c>
      <c r="D7" s="845" t="s">
        <v>813</v>
      </c>
      <c r="E7" s="845" t="s">
        <v>883</v>
      </c>
      <c r="F7" s="844" t="s">
        <v>1043</v>
      </c>
      <c r="G7" s="845" t="s">
        <v>884</v>
      </c>
      <c r="H7" s="845" t="s">
        <v>1025</v>
      </c>
      <c r="I7" s="845"/>
      <c r="J7" s="845"/>
    </row>
    <row r="8" spans="1:10" x14ac:dyDescent="0.2">
      <c r="A8" s="839"/>
      <c r="B8" s="839"/>
      <c r="C8" s="839"/>
      <c r="D8" s="839"/>
      <c r="E8" s="839"/>
      <c r="F8" s="839"/>
      <c r="G8" s="839"/>
      <c r="H8" s="839"/>
      <c r="I8" s="839"/>
      <c r="J8" s="839"/>
    </row>
    <row r="11" spans="1:10" ht="14.25" x14ac:dyDescent="0.2">
      <c r="A11" s="846" t="s">
        <v>885</v>
      </c>
      <c r="B11" s="1440" t="s">
        <v>886</v>
      </c>
      <c r="C11" s="1440"/>
      <c r="D11" s="1440"/>
      <c r="E11" s="1440"/>
      <c r="F11" s="1440"/>
      <c r="G11" s="1440"/>
      <c r="H11" s="1440"/>
      <c r="I11" s="841"/>
      <c r="J11" s="841"/>
    </row>
    <row r="12" spans="1:10" ht="14.25" x14ac:dyDescent="0.2">
      <c r="A12" s="846" t="s">
        <v>888</v>
      </c>
    </row>
    <row r="13" spans="1:10" ht="14.25" x14ac:dyDescent="0.2">
      <c r="A13" s="846" t="s">
        <v>889</v>
      </c>
    </row>
    <row r="14" spans="1:10" ht="14.25" x14ac:dyDescent="0.2">
      <c r="A14" s="846" t="s">
        <v>890</v>
      </c>
    </row>
    <row r="15" spans="1:10" ht="14.25" x14ac:dyDescent="0.2">
      <c r="A15" s="846" t="s">
        <v>885</v>
      </c>
    </row>
    <row r="16" spans="1:10" ht="14.25" x14ac:dyDescent="0.2">
      <c r="A16" s="846" t="s">
        <v>885</v>
      </c>
    </row>
    <row r="17" spans="1:1" ht="14.25" x14ac:dyDescent="0.2">
      <c r="A17" s="846" t="s">
        <v>885</v>
      </c>
    </row>
    <row r="18" spans="1:1" ht="14.25" x14ac:dyDescent="0.2">
      <c r="A18" s="846" t="s">
        <v>885</v>
      </c>
    </row>
    <row r="19" spans="1:1" ht="14.25" x14ac:dyDescent="0.2">
      <c r="A19" s="846" t="s">
        <v>885</v>
      </c>
    </row>
  </sheetData>
  <mergeCells count="3">
    <mergeCell ref="A1:J1"/>
    <mergeCell ref="A3:H3"/>
    <mergeCell ref="B11:H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K31"/>
  <sheetViews>
    <sheetView zoomScaleSheetLayoutView="85" workbookViewId="0">
      <selection sqref="A1:H1"/>
    </sheetView>
  </sheetViews>
  <sheetFormatPr defaultRowHeight="15" x14ac:dyDescent="0.25"/>
  <cols>
    <col min="1" max="1" width="5.6640625" style="905" customWidth="1"/>
    <col min="2" max="2" width="41.1640625" style="905" customWidth="1"/>
    <col min="3" max="3" width="17.6640625" style="905" customWidth="1"/>
    <col min="4" max="7" width="14" style="905" customWidth="1"/>
    <col min="8" max="8" width="16.6640625" style="905" customWidth="1"/>
    <col min="9" max="256" width="9.33203125" style="905"/>
    <col min="257" max="257" width="5.6640625" style="905" customWidth="1"/>
    <col min="258" max="258" width="41.1640625" style="905" customWidth="1"/>
    <col min="259" max="259" width="17.6640625" style="905" customWidth="1"/>
    <col min="260" max="263" width="14" style="905" customWidth="1"/>
    <col min="264" max="264" width="16.6640625" style="905" customWidth="1"/>
    <col min="265" max="512" width="9.33203125" style="905"/>
    <col min="513" max="513" width="5.6640625" style="905" customWidth="1"/>
    <col min="514" max="514" width="41.1640625" style="905" customWidth="1"/>
    <col min="515" max="515" width="17.6640625" style="905" customWidth="1"/>
    <col min="516" max="519" width="14" style="905" customWidth="1"/>
    <col min="520" max="520" width="16.6640625" style="905" customWidth="1"/>
    <col min="521" max="768" width="9.33203125" style="905"/>
    <col min="769" max="769" width="5.6640625" style="905" customWidth="1"/>
    <col min="770" max="770" width="41.1640625" style="905" customWidth="1"/>
    <col min="771" max="771" width="17.6640625" style="905" customWidth="1"/>
    <col min="772" max="775" width="14" style="905" customWidth="1"/>
    <col min="776" max="776" width="16.6640625" style="905" customWidth="1"/>
    <col min="777" max="1024" width="9.33203125" style="905"/>
    <col min="1025" max="1025" width="5.6640625" style="905" customWidth="1"/>
    <col min="1026" max="1026" width="41.1640625" style="905" customWidth="1"/>
    <col min="1027" max="1027" width="17.6640625" style="905" customWidth="1"/>
    <col min="1028" max="1031" width="14" style="905" customWidth="1"/>
    <col min="1032" max="1032" width="16.6640625" style="905" customWidth="1"/>
    <col min="1033" max="1280" width="9.33203125" style="905"/>
    <col min="1281" max="1281" width="5.6640625" style="905" customWidth="1"/>
    <col min="1282" max="1282" width="41.1640625" style="905" customWidth="1"/>
    <col min="1283" max="1283" width="17.6640625" style="905" customWidth="1"/>
    <col min="1284" max="1287" width="14" style="905" customWidth="1"/>
    <col min="1288" max="1288" width="16.6640625" style="905" customWidth="1"/>
    <col min="1289" max="1536" width="9.33203125" style="905"/>
    <col min="1537" max="1537" width="5.6640625" style="905" customWidth="1"/>
    <col min="1538" max="1538" width="41.1640625" style="905" customWidth="1"/>
    <col min="1539" max="1539" width="17.6640625" style="905" customWidth="1"/>
    <col min="1540" max="1543" width="14" style="905" customWidth="1"/>
    <col min="1544" max="1544" width="16.6640625" style="905" customWidth="1"/>
    <col min="1545" max="1792" width="9.33203125" style="905"/>
    <col min="1793" max="1793" width="5.6640625" style="905" customWidth="1"/>
    <col min="1794" max="1794" width="41.1640625" style="905" customWidth="1"/>
    <col min="1795" max="1795" width="17.6640625" style="905" customWidth="1"/>
    <col min="1796" max="1799" width="14" style="905" customWidth="1"/>
    <col min="1800" max="1800" width="16.6640625" style="905" customWidth="1"/>
    <col min="1801" max="2048" width="9.33203125" style="905"/>
    <col min="2049" max="2049" width="5.6640625" style="905" customWidth="1"/>
    <col min="2050" max="2050" width="41.1640625" style="905" customWidth="1"/>
    <col min="2051" max="2051" width="17.6640625" style="905" customWidth="1"/>
    <col min="2052" max="2055" width="14" style="905" customWidth="1"/>
    <col min="2056" max="2056" width="16.6640625" style="905" customWidth="1"/>
    <col min="2057" max="2304" width="9.33203125" style="905"/>
    <col min="2305" max="2305" width="5.6640625" style="905" customWidth="1"/>
    <col min="2306" max="2306" width="41.1640625" style="905" customWidth="1"/>
    <col min="2307" max="2307" width="17.6640625" style="905" customWidth="1"/>
    <col min="2308" max="2311" width="14" style="905" customWidth="1"/>
    <col min="2312" max="2312" width="16.6640625" style="905" customWidth="1"/>
    <col min="2313" max="2560" width="9.33203125" style="905"/>
    <col min="2561" max="2561" width="5.6640625" style="905" customWidth="1"/>
    <col min="2562" max="2562" width="41.1640625" style="905" customWidth="1"/>
    <col min="2563" max="2563" width="17.6640625" style="905" customWidth="1"/>
    <col min="2564" max="2567" width="14" style="905" customWidth="1"/>
    <col min="2568" max="2568" width="16.6640625" style="905" customWidth="1"/>
    <col min="2569" max="2816" width="9.33203125" style="905"/>
    <col min="2817" max="2817" width="5.6640625" style="905" customWidth="1"/>
    <col min="2818" max="2818" width="41.1640625" style="905" customWidth="1"/>
    <col min="2819" max="2819" width="17.6640625" style="905" customWidth="1"/>
    <col min="2820" max="2823" width="14" style="905" customWidth="1"/>
    <col min="2824" max="2824" width="16.6640625" style="905" customWidth="1"/>
    <col min="2825" max="3072" width="9.33203125" style="905"/>
    <col min="3073" max="3073" width="5.6640625" style="905" customWidth="1"/>
    <col min="3074" max="3074" width="41.1640625" style="905" customWidth="1"/>
    <col min="3075" max="3075" width="17.6640625" style="905" customWidth="1"/>
    <col min="3076" max="3079" width="14" style="905" customWidth="1"/>
    <col min="3080" max="3080" width="16.6640625" style="905" customWidth="1"/>
    <col min="3081" max="3328" width="9.33203125" style="905"/>
    <col min="3329" max="3329" width="5.6640625" style="905" customWidth="1"/>
    <col min="3330" max="3330" width="41.1640625" style="905" customWidth="1"/>
    <col min="3331" max="3331" width="17.6640625" style="905" customWidth="1"/>
    <col min="3332" max="3335" width="14" style="905" customWidth="1"/>
    <col min="3336" max="3336" width="16.6640625" style="905" customWidth="1"/>
    <col min="3337" max="3584" width="9.33203125" style="905"/>
    <col min="3585" max="3585" width="5.6640625" style="905" customWidth="1"/>
    <col min="3586" max="3586" width="41.1640625" style="905" customWidth="1"/>
    <col min="3587" max="3587" width="17.6640625" style="905" customWidth="1"/>
    <col min="3588" max="3591" width="14" style="905" customWidth="1"/>
    <col min="3592" max="3592" width="16.6640625" style="905" customWidth="1"/>
    <col min="3593" max="3840" width="9.33203125" style="905"/>
    <col min="3841" max="3841" width="5.6640625" style="905" customWidth="1"/>
    <col min="3842" max="3842" width="41.1640625" style="905" customWidth="1"/>
    <col min="3843" max="3843" width="17.6640625" style="905" customWidth="1"/>
    <col min="3844" max="3847" width="14" style="905" customWidth="1"/>
    <col min="3848" max="3848" width="16.6640625" style="905" customWidth="1"/>
    <col min="3849" max="4096" width="9.33203125" style="905"/>
    <col min="4097" max="4097" width="5.6640625" style="905" customWidth="1"/>
    <col min="4098" max="4098" width="41.1640625" style="905" customWidth="1"/>
    <col min="4099" max="4099" width="17.6640625" style="905" customWidth="1"/>
    <col min="4100" max="4103" width="14" style="905" customWidth="1"/>
    <col min="4104" max="4104" width="16.6640625" style="905" customWidth="1"/>
    <col min="4105" max="4352" width="9.33203125" style="905"/>
    <col min="4353" max="4353" width="5.6640625" style="905" customWidth="1"/>
    <col min="4354" max="4354" width="41.1640625" style="905" customWidth="1"/>
    <col min="4355" max="4355" width="17.6640625" style="905" customWidth="1"/>
    <col min="4356" max="4359" width="14" style="905" customWidth="1"/>
    <col min="4360" max="4360" width="16.6640625" style="905" customWidth="1"/>
    <col min="4361" max="4608" width="9.33203125" style="905"/>
    <col min="4609" max="4609" width="5.6640625" style="905" customWidth="1"/>
    <col min="4610" max="4610" width="41.1640625" style="905" customWidth="1"/>
    <col min="4611" max="4611" width="17.6640625" style="905" customWidth="1"/>
    <col min="4612" max="4615" width="14" style="905" customWidth="1"/>
    <col min="4616" max="4616" width="16.6640625" style="905" customWidth="1"/>
    <col min="4617" max="4864" width="9.33203125" style="905"/>
    <col min="4865" max="4865" width="5.6640625" style="905" customWidth="1"/>
    <col min="4866" max="4866" width="41.1640625" style="905" customWidth="1"/>
    <col min="4867" max="4867" width="17.6640625" style="905" customWidth="1"/>
    <col min="4868" max="4871" width="14" style="905" customWidth="1"/>
    <col min="4872" max="4872" width="16.6640625" style="905" customWidth="1"/>
    <col min="4873" max="5120" width="9.33203125" style="905"/>
    <col min="5121" max="5121" width="5.6640625" style="905" customWidth="1"/>
    <col min="5122" max="5122" width="41.1640625" style="905" customWidth="1"/>
    <col min="5123" max="5123" width="17.6640625" style="905" customWidth="1"/>
    <col min="5124" max="5127" width="14" style="905" customWidth="1"/>
    <col min="5128" max="5128" width="16.6640625" style="905" customWidth="1"/>
    <col min="5129" max="5376" width="9.33203125" style="905"/>
    <col min="5377" max="5377" width="5.6640625" style="905" customWidth="1"/>
    <col min="5378" max="5378" width="41.1640625" style="905" customWidth="1"/>
    <col min="5379" max="5379" width="17.6640625" style="905" customWidth="1"/>
    <col min="5380" max="5383" width="14" style="905" customWidth="1"/>
    <col min="5384" max="5384" width="16.6640625" style="905" customWidth="1"/>
    <col min="5385" max="5632" width="9.33203125" style="905"/>
    <col min="5633" max="5633" width="5.6640625" style="905" customWidth="1"/>
    <col min="5634" max="5634" width="41.1640625" style="905" customWidth="1"/>
    <col min="5635" max="5635" width="17.6640625" style="905" customWidth="1"/>
    <col min="5636" max="5639" width="14" style="905" customWidth="1"/>
    <col min="5640" max="5640" width="16.6640625" style="905" customWidth="1"/>
    <col min="5641" max="5888" width="9.33203125" style="905"/>
    <col min="5889" max="5889" width="5.6640625" style="905" customWidth="1"/>
    <col min="5890" max="5890" width="41.1640625" style="905" customWidth="1"/>
    <col min="5891" max="5891" width="17.6640625" style="905" customWidth="1"/>
    <col min="5892" max="5895" width="14" style="905" customWidth="1"/>
    <col min="5896" max="5896" width="16.6640625" style="905" customWidth="1"/>
    <col min="5897" max="6144" width="9.33203125" style="905"/>
    <col min="6145" max="6145" width="5.6640625" style="905" customWidth="1"/>
    <col min="6146" max="6146" width="41.1640625" style="905" customWidth="1"/>
    <col min="6147" max="6147" width="17.6640625" style="905" customWidth="1"/>
    <col min="6148" max="6151" width="14" style="905" customWidth="1"/>
    <col min="6152" max="6152" width="16.6640625" style="905" customWidth="1"/>
    <col min="6153" max="6400" width="9.33203125" style="905"/>
    <col min="6401" max="6401" width="5.6640625" style="905" customWidth="1"/>
    <col min="6402" max="6402" width="41.1640625" style="905" customWidth="1"/>
    <col min="6403" max="6403" width="17.6640625" style="905" customWidth="1"/>
    <col min="6404" max="6407" width="14" style="905" customWidth="1"/>
    <col min="6408" max="6408" width="16.6640625" style="905" customWidth="1"/>
    <col min="6409" max="6656" width="9.33203125" style="905"/>
    <col min="6657" max="6657" width="5.6640625" style="905" customWidth="1"/>
    <col min="6658" max="6658" width="41.1640625" style="905" customWidth="1"/>
    <col min="6659" max="6659" width="17.6640625" style="905" customWidth="1"/>
    <col min="6660" max="6663" width="14" style="905" customWidth="1"/>
    <col min="6664" max="6664" width="16.6640625" style="905" customWidth="1"/>
    <col min="6665" max="6912" width="9.33203125" style="905"/>
    <col min="6913" max="6913" width="5.6640625" style="905" customWidth="1"/>
    <col min="6914" max="6914" width="41.1640625" style="905" customWidth="1"/>
    <col min="6915" max="6915" width="17.6640625" style="905" customWidth="1"/>
    <col min="6916" max="6919" width="14" style="905" customWidth="1"/>
    <col min="6920" max="6920" width="16.6640625" style="905" customWidth="1"/>
    <col min="6921" max="7168" width="9.33203125" style="905"/>
    <col min="7169" max="7169" width="5.6640625" style="905" customWidth="1"/>
    <col min="7170" max="7170" width="41.1640625" style="905" customWidth="1"/>
    <col min="7171" max="7171" width="17.6640625" style="905" customWidth="1"/>
    <col min="7172" max="7175" width="14" style="905" customWidth="1"/>
    <col min="7176" max="7176" width="16.6640625" style="905" customWidth="1"/>
    <col min="7177" max="7424" width="9.33203125" style="905"/>
    <col min="7425" max="7425" width="5.6640625" style="905" customWidth="1"/>
    <col min="7426" max="7426" width="41.1640625" style="905" customWidth="1"/>
    <col min="7427" max="7427" width="17.6640625" style="905" customWidth="1"/>
    <col min="7428" max="7431" width="14" style="905" customWidth="1"/>
    <col min="7432" max="7432" width="16.6640625" style="905" customWidth="1"/>
    <col min="7433" max="7680" width="9.33203125" style="905"/>
    <col min="7681" max="7681" width="5.6640625" style="905" customWidth="1"/>
    <col min="7682" max="7682" width="41.1640625" style="905" customWidth="1"/>
    <col min="7683" max="7683" width="17.6640625" style="905" customWidth="1"/>
    <col min="7684" max="7687" width="14" style="905" customWidth="1"/>
    <col min="7688" max="7688" width="16.6640625" style="905" customWidth="1"/>
    <col min="7689" max="7936" width="9.33203125" style="905"/>
    <col min="7937" max="7937" width="5.6640625" style="905" customWidth="1"/>
    <col min="7938" max="7938" width="41.1640625" style="905" customWidth="1"/>
    <col min="7939" max="7939" width="17.6640625" style="905" customWidth="1"/>
    <col min="7940" max="7943" width="14" style="905" customWidth="1"/>
    <col min="7944" max="7944" width="16.6640625" style="905" customWidth="1"/>
    <col min="7945" max="8192" width="9.33203125" style="905"/>
    <col min="8193" max="8193" width="5.6640625" style="905" customWidth="1"/>
    <col min="8194" max="8194" width="41.1640625" style="905" customWidth="1"/>
    <col min="8195" max="8195" width="17.6640625" style="905" customWidth="1"/>
    <col min="8196" max="8199" width="14" style="905" customWidth="1"/>
    <col min="8200" max="8200" width="16.6640625" style="905" customWidth="1"/>
    <col min="8201" max="8448" width="9.33203125" style="905"/>
    <col min="8449" max="8449" width="5.6640625" style="905" customWidth="1"/>
    <col min="8450" max="8450" width="41.1640625" style="905" customWidth="1"/>
    <col min="8451" max="8451" width="17.6640625" style="905" customWidth="1"/>
    <col min="8452" max="8455" width="14" style="905" customWidth="1"/>
    <col min="8456" max="8456" width="16.6640625" style="905" customWidth="1"/>
    <col min="8457" max="8704" width="9.33203125" style="905"/>
    <col min="8705" max="8705" width="5.6640625" style="905" customWidth="1"/>
    <col min="8706" max="8706" width="41.1640625" style="905" customWidth="1"/>
    <col min="8707" max="8707" width="17.6640625" style="905" customWidth="1"/>
    <col min="8708" max="8711" width="14" style="905" customWidth="1"/>
    <col min="8712" max="8712" width="16.6640625" style="905" customWidth="1"/>
    <col min="8713" max="8960" width="9.33203125" style="905"/>
    <col min="8961" max="8961" width="5.6640625" style="905" customWidth="1"/>
    <col min="8962" max="8962" width="41.1640625" style="905" customWidth="1"/>
    <col min="8963" max="8963" width="17.6640625" style="905" customWidth="1"/>
    <col min="8964" max="8967" width="14" style="905" customWidth="1"/>
    <col min="8968" max="8968" width="16.6640625" style="905" customWidth="1"/>
    <col min="8969" max="9216" width="9.33203125" style="905"/>
    <col min="9217" max="9217" width="5.6640625" style="905" customWidth="1"/>
    <col min="9218" max="9218" width="41.1640625" style="905" customWidth="1"/>
    <col min="9219" max="9219" width="17.6640625" style="905" customWidth="1"/>
    <col min="9220" max="9223" width="14" style="905" customWidth="1"/>
    <col min="9224" max="9224" width="16.6640625" style="905" customWidth="1"/>
    <col min="9225" max="9472" width="9.33203125" style="905"/>
    <col min="9473" max="9473" width="5.6640625" style="905" customWidth="1"/>
    <col min="9474" max="9474" width="41.1640625" style="905" customWidth="1"/>
    <col min="9475" max="9475" width="17.6640625" style="905" customWidth="1"/>
    <col min="9476" max="9479" width="14" style="905" customWidth="1"/>
    <col min="9480" max="9480" width="16.6640625" style="905" customWidth="1"/>
    <col min="9481" max="9728" width="9.33203125" style="905"/>
    <col min="9729" max="9729" width="5.6640625" style="905" customWidth="1"/>
    <col min="9730" max="9730" width="41.1640625" style="905" customWidth="1"/>
    <col min="9731" max="9731" width="17.6640625" style="905" customWidth="1"/>
    <col min="9732" max="9735" width="14" style="905" customWidth="1"/>
    <col min="9736" max="9736" width="16.6640625" style="905" customWidth="1"/>
    <col min="9737" max="9984" width="9.33203125" style="905"/>
    <col min="9985" max="9985" width="5.6640625" style="905" customWidth="1"/>
    <col min="9986" max="9986" width="41.1640625" style="905" customWidth="1"/>
    <col min="9987" max="9987" width="17.6640625" style="905" customWidth="1"/>
    <col min="9988" max="9991" width="14" style="905" customWidth="1"/>
    <col min="9992" max="9992" width="16.6640625" style="905" customWidth="1"/>
    <col min="9993" max="10240" width="9.33203125" style="905"/>
    <col min="10241" max="10241" width="5.6640625" style="905" customWidth="1"/>
    <col min="10242" max="10242" width="41.1640625" style="905" customWidth="1"/>
    <col min="10243" max="10243" width="17.6640625" style="905" customWidth="1"/>
    <col min="10244" max="10247" width="14" style="905" customWidth="1"/>
    <col min="10248" max="10248" width="16.6640625" style="905" customWidth="1"/>
    <col min="10249" max="10496" width="9.33203125" style="905"/>
    <col min="10497" max="10497" width="5.6640625" style="905" customWidth="1"/>
    <col min="10498" max="10498" width="41.1640625" style="905" customWidth="1"/>
    <col min="10499" max="10499" width="17.6640625" style="905" customWidth="1"/>
    <col min="10500" max="10503" width="14" style="905" customWidth="1"/>
    <col min="10504" max="10504" width="16.6640625" style="905" customWidth="1"/>
    <col min="10505" max="10752" width="9.33203125" style="905"/>
    <col min="10753" max="10753" width="5.6640625" style="905" customWidth="1"/>
    <col min="10754" max="10754" width="41.1640625" style="905" customWidth="1"/>
    <col min="10755" max="10755" width="17.6640625" style="905" customWidth="1"/>
    <col min="10756" max="10759" width="14" style="905" customWidth="1"/>
    <col min="10760" max="10760" width="16.6640625" style="905" customWidth="1"/>
    <col min="10761" max="11008" width="9.33203125" style="905"/>
    <col min="11009" max="11009" width="5.6640625" style="905" customWidth="1"/>
    <col min="11010" max="11010" width="41.1640625" style="905" customWidth="1"/>
    <col min="11011" max="11011" width="17.6640625" style="905" customWidth="1"/>
    <col min="11012" max="11015" width="14" style="905" customWidth="1"/>
    <col min="11016" max="11016" width="16.6640625" style="905" customWidth="1"/>
    <col min="11017" max="11264" width="9.33203125" style="905"/>
    <col min="11265" max="11265" width="5.6640625" style="905" customWidth="1"/>
    <col min="11266" max="11266" width="41.1640625" style="905" customWidth="1"/>
    <col min="11267" max="11267" width="17.6640625" style="905" customWidth="1"/>
    <col min="11268" max="11271" width="14" style="905" customWidth="1"/>
    <col min="11272" max="11272" width="16.6640625" style="905" customWidth="1"/>
    <col min="11273" max="11520" width="9.33203125" style="905"/>
    <col min="11521" max="11521" width="5.6640625" style="905" customWidth="1"/>
    <col min="11522" max="11522" width="41.1640625" style="905" customWidth="1"/>
    <col min="11523" max="11523" width="17.6640625" style="905" customWidth="1"/>
    <col min="11524" max="11527" width="14" style="905" customWidth="1"/>
    <col min="11528" max="11528" width="16.6640625" style="905" customWidth="1"/>
    <col min="11529" max="11776" width="9.33203125" style="905"/>
    <col min="11777" max="11777" width="5.6640625" style="905" customWidth="1"/>
    <col min="11778" max="11778" width="41.1640625" style="905" customWidth="1"/>
    <col min="11779" max="11779" width="17.6640625" style="905" customWidth="1"/>
    <col min="11780" max="11783" width="14" style="905" customWidth="1"/>
    <col min="11784" max="11784" width="16.6640625" style="905" customWidth="1"/>
    <col min="11785" max="12032" width="9.33203125" style="905"/>
    <col min="12033" max="12033" width="5.6640625" style="905" customWidth="1"/>
    <col min="12034" max="12034" width="41.1640625" style="905" customWidth="1"/>
    <col min="12035" max="12035" width="17.6640625" style="905" customWidth="1"/>
    <col min="12036" max="12039" width="14" style="905" customWidth="1"/>
    <col min="12040" max="12040" width="16.6640625" style="905" customWidth="1"/>
    <col min="12041" max="12288" width="9.33203125" style="905"/>
    <col min="12289" max="12289" width="5.6640625" style="905" customWidth="1"/>
    <col min="12290" max="12290" width="41.1640625" style="905" customWidth="1"/>
    <col min="12291" max="12291" width="17.6640625" style="905" customWidth="1"/>
    <col min="12292" max="12295" width="14" style="905" customWidth="1"/>
    <col min="12296" max="12296" width="16.6640625" style="905" customWidth="1"/>
    <col min="12297" max="12544" width="9.33203125" style="905"/>
    <col min="12545" max="12545" width="5.6640625" style="905" customWidth="1"/>
    <col min="12546" max="12546" width="41.1640625" style="905" customWidth="1"/>
    <col min="12547" max="12547" width="17.6640625" style="905" customWidth="1"/>
    <col min="12548" max="12551" width="14" style="905" customWidth="1"/>
    <col min="12552" max="12552" width="16.6640625" style="905" customWidth="1"/>
    <col min="12553" max="12800" width="9.33203125" style="905"/>
    <col min="12801" max="12801" width="5.6640625" style="905" customWidth="1"/>
    <col min="12802" max="12802" width="41.1640625" style="905" customWidth="1"/>
    <col min="12803" max="12803" width="17.6640625" style="905" customWidth="1"/>
    <col min="12804" max="12807" width="14" style="905" customWidth="1"/>
    <col min="12808" max="12808" width="16.6640625" style="905" customWidth="1"/>
    <col min="12809" max="13056" width="9.33203125" style="905"/>
    <col min="13057" max="13057" width="5.6640625" style="905" customWidth="1"/>
    <col min="13058" max="13058" width="41.1640625" style="905" customWidth="1"/>
    <col min="13059" max="13059" width="17.6640625" style="905" customWidth="1"/>
    <col min="13060" max="13063" width="14" style="905" customWidth="1"/>
    <col min="13064" max="13064" width="16.6640625" style="905" customWidth="1"/>
    <col min="13065" max="13312" width="9.33203125" style="905"/>
    <col min="13313" max="13313" width="5.6640625" style="905" customWidth="1"/>
    <col min="13314" max="13314" width="41.1640625" style="905" customWidth="1"/>
    <col min="13315" max="13315" width="17.6640625" style="905" customWidth="1"/>
    <col min="13316" max="13319" width="14" style="905" customWidth="1"/>
    <col min="13320" max="13320" width="16.6640625" style="905" customWidth="1"/>
    <col min="13321" max="13568" width="9.33203125" style="905"/>
    <col min="13569" max="13569" width="5.6640625" style="905" customWidth="1"/>
    <col min="13570" max="13570" width="41.1640625" style="905" customWidth="1"/>
    <col min="13571" max="13571" width="17.6640625" style="905" customWidth="1"/>
    <col min="13572" max="13575" width="14" style="905" customWidth="1"/>
    <col min="13576" max="13576" width="16.6640625" style="905" customWidth="1"/>
    <col min="13577" max="13824" width="9.33203125" style="905"/>
    <col min="13825" max="13825" width="5.6640625" style="905" customWidth="1"/>
    <col min="13826" max="13826" width="41.1640625" style="905" customWidth="1"/>
    <col min="13827" max="13827" width="17.6640625" style="905" customWidth="1"/>
    <col min="13828" max="13831" width="14" style="905" customWidth="1"/>
    <col min="13832" max="13832" width="16.6640625" style="905" customWidth="1"/>
    <col min="13833" max="14080" width="9.33203125" style="905"/>
    <col min="14081" max="14081" width="5.6640625" style="905" customWidth="1"/>
    <col min="14082" max="14082" width="41.1640625" style="905" customWidth="1"/>
    <col min="14083" max="14083" width="17.6640625" style="905" customWidth="1"/>
    <col min="14084" max="14087" width="14" style="905" customWidth="1"/>
    <col min="14088" max="14088" width="16.6640625" style="905" customWidth="1"/>
    <col min="14089" max="14336" width="9.33203125" style="905"/>
    <col min="14337" max="14337" width="5.6640625" style="905" customWidth="1"/>
    <col min="14338" max="14338" width="41.1640625" style="905" customWidth="1"/>
    <col min="14339" max="14339" width="17.6640625" style="905" customWidth="1"/>
    <col min="14340" max="14343" width="14" style="905" customWidth="1"/>
    <col min="14344" max="14344" width="16.6640625" style="905" customWidth="1"/>
    <col min="14345" max="14592" width="9.33203125" style="905"/>
    <col min="14593" max="14593" width="5.6640625" style="905" customWidth="1"/>
    <col min="14594" max="14594" width="41.1640625" style="905" customWidth="1"/>
    <col min="14595" max="14595" width="17.6640625" style="905" customWidth="1"/>
    <col min="14596" max="14599" width="14" style="905" customWidth="1"/>
    <col min="14600" max="14600" width="16.6640625" style="905" customWidth="1"/>
    <col min="14601" max="14848" width="9.33203125" style="905"/>
    <col min="14849" max="14849" width="5.6640625" style="905" customWidth="1"/>
    <col min="14850" max="14850" width="41.1640625" style="905" customWidth="1"/>
    <col min="14851" max="14851" width="17.6640625" style="905" customWidth="1"/>
    <col min="14852" max="14855" width="14" style="905" customWidth="1"/>
    <col min="14856" max="14856" width="16.6640625" style="905" customWidth="1"/>
    <col min="14857" max="15104" width="9.33203125" style="905"/>
    <col min="15105" max="15105" width="5.6640625" style="905" customWidth="1"/>
    <col min="15106" max="15106" width="41.1640625" style="905" customWidth="1"/>
    <col min="15107" max="15107" width="17.6640625" style="905" customWidth="1"/>
    <col min="15108" max="15111" width="14" style="905" customWidth="1"/>
    <col min="15112" max="15112" width="16.6640625" style="905" customWidth="1"/>
    <col min="15113" max="15360" width="9.33203125" style="905"/>
    <col min="15361" max="15361" width="5.6640625" style="905" customWidth="1"/>
    <col min="15362" max="15362" width="41.1640625" style="905" customWidth="1"/>
    <col min="15363" max="15363" width="17.6640625" style="905" customWidth="1"/>
    <col min="15364" max="15367" width="14" style="905" customWidth="1"/>
    <col min="15368" max="15368" width="16.6640625" style="905" customWidth="1"/>
    <col min="15369" max="15616" width="9.33203125" style="905"/>
    <col min="15617" max="15617" width="5.6640625" style="905" customWidth="1"/>
    <col min="15618" max="15618" width="41.1640625" style="905" customWidth="1"/>
    <col min="15619" max="15619" width="17.6640625" style="905" customWidth="1"/>
    <col min="15620" max="15623" width="14" style="905" customWidth="1"/>
    <col min="15624" max="15624" width="16.6640625" style="905" customWidth="1"/>
    <col min="15625" max="15872" width="9.33203125" style="905"/>
    <col min="15873" max="15873" width="5.6640625" style="905" customWidth="1"/>
    <col min="15874" max="15874" width="41.1640625" style="905" customWidth="1"/>
    <col min="15875" max="15875" width="17.6640625" style="905" customWidth="1"/>
    <col min="15876" max="15879" width="14" style="905" customWidth="1"/>
    <col min="15880" max="15880" width="16.6640625" style="905" customWidth="1"/>
    <col min="15881" max="16128" width="9.33203125" style="905"/>
    <col min="16129" max="16129" width="5.6640625" style="905" customWidth="1"/>
    <col min="16130" max="16130" width="41.1640625" style="905" customWidth="1"/>
    <col min="16131" max="16131" width="17.6640625" style="905" customWidth="1"/>
    <col min="16132" max="16135" width="14" style="905" customWidth="1"/>
    <col min="16136" max="16136" width="16.6640625" style="905" customWidth="1"/>
    <col min="16137" max="16384" width="9.33203125" style="905"/>
  </cols>
  <sheetData>
    <row r="1" spans="1:11" x14ac:dyDescent="0.25">
      <c r="A1" s="1457" t="str">
        <f>CONCATENATE("6. melléklet ",ALAPADATOK!A7," ",ALAPADATOK!B7," ",ALAPADATOK!C7," ",ALAPADATOK!D7," ",ALAPADATOK!E7," ",ALAPADATOK!F7," ",ALAPADATOK!G7," ",ALAPADATOK!H7)</f>
        <v>6. melléklet a 21 / 2020. ( IX.25. ) önkormányzati rendelethez</v>
      </c>
      <c r="B1" s="1457"/>
      <c r="C1" s="1457"/>
      <c r="D1" s="1457"/>
      <c r="E1" s="1457"/>
      <c r="F1" s="1457"/>
      <c r="G1" s="1457"/>
      <c r="H1" s="1457"/>
    </row>
    <row r="3" spans="1:11" x14ac:dyDescent="0.25">
      <c r="A3" s="1458" t="s">
        <v>444</v>
      </c>
      <c r="B3" s="1458"/>
      <c r="C3" s="1458"/>
      <c r="D3" s="1458"/>
      <c r="E3" s="1458"/>
      <c r="F3" s="1458"/>
      <c r="G3" s="1458"/>
      <c r="H3" s="1458"/>
    </row>
    <row r="4" spans="1:11" ht="15.75" thickBot="1" x14ac:dyDescent="0.3">
      <c r="A4" s="906"/>
      <c r="B4" s="907"/>
      <c r="C4" s="907"/>
      <c r="D4" s="1459"/>
      <c r="E4" s="1459"/>
      <c r="F4" s="1459"/>
      <c r="G4" s="1460" t="s">
        <v>566</v>
      </c>
      <c r="H4" s="1460"/>
      <c r="I4" s="1239"/>
    </row>
    <row r="5" spans="1:11" ht="25.5" x14ac:dyDescent="0.25">
      <c r="A5" s="1461" t="s">
        <v>19</v>
      </c>
      <c r="B5" s="1463" t="s">
        <v>162</v>
      </c>
      <c r="C5" s="908" t="s">
        <v>814</v>
      </c>
      <c r="D5" s="1463" t="s">
        <v>194</v>
      </c>
      <c r="E5" s="1463"/>
      <c r="F5" s="1463"/>
      <c r="G5" s="1463"/>
      <c r="H5" s="1465" t="s">
        <v>571</v>
      </c>
    </row>
    <row r="6" spans="1:11" ht="15.75" thickBot="1" x14ac:dyDescent="0.3">
      <c r="A6" s="1462"/>
      <c r="B6" s="1464"/>
      <c r="C6" s="1379"/>
      <c r="D6" s="1379">
        <v>2020</v>
      </c>
      <c r="E6" s="1379">
        <v>2021</v>
      </c>
      <c r="F6" s="1379">
        <v>2022</v>
      </c>
      <c r="G6" s="930">
        <v>2023</v>
      </c>
      <c r="H6" s="1466"/>
    </row>
    <row r="7" spans="1:11" ht="15.75" thickBot="1" x14ac:dyDescent="0.3">
      <c r="A7" s="909" t="s">
        <v>21</v>
      </c>
      <c r="B7" s="910">
        <v>2</v>
      </c>
      <c r="C7" s="911">
        <v>3</v>
      </c>
      <c r="D7" s="911">
        <v>4</v>
      </c>
      <c r="E7" s="911">
        <v>5</v>
      </c>
      <c r="F7" s="911">
        <v>6</v>
      </c>
      <c r="G7" s="912">
        <v>7</v>
      </c>
      <c r="H7" s="912">
        <v>8</v>
      </c>
    </row>
    <row r="8" spans="1:11" ht="26.25" x14ac:dyDescent="0.25">
      <c r="A8" s="913" t="s">
        <v>21</v>
      </c>
      <c r="B8" s="914" t="s">
        <v>653</v>
      </c>
      <c r="C8" s="915">
        <v>0</v>
      </c>
      <c r="D8" s="1240">
        <v>0</v>
      </c>
      <c r="E8" s="1240">
        <v>0</v>
      </c>
      <c r="F8" s="1240">
        <v>0</v>
      </c>
      <c r="G8" s="1240">
        <v>0</v>
      </c>
      <c r="H8" s="1241">
        <f t="shared" ref="H8:H26" si="0">SUM(D8:G8)</f>
        <v>0</v>
      </c>
    </row>
    <row r="9" spans="1:11" ht="39" x14ac:dyDescent="0.25">
      <c r="A9" s="913" t="s">
        <v>22</v>
      </c>
      <c r="B9" s="914" t="s">
        <v>584</v>
      </c>
      <c r="C9" s="915">
        <v>1806590</v>
      </c>
      <c r="D9" s="1240">
        <v>1806590</v>
      </c>
      <c r="E9" s="1240">
        <v>0</v>
      </c>
      <c r="F9" s="1240">
        <v>0</v>
      </c>
      <c r="G9" s="1240">
        <v>0</v>
      </c>
      <c r="H9" s="1241">
        <f t="shared" si="0"/>
        <v>1806590</v>
      </c>
      <c r="K9" s="916"/>
    </row>
    <row r="10" spans="1:11" ht="39" x14ac:dyDescent="0.25">
      <c r="A10" s="913" t="s">
        <v>23</v>
      </c>
      <c r="B10" s="914" t="s">
        <v>585</v>
      </c>
      <c r="C10" s="915">
        <v>7359000</v>
      </c>
      <c r="D10" s="1242">
        <v>1472000</v>
      </c>
      <c r="E10" s="1242">
        <v>1472000</v>
      </c>
      <c r="F10" s="1240">
        <v>1472000</v>
      </c>
      <c r="G10" s="1240">
        <v>1472000</v>
      </c>
      <c r="H10" s="1241">
        <f t="shared" si="0"/>
        <v>5888000</v>
      </c>
      <c r="I10" s="917"/>
      <c r="J10" s="918"/>
      <c r="K10" s="919"/>
    </row>
    <row r="11" spans="1:11" ht="26.25" x14ac:dyDescent="0.25">
      <c r="A11" s="913" t="s">
        <v>24</v>
      </c>
      <c r="B11" s="914" t="s">
        <v>687</v>
      </c>
      <c r="C11" s="915">
        <v>1330461</v>
      </c>
      <c r="D11" s="1242">
        <v>887000</v>
      </c>
      <c r="E11" s="1242">
        <v>443461</v>
      </c>
      <c r="F11" s="1240">
        <v>0</v>
      </c>
      <c r="G11" s="1240">
        <v>0</v>
      </c>
      <c r="H11" s="1241">
        <f t="shared" si="0"/>
        <v>1330461</v>
      </c>
    </row>
    <row r="12" spans="1:11" ht="26.25" x14ac:dyDescent="0.25">
      <c r="A12" s="913" t="s">
        <v>25</v>
      </c>
      <c r="B12" s="914" t="s">
        <v>688</v>
      </c>
      <c r="C12" s="915">
        <v>1669539</v>
      </c>
      <c r="D12" s="1242">
        <v>1113000</v>
      </c>
      <c r="E12" s="1242">
        <v>556539</v>
      </c>
      <c r="F12" s="1240">
        <v>0</v>
      </c>
      <c r="G12" s="1240">
        <v>0</v>
      </c>
      <c r="H12" s="1241">
        <f t="shared" si="0"/>
        <v>1669539</v>
      </c>
    </row>
    <row r="13" spans="1:11" ht="26.25" customHeight="1" x14ac:dyDescent="0.25">
      <c r="A13" s="913" t="s">
        <v>26</v>
      </c>
      <c r="B13" s="920" t="s">
        <v>572</v>
      </c>
      <c r="C13" s="921">
        <v>36161155</v>
      </c>
      <c r="D13" s="1240">
        <v>4940000</v>
      </c>
      <c r="E13" s="1240">
        <v>4940000</v>
      </c>
      <c r="F13" s="1240">
        <v>4940000</v>
      </c>
      <c r="G13" s="1240">
        <v>4940000</v>
      </c>
      <c r="H13" s="1241">
        <f t="shared" si="0"/>
        <v>19760000</v>
      </c>
    </row>
    <row r="14" spans="1:11" ht="39" x14ac:dyDescent="0.25">
      <c r="A14" s="913" t="s">
        <v>27</v>
      </c>
      <c r="B14" s="922" t="s">
        <v>586</v>
      </c>
      <c r="C14" s="923">
        <v>4036000</v>
      </c>
      <c r="D14" s="1243">
        <v>1464000</v>
      </c>
      <c r="E14" s="1243">
        <v>1464000</v>
      </c>
      <c r="F14" s="1244">
        <v>1108000</v>
      </c>
      <c r="G14" s="1244">
        <v>0</v>
      </c>
      <c r="H14" s="1241">
        <f t="shared" si="0"/>
        <v>4036000</v>
      </c>
    </row>
    <row r="15" spans="1:11" ht="26.25" x14ac:dyDescent="0.25">
      <c r="A15" s="913" t="s">
        <v>28</v>
      </c>
      <c r="B15" s="924" t="s">
        <v>689</v>
      </c>
      <c r="C15" s="915">
        <v>2709452</v>
      </c>
      <c r="D15" s="1240">
        <v>984000</v>
      </c>
      <c r="E15" s="1240">
        <v>984000</v>
      </c>
      <c r="F15" s="1240">
        <v>741452</v>
      </c>
      <c r="G15" s="1240">
        <v>0</v>
      </c>
      <c r="H15" s="1241">
        <f t="shared" si="0"/>
        <v>2709452</v>
      </c>
    </row>
    <row r="16" spans="1:11" ht="26.25" x14ac:dyDescent="0.25">
      <c r="A16" s="913" t="s">
        <v>29</v>
      </c>
      <c r="B16" s="924" t="s">
        <v>690</v>
      </c>
      <c r="C16" s="915">
        <v>2360946</v>
      </c>
      <c r="D16" s="1240">
        <v>1242000</v>
      </c>
      <c r="E16" s="1240">
        <v>1118946</v>
      </c>
      <c r="F16" s="1240">
        <v>0</v>
      </c>
      <c r="G16" s="1240">
        <v>0</v>
      </c>
      <c r="H16" s="1241">
        <f t="shared" si="0"/>
        <v>2360946</v>
      </c>
    </row>
    <row r="17" spans="1:8" ht="26.25" x14ac:dyDescent="0.25">
      <c r="A17" s="913" t="s">
        <v>30</v>
      </c>
      <c r="B17" s="924" t="s">
        <v>691</v>
      </c>
      <c r="C17" s="915">
        <v>4551242</v>
      </c>
      <c r="D17" s="1240">
        <v>1270000</v>
      </c>
      <c r="E17" s="1240">
        <v>1270000</v>
      </c>
      <c r="F17" s="1240">
        <v>1270000</v>
      </c>
      <c r="G17" s="1240">
        <v>741242</v>
      </c>
      <c r="H17" s="1241">
        <f t="shared" si="0"/>
        <v>4551242</v>
      </c>
    </row>
    <row r="18" spans="1:8" ht="26.25" x14ac:dyDescent="0.25">
      <c r="A18" s="913" t="s">
        <v>31</v>
      </c>
      <c r="B18" s="920" t="s">
        <v>692</v>
      </c>
      <c r="C18" s="915">
        <v>9061526</v>
      </c>
      <c r="D18" s="1240">
        <v>1668000</v>
      </c>
      <c r="E18" s="1240">
        <v>1668000</v>
      </c>
      <c r="F18" s="1240">
        <v>1668000</v>
      </c>
      <c r="G18" s="1240">
        <v>1668000</v>
      </c>
      <c r="H18" s="1241">
        <f t="shared" si="0"/>
        <v>6672000</v>
      </c>
    </row>
    <row r="19" spans="1:8" ht="27.75" customHeight="1" x14ac:dyDescent="0.25">
      <c r="A19" s="913" t="s">
        <v>32</v>
      </c>
      <c r="B19" s="920" t="s">
        <v>693</v>
      </c>
      <c r="C19" s="915">
        <v>9042762</v>
      </c>
      <c r="D19" s="1240">
        <v>1834504</v>
      </c>
      <c r="E19" s="1240">
        <v>1834504</v>
      </c>
      <c r="F19" s="1240">
        <v>1834504</v>
      </c>
      <c r="G19" s="1240">
        <v>1834504</v>
      </c>
      <c r="H19" s="1241">
        <f t="shared" si="0"/>
        <v>7338016</v>
      </c>
    </row>
    <row r="20" spans="1:8" ht="27" customHeight="1" x14ac:dyDescent="0.25">
      <c r="A20" s="913" t="s">
        <v>33</v>
      </c>
      <c r="B20" s="920" t="s">
        <v>694</v>
      </c>
      <c r="C20" s="915">
        <v>5020437</v>
      </c>
      <c r="D20" s="1240">
        <v>3171740</v>
      </c>
      <c r="E20" s="1240">
        <v>1848697</v>
      </c>
      <c r="F20" s="1240">
        <v>0</v>
      </c>
      <c r="G20" s="1240">
        <v>0</v>
      </c>
      <c r="H20" s="1241">
        <f t="shared" si="0"/>
        <v>5020437</v>
      </c>
    </row>
    <row r="21" spans="1:8" ht="27" customHeight="1" x14ac:dyDescent="0.25">
      <c r="A21" s="913" t="s">
        <v>34</v>
      </c>
      <c r="B21" s="920" t="s">
        <v>695</v>
      </c>
      <c r="C21" s="915">
        <v>25000000</v>
      </c>
      <c r="D21" s="1240">
        <v>2777600</v>
      </c>
      <c r="E21" s="1240">
        <v>2777600</v>
      </c>
      <c r="F21" s="1240">
        <v>2777600</v>
      </c>
      <c r="G21" s="1240">
        <v>2777600</v>
      </c>
      <c r="H21" s="1241">
        <f t="shared" si="0"/>
        <v>11110400</v>
      </c>
    </row>
    <row r="22" spans="1:8" ht="26.25" customHeight="1" x14ac:dyDescent="0.25">
      <c r="A22" s="913" t="s">
        <v>35</v>
      </c>
      <c r="B22" s="920" t="s">
        <v>696</v>
      </c>
      <c r="C22" s="915">
        <v>0</v>
      </c>
      <c r="D22" s="1240">
        <v>508000</v>
      </c>
      <c r="E22" s="1240">
        <v>1016000</v>
      </c>
      <c r="F22" s="1240">
        <v>1016000</v>
      </c>
      <c r="G22" s="1240">
        <v>1016000</v>
      </c>
      <c r="H22" s="1241">
        <f t="shared" si="0"/>
        <v>3556000</v>
      </c>
    </row>
    <row r="23" spans="1:8" ht="26.25" x14ac:dyDescent="0.25">
      <c r="A23" s="913" t="s">
        <v>36</v>
      </c>
      <c r="B23" s="920" t="s">
        <v>697</v>
      </c>
      <c r="C23" s="915">
        <v>0</v>
      </c>
      <c r="D23" s="1240">
        <v>900000</v>
      </c>
      <c r="E23" s="1240">
        <v>3600000</v>
      </c>
      <c r="F23" s="1240">
        <v>3600000</v>
      </c>
      <c r="G23" s="1240">
        <v>3600000</v>
      </c>
      <c r="H23" s="1241">
        <f t="shared" si="0"/>
        <v>11700000</v>
      </c>
    </row>
    <row r="24" spans="1:8" x14ac:dyDescent="0.25">
      <c r="A24" s="913" t="s">
        <v>37</v>
      </c>
      <c r="B24" s="1388" t="s">
        <v>921</v>
      </c>
      <c r="C24" s="1389">
        <v>0</v>
      </c>
      <c r="D24" s="1390">
        <v>0</v>
      </c>
      <c r="E24" s="1390">
        <v>0</v>
      </c>
      <c r="F24" s="1390">
        <v>0</v>
      </c>
      <c r="G24" s="1391">
        <v>0</v>
      </c>
      <c r="H24" s="1387">
        <f t="shared" si="0"/>
        <v>0</v>
      </c>
    </row>
    <row r="25" spans="1:8" x14ac:dyDescent="0.25">
      <c r="A25" s="1393" t="s">
        <v>38</v>
      </c>
      <c r="B25" s="1394" t="s">
        <v>922</v>
      </c>
      <c r="C25" s="1389">
        <v>0</v>
      </c>
      <c r="D25" s="1390">
        <v>0</v>
      </c>
      <c r="E25" s="1390">
        <v>0</v>
      </c>
      <c r="F25" s="1390">
        <v>0</v>
      </c>
      <c r="G25" s="1391">
        <v>0</v>
      </c>
      <c r="H25" s="1395">
        <f t="shared" si="0"/>
        <v>0</v>
      </c>
    </row>
    <row r="26" spans="1:8" ht="15.75" thickBot="1" x14ac:dyDescent="0.3">
      <c r="A26" s="1392" t="s">
        <v>39</v>
      </c>
      <c r="B26" s="1383" t="s">
        <v>1035</v>
      </c>
      <c r="C26" s="1384">
        <v>0</v>
      </c>
      <c r="D26" s="1385">
        <v>0</v>
      </c>
      <c r="E26" s="1385">
        <v>0</v>
      </c>
      <c r="F26" s="1385">
        <v>2320000</v>
      </c>
      <c r="G26" s="1386">
        <v>2320000</v>
      </c>
      <c r="H26" s="1387">
        <f t="shared" si="0"/>
        <v>4640000</v>
      </c>
    </row>
    <row r="27" spans="1:8" ht="24" customHeight="1" thickBot="1" x14ac:dyDescent="0.3">
      <c r="A27" s="925"/>
      <c r="B27" s="926" t="s">
        <v>163</v>
      </c>
      <c r="C27" s="927">
        <f>SUM(C7:C26)</f>
        <v>110109113</v>
      </c>
      <c r="D27" s="927">
        <f t="shared" ref="D27:H27" si="1">SUM(D7:D25)</f>
        <v>26038438</v>
      </c>
      <c r="E27" s="927">
        <f t="shared" si="1"/>
        <v>24993752</v>
      </c>
      <c r="F27" s="927">
        <f t="shared" si="1"/>
        <v>20427562</v>
      </c>
      <c r="G27" s="927">
        <f t="shared" si="1"/>
        <v>18049353</v>
      </c>
      <c r="H27" s="931">
        <f t="shared" si="1"/>
        <v>89509091</v>
      </c>
    </row>
    <row r="29" spans="1:8" x14ac:dyDescent="0.25">
      <c r="B29" s="928" t="s">
        <v>698</v>
      </c>
    </row>
    <row r="31" spans="1:8" x14ac:dyDescent="0.25">
      <c r="B31" s="929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D14"/>
  <sheetViews>
    <sheetView zoomScale="120" zoomScaleNormal="120" zoomScaleSheetLayoutView="115" zoomScalePageLayoutView="115" workbookViewId="0">
      <selection activeCell="A14" sqref="A14:C14"/>
    </sheetView>
  </sheetViews>
  <sheetFormatPr defaultRowHeight="15" x14ac:dyDescent="0.25"/>
  <cols>
    <col min="1" max="1" width="5.6640625" style="905" customWidth="1"/>
    <col min="2" max="2" width="68.6640625" style="905" customWidth="1"/>
    <col min="3" max="3" width="19.5" style="905" customWidth="1"/>
    <col min="4" max="4" width="11.33203125" style="905" customWidth="1"/>
    <col min="5" max="16384" width="9.33203125" style="905"/>
  </cols>
  <sheetData>
    <row r="1" spans="1:4" ht="15.75" x14ac:dyDescent="0.25">
      <c r="A1" s="1467" t="str">
        <f>CONCATENATE("6. melléklet ",[2]ALAPADATOK!A7," ",[2]ALAPADATOK!B7," ",[2]ALAPADATOK!C7," ",[2]ALAPADATOK!D7," ",[2]ALAPADATOK!E7," ",[2]ALAPADATOK!F7," ",[2]ALAPADATOK!G7," ",[2]ALAPADATOK!H7)</f>
        <v>6. melléklet a 14. / 2020. ( V.28. ) önkormányzati rendelethez</v>
      </c>
      <c r="B1" s="1467"/>
      <c r="C1" s="1467"/>
    </row>
    <row r="3" spans="1:4" ht="33" customHeight="1" x14ac:dyDescent="0.25">
      <c r="A3" s="1458" t="s">
        <v>596</v>
      </c>
      <c r="B3" s="1458"/>
      <c r="C3" s="1458"/>
    </row>
    <row r="4" spans="1:4" ht="15.95" customHeight="1" thickBot="1" x14ac:dyDescent="0.3">
      <c r="A4" s="906"/>
      <c r="B4" s="906"/>
      <c r="C4" s="66" t="s">
        <v>556</v>
      </c>
      <c r="D4" s="512"/>
    </row>
    <row r="5" spans="1:4" ht="26.25" customHeight="1" thickBot="1" x14ac:dyDescent="0.3">
      <c r="A5" s="67" t="s">
        <v>19</v>
      </c>
      <c r="B5" s="68" t="s">
        <v>597</v>
      </c>
      <c r="C5" s="69" t="s">
        <v>787</v>
      </c>
    </row>
    <row r="6" spans="1:4" ht="15.75" thickBot="1" x14ac:dyDescent="0.3">
      <c r="A6" s="513">
        <v>1</v>
      </c>
      <c r="B6" s="514">
        <v>2</v>
      </c>
      <c r="C6" s="515">
        <v>3</v>
      </c>
    </row>
    <row r="7" spans="1:4" x14ac:dyDescent="0.25">
      <c r="A7" s="70" t="s">
        <v>21</v>
      </c>
      <c r="B7" s="1173" t="s">
        <v>1004</v>
      </c>
      <c r="C7" s="702">
        <v>487000000</v>
      </c>
    </row>
    <row r="8" spans="1:4" ht="24.75" x14ac:dyDescent="0.25">
      <c r="A8" s="71" t="s">
        <v>22</v>
      </c>
      <c r="B8" s="516" t="s">
        <v>598</v>
      </c>
      <c r="C8" s="517">
        <v>1006560</v>
      </c>
    </row>
    <row r="9" spans="1:4" x14ac:dyDescent="0.25">
      <c r="A9" s="71" t="s">
        <v>23</v>
      </c>
      <c r="B9" s="518" t="s">
        <v>599</v>
      </c>
      <c r="C9" s="517"/>
    </row>
    <row r="10" spans="1:4" ht="24.75" x14ac:dyDescent="0.25">
      <c r="A10" s="71" t="s">
        <v>24</v>
      </c>
      <c r="B10" s="518" t="s">
        <v>600</v>
      </c>
      <c r="C10" s="517">
        <f>44304508+300000</f>
        <v>44604508</v>
      </c>
    </row>
    <row r="11" spans="1:4" x14ac:dyDescent="0.25">
      <c r="A11" s="71" t="s">
        <v>25</v>
      </c>
      <c r="B11" s="518" t="s">
        <v>683</v>
      </c>
      <c r="C11" s="1174">
        <v>16000000</v>
      </c>
    </row>
    <row r="12" spans="1:4" ht="15.75" thickBot="1" x14ac:dyDescent="0.3">
      <c r="A12" s="519" t="s">
        <v>26</v>
      </c>
      <c r="B12" s="520" t="s">
        <v>601</v>
      </c>
      <c r="C12" s="521"/>
    </row>
    <row r="13" spans="1:4" ht="15.75" thickBot="1" x14ac:dyDescent="0.3">
      <c r="A13" s="1468" t="s">
        <v>602</v>
      </c>
      <c r="B13" s="1469"/>
      <c r="C13" s="522">
        <f>SUM(C7:C12)</f>
        <v>548611068</v>
      </c>
    </row>
    <row r="14" spans="1:4" ht="23.25" customHeight="1" x14ac:dyDescent="0.25">
      <c r="A14" s="1470" t="s">
        <v>603</v>
      </c>
      <c r="B14" s="1470"/>
      <c r="C14" s="1470"/>
    </row>
  </sheetData>
  <mergeCells count="4">
    <mergeCell ref="A1:C1"/>
    <mergeCell ref="A3:C3"/>
    <mergeCell ref="A13:B13"/>
    <mergeCell ref="A14:C14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D18"/>
  <sheetViews>
    <sheetView zoomScale="145" zoomScaleNormal="145" zoomScaleSheetLayoutView="130" workbookViewId="0">
      <selection sqref="A1:C1"/>
    </sheetView>
  </sheetViews>
  <sheetFormatPr defaultRowHeight="15" x14ac:dyDescent="0.25"/>
  <cols>
    <col min="1" max="1" width="5.6640625" style="905" customWidth="1"/>
    <col min="2" max="2" width="66.83203125" style="905" customWidth="1"/>
    <col min="3" max="3" width="27" style="905" customWidth="1"/>
    <col min="4" max="16384" width="9.33203125" style="905"/>
  </cols>
  <sheetData>
    <row r="1" spans="1:4" x14ac:dyDescent="0.25">
      <c r="A1" s="1457" t="str">
        <f>CONCATENATE("7. melléklet ",ALAPADATOK!A7," ",ALAPADATOK!B7," ",ALAPADATOK!C7," ",ALAPADATOK!D7," ",ALAPADATOK!E7," ",ALAPADATOK!F7," ",ALAPADATOK!G7," ",ALAPADATOK!H7)</f>
        <v>7. melléklet a 21 / 2020. ( IX.25. ) önkormányzati rendelethez</v>
      </c>
      <c r="B1" s="1457"/>
      <c r="C1" s="1457"/>
    </row>
    <row r="3" spans="1:4" ht="33" customHeight="1" x14ac:dyDescent="0.25">
      <c r="A3" s="1458" t="s">
        <v>910</v>
      </c>
      <c r="B3" s="1458"/>
      <c r="C3" s="1458"/>
    </row>
    <row r="4" spans="1:4" ht="15.95" customHeight="1" thickBot="1" x14ac:dyDescent="0.3">
      <c r="A4" s="906"/>
      <c r="B4" s="906"/>
      <c r="C4" s="66" t="s">
        <v>556</v>
      </c>
      <c r="D4" s="65"/>
    </row>
    <row r="5" spans="1:4" ht="26.25" customHeight="1" thickBot="1" x14ac:dyDescent="0.3">
      <c r="A5" s="605" t="s">
        <v>19</v>
      </c>
      <c r="B5" s="606" t="s">
        <v>164</v>
      </c>
      <c r="C5" s="607" t="s">
        <v>169</v>
      </c>
    </row>
    <row r="6" spans="1:4" ht="15.75" thickBot="1" x14ac:dyDescent="0.3">
      <c r="A6" s="608">
        <v>1</v>
      </c>
      <c r="B6" s="609">
        <v>2</v>
      </c>
      <c r="C6" s="610">
        <v>3</v>
      </c>
    </row>
    <row r="7" spans="1:4" ht="23.25" x14ac:dyDescent="0.25">
      <c r="A7" s="70" t="s">
        <v>21</v>
      </c>
      <c r="B7" s="1396" t="s">
        <v>1008</v>
      </c>
      <c r="C7" s="612">
        <v>4066909</v>
      </c>
    </row>
    <row r="8" spans="1:4" ht="23.25" x14ac:dyDescent="0.25">
      <c r="A8" s="71" t="s">
        <v>22</v>
      </c>
      <c r="B8" s="1175" t="s">
        <v>1005</v>
      </c>
      <c r="C8" s="614">
        <v>0</v>
      </c>
    </row>
    <row r="9" spans="1:4" x14ac:dyDescent="0.25">
      <c r="A9" s="703" t="s">
        <v>23</v>
      </c>
      <c r="B9" s="611" t="s">
        <v>1006</v>
      </c>
      <c r="C9" s="614">
        <v>18000000</v>
      </c>
    </row>
    <row r="10" spans="1:4" x14ac:dyDescent="0.25">
      <c r="A10" s="71" t="s">
        <v>24</v>
      </c>
      <c r="B10" s="1397" t="s">
        <v>1007</v>
      </c>
      <c r="C10" s="1398">
        <v>0</v>
      </c>
    </row>
    <row r="11" spans="1:4" x14ac:dyDescent="0.25">
      <c r="A11" s="71" t="s">
        <v>25</v>
      </c>
      <c r="B11" s="1394" t="s">
        <v>1035</v>
      </c>
      <c r="C11" s="1399">
        <v>11503705</v>
      </c>
    </row>
    <row r="12" spans="1:4" x14ac:dyDescent="0.25">
      <c r="A12" s="703" t="s">
        <v>26</v>
      </c>
      <c r="B12" s="611"/>
      <c r="C12" s="614"/>
    </row>
    <row r="13" spans="1:4" x14ac:dyDescent="0.25">
      <c r="A13" s="703" t="s">
        <v>27</v>
      </c>
      <c r="B13" s="613"/>
      <c r="C13" s="615"/>
    </row>
    <row r="14" spans="1:4" x14ac:dyDescent="0.25">
      <c r="A14" s="703" t="s">
        <v>28</v>
      </c>
      <c r="B14" s="616"/>
      <c r="C14" s="615"/>
    </row>
    <row r="15" spans="1:4" s="618" customFormat="1" thickBot="1" x14ac:dyDescent="0.25">
      <c r="A15" s="703" t="s">
        <v>29</v>
      </c>
      <c r="B15" s="617"/>
      <c r="C15" s="614"/>
    </row>
    <row r="16" spans="1:4" s="618" customFormat="1" ht="17.25" customHeight="1" thickBot="1" x14ac:dyDescent="0.25">
      <c r="A16" s="619" t="s">
        <v>30</v>
      </c>
      <c r="B16" s="620" t="s">
        <v>165</v>
      </c>
      <c r="C16" s="621">
        <f>SUM(C7:C15)</f>
        <v>33570614</v>
      </c>
    </row>
    <row r="18" spans="2:2" x14ac:dyDescent="0.25">
      <c r="B18" s="281" t="s">
        <v>1009</v>
      </c>
    </row>
  </sheetData>
  <mergeCells count="2">
    <mergeCell ref="A1:C1"/>
    <mergeCell ref="A3:C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H76"/>
  <sheetViews>
    <sheetView view="pageBreakPreview" zoomScaleNormal="100" zoomScaleSheetLayoutView="100" workbookViewId="0">
      <selection sqref="A1:G1"/>
    </sheetView>
  </sheetViews>
  <sheetFormatPr defaultColWidth="9.33203125" defaultRowHeight="12.75" x14ac:dyDescent="0.2"/>
  <cols>
    <col min="1" max="1" width="61.33203125" style="511" customWidth="1"/>
    <col min="2" max="2" width="15.6640625" style="779" customWidth="1"/>
    <col min="3" max="3" width="16.33203125" style="779" customWidth="1"/>
    <col min="4" max="5" width="18" style="779" customWidth="1"/>
    <col min="6" max="6" width="16.6640625" style="779" customWidth="1"/>
    <col min="7" max="7" width="18.83203125" style="502" customWidth="1"/>
    <col min="8" max="9" width="12.83203125" style="1008" customWidth="1"/>
    <col min="10" max="10" width="13.83203125" style="1008" customWidth="1"/>
    <col min="11" max="11" width="12.6640625" style="1008" bestFit="1" customWidth="1"/>
    <col min="12" max="12" width="12.6640625" style="1008" customWidth="1"/>
    <col min="13" max="13" width="11.1640625" style="1008" bestFit="1" customWidth="1"/>
    <col min="14" max="16384" width="9.33203125" style="1008"/>
  </cols>
  <sheetData>
    <row r="1" spans="1:8" x14ac:dyDescent="0.2">
      <c r="A1" s="1471" t="str">
        <f>CONCATENATE("8. melléklet"," ",ALAPADATOK!A7," ",ALAPADATOK!B7," ",ALAPADATOK!C7," ",ALAPADATOK!D7," ",ALAPADATOK!E7," ",ALAPADATOK!F7," ",ALAPADATOK!G7," ",ALAPADATOK!H7)</f>
        <v>8. melléklet a 21 / 2020. ( IX.25. ) önkormányzati rendelethez</v>
      </c>
      <c r="B1" s="1471"/>
      <c r="C1" s="1471"/>
      <c r="D1" s="1471"/>
      <c r="E1" s="1471"/>
      <c r="F1" s="1471"/>
      <c r="G1" s="1471"/>
    </row>
    <row r="3" spans="1:8" ht="25.5" customHeight="1" x14ac:dyDescent="0.2">
      <c r="A3" s="1472" t="s">
        <v>7</v>
      </c>
      <c r="B3" s="1472"/>
      <c r="C3" s="1472"/>
      <c r="D3" s="1472"/>
      <c r="E3" s="1472"/>
      <c r="F3" s="1472"/>
      <c r="G3" s="1472"/>
    </row>
    <row r="4" spans="1:8" ht="22.5" customHeight="1" thickBot="1" x14ac:dyDescent="0.3">
      <c r="A4" s="501"/>
      <c r="B4" s="502"/>
      <c r="C4" s="502"/>
      <c r="D4" s="502"/>
      <c r="E4" s="502"/>
      <c r="F4" s="502"/>
      <c r="G4" s="503" t="s">
        <v>558</v>
      </c>
    </row>
    <row r="5" spans="1:8" s="770" customFormat="1" ht="44.25" customHeight="1" thickBot="1" x14ac:dyDescent="0.25">
      <c r="A5" s="504" t="s">
        <v>67</v>
      </c>
      <c r="B5" s="505" t="s">
        <v>68</v>
      </c>
      <c r="C5" s="505" t="s">
        <v>69</v>
      </c>
      <c r="D5" s="505" t="s">
        <v>786</v>
      </c>
      <c r="E5" s="505" t="s">
        <v>933</v>
      </c>
      <c r="F5" s="505" t="s">
        <v>787</v>
      </c>
      <c r="G5" s="506" t="s">
        <v>788</v>
      </c>
      <c r="H5" s="507"/>
    </row>
    <row r="6" spans="1:8" s="854" customFormat="1" ht="12" customHeight="1" thickBot="1" x14ac:dyDescent="0.25">
      <c r="A6" s="508">
        <v>1</v>
      </c>
      <c r="B6" s="509">
        <v>2</v>
      </c>
      <c r="C6" s="509">
        <v>3</v>
      </c>
      <c r="D6" s="509">
        <v>4</v>
      </c>
      <c r="E6" s="509"/>
      <c r="F6" s="509">
        <v>5</v>
      </c>
      <c r="G6" s="510" t="s">
        <v>85</v>
      </c>
    </row>
    <row r="7" spans="1:8" s="854" customFormat="1" ht="12" customHeight="1" thickBot="1" x14ac:dyDescent="0.25">
      <c r="A7" s="893" t="s">
        <v>810</v>
      </c>
      <c r="B7" s="969">
        <f>SUM(B8:B37)</f>
        <v>820258254</v>
      </c>
      <c r="C7" s="968"/>
      <c r="D7" s="969">
        <f>SUM(D8:D37)</f>
        <v>149638572</v>
      </c>
      <c r="E7" s="969"/>
      <c r="F7" s="969">
        <f>SUM(F8:F37)</f>
        <v>646385567</v>
      </c>
      <c r="G7" s="970"/>
    </row>
    <row r="8" spans="1:8" s="779" customFormat="1" ht="15.95" customHeight="1" x14ac:dyDescent="0.2">
      <c r="A8" s="862" t="s">
        <v>706</v>
      </c>
      <c r="B8" s="1400">
        <f>194576285+594360</f>
        <v>195170645</v>
      </c>
      <c r="C8" s="946" t="s">
        <v>803</v>
      </c>
      <c r="D8" s="947">
        <v>116979846</v>
      </c>
      <c r="E8" s="947">
        <v>7150721</v>
      </c>
      <c r="F8" s="947">
        <f>70445718+594360</f>
        <v>71040078</v>
      </c>
      <c r="G8" s="948">
        <f>B8-D8-F8-E8</f>
        <v>0</v>
      </c>
    </row>
    <row r="9" spans="1:8" s="781" customFormat="1" ht="15.95" customHeight="1" x14ac:dyDescent="0.2">
      <c r="A9" s="863" t="s">
        <v>784</v>
      </c>
      <c r="B9" s="949">
        <v>2072640</v>
      </c>
      <c r="C9" s="950" t="s">
        <v>785</v>
      </c>
      <c r="D9" s="951"/>
      <c r="E9" s="951"/>
      <c r="F9" s="951">
        <v>2072640</v>
      </c>
      <c r="G9" s="952">
        <f t="shared" ref="G9:G74" si="0">B9-D9-F9-E9</f>
        <v>0</v>
      </c>
    </row>
    <row r="10" spans="1:8" s="779" customFormat="1" ht="15.95" customHeight="1" x14ac:dyDescent="0.2">
      <c r="A10" s="863" t="s">
        <v>789</v>
      </c>
      <c r="B10" s="949">
        <f>268788554-1094400</f>
        <v>267694154</v>
      </c>
      <c r="C10" s="950" t="s">
        <v>794</v>
      </c>
      <c r="D10" s="951">
        <v>2641600</v>
      </c>
      <c r="E10" s="951"/>
      <c r="F10" s="951">
        <v>265052554</v>
      </c>
      <c r="G10" s="952">
        <f t="shared" si="0"/>
        <v>0</v>
      </c>
    </row>
    <row r="11" spans="1:8" s="778" customFormat="1" ht="25.5" x14ac:dyDescent="0.2">
      <c r="A11" s="1406" t="s">
        <v>790</v>
      </c>
      <c r="B11" s="1403">
        <f>12274550-2533650</f>
        <v>9740900</v>
      </c>
      <c r="C11" s="950" t="s">
        <v>794</v>
      </c>
      <c r="D11" s="951"/>
      <c r="E11" s="951"/>
      <c r="F11" s="1404">
        <f>12274550-2533650</f>
        <v>9740900</v>
      </c>
      <c r="G11" s="952">
        <f t="shared" si="0"/>
        <v>0</v>
      </c>
    </row>
    <row r="12" spans="1:8" s="779" customFormat="1" ht="25.5" x14ac:dyDescent="0.2">
      <c r="A12" s="863" t="s">
        <v>791</v>
      </c>
      <c r="B12" s="949">
        <v>2634996</v>
      </c>
      <c r="C12" s="950" t="s">
        <v>794</v>
      </c>
      <c r="D12" s="951"/>
      <c r="E12" s="951"/>
      <c r="F12" s="951">
        <v>2634996</v>
      </c>
      <c r="G12" s="952">
        <f t="shared" si="0"/>
        <v>0</v>
      </c>
    </row>
    <row r="13" spans="1:8" s="779" customFormat="1" ht="15.95" customHeight="1" x14ac:dyDescent="0.2">
      <c r="A13" s="864" t="s">
        <v>661</v>
      </c>
      <c r="B13" s="953">
        <v>300000</v>
      </c>
      <c r="C13" s="875" t="s">
        <v>785</v>
      </c>
      <c r="D13" s="932"/>
      <c r="E13" s="932"/>
      <c r="F13" s="932">
        <v>300000</v>
      </c>
      <c r="G13" s="879">
        <f t="shared" si="0"/>
        <v>0</v>
      </c>
    </row>
    <row r="14" spans="1:8" s="779" customFormat="1" ht="18.75" customHeight="1" x14ac:dyDescent="0.2">
      <c r="A14" s="865" t="s">
        <v>662</v>
      </c>
      <c r="B14" s="953">
        <f>14880118+3119882</f>
        <v>18000000</v>
      </c>
      <c r="C14" s="875" t="s">
        <v>794</v>
      </c>
      <c r="D14" s="932"/>
      <c r="E14" s="932">
        <v>3119882</v>
      </c>
      <c r="F14" s="932">
        <v>14880118</v>
      </c>
      <c r="G14" s="879">
        <f t="shared" si="0"/>
        <v>0</v>
      </c>
    </row>
    <row r="15" spans="1:8" s="779" customFormat="1" ht="18.75" customHeight="1" x14ac:dyDescent="0.2">
      <c r="A15" s="1405" t="s">
        <v>807</v>
      </c>
      <c r="B15" s="953">
        <v>0</v>
      </c>
      <c r="C15" s="875" t="s">
        <v>808</v>
      </c>
      <c r="D15" s="932"/>
      <c r="E15" s="932">
        <v>0</v>
      </c>
      <c r="F15" s="932">
        <v>0</v>
      </c>
      <c r="G15" s="879">
        <f t="shared" si="0"/>
        <v>0</v>
      </c>
    </row>
    <row r="16" spans="1:8" s="779" customFormat="1" ht="28.5" customHeight="1" x14ac:dyDescent="0.2">
      <c r="A16" s="873" t="s">
        <v>663</v>
      </c>
      <c r="B16" s="1187">
        <f>15797160+174312-488</f>
        <v>15970984</v>
      </c>
      <c r="C16" s="875" t="s">
        <v>804</v>
      </c>
      <c r="D16" s="932">
        <v>7616752</v>
      </c>
      <c r="E16" s="932">
        <v>3163512</v>
      </c>
      <c r="F16" s="932">
        <f>5016316+580+174312-488</f>
        <v>5190720</v>
      </c>
      <c r="G16" s="879">
        <f t="shared" si="0"/>
        <v>0</v>
      </c>
    </row>
    <row r="17" spans="1:7" s="779" customFormat="1" ht="15.95" customHeight="1" x14ac:dyDescent="0.2">
      <c r="A17" s="866" t="s">
        <v>664</v>
      </c>
      <c r="B17" s="953">
        <v>1016000</v>
      </c>
      <c r="C17" s="875" t="s">
        <v>785</v>
      </c>
      <c r="D17" s="932"/>
      <c r="E17" s="932"/>
      <c r="F17" s="932">
        <v>1016000</v>
      </c>
      <c r="G17" s="879">
        <f t="shared" si="0"/>
        <v>0</v>
      </c>
    </row>
    <row r="18" spans="1:7" s="779" customFormat="1" ht="15.95" customHeight="1" x14ac:dyDescent="0.2">
      <c r="A18" s="867" t="s">
        <v>665</v>
      </c>
      <c r="B18" s="953">
        <v>359410</v>
      </c>
      <c r="C18" s="875" t="s">
        <v>785</v>
      </c>
      <c r="D18" s="932"/>
      <c r="E18" s="932"/>
      <c r="F18" s="932">
        <v>359410</v>
      </c>
      <c r="G18" s="879">
        <f t="shared" si="0"/>
        <v>0</v>
      </c>
    </row>
    <row r="19" spans="1:7" s="779" customFormat="1" ht="15.95" customHeight="1" x14ac:dyDescent="0.2">
      <c r="A19" s="867" t="s">
        <v>666</v>
      </c>
      <c r="B19" s="953">
        <v>381000</v>
      </c>
      <c r="C19" s="875" t="s">
        <v>785</v>
      </c>
      <c r="D19" s="932"/>
      <c r="E19" s="932"/>
      <c r="F19" s="932">
        <v>381000</v>
      </c>
      <c r="G19" s="954">
        <f t="shared" si="0"/>
        <v>0</v>
      </c>
    </row>
    <row r="20" spans="1:7" s="779" customFormat="1" ht="15.95" customHeight="1" x14ac:dyDescent="0.2">
      <c r="A20" s="867" t="s">
        <v>667</v>
      </c>
      <c r="B20" s="953">
        <v>2540000</v>
      </c>
      <c r="C20" s="875" t="s">
        <v>785</v>
      </c>
      <c r="D20" s="932"/>
      <c r="E20" s="932"/>
      <c r="F20" s="932">
        <v>2540000</v>
      </c>
      <c r="G20" s="954">
        <f t="shared" si="0"/>
        <v>0</v>
      </c>
    </row>
    <row r="21" spans="1:7" s="779" customFormat="1" ht="31.5" customHeight="1" x14ac:dyDescent="0.2">
      <c r="A21" s="1301" t="s">
        <v>1029</v>
      </c>
      <c r="B21" s="953">
        <v>355000</v>
      </c>
      <c r="C21" s="875" t="s">
        <v>785</v>
      </c>
      <c r="D21" s="932"/>
      <c r="E21" s="932"/>
      <c r="F21" s="932">
        <v>355000</v>
      </c>
      <c r="G21" s="954">
        <f t="shared" si="0"/>
        <v>0</v>
      </c>
    </row>
    <row r="22" spans="1:7" s="779" customFormat="1" ht="21.75" customHeight="1" x14ac:dyDescent="0.2">
      <c r="A22" s="867" t="s">
        <v>805</v>
      </c>
      <c r="B22" s="953">
        <v>100000</v>
      </c>
      <c r="C22" s="875" t="s">
        <v>785</v>
      </c>
      <c r="D22" s="932"/>
      <c r="E22" s="932"/>
      <c r="F22" s="932">
        <v>100000</v>
      </c>
      <c r="G22" s="954">
        <f t="shared" si="0"/>
        <v>0</v>
      </c>
    </row>
    <row r="23" spans="1:7" s="778" customFormat="1" ht="15.75" customHeight="1" x14ac:dyDescent="0.2">
      <c r="A23" s="864" t="s">
        <v>668</v>
      </c>
      <c r="B23" s="953">
        <v>94488</v>
      </c>
      <c r="C23" s="875" t="s">
        <v>785</v>
      </c>
      <c r="D23" s="932"/>
      <c r="E23" s="932"/>
      <c r="F23" s="932">
        <v>94488</v>
      </c>
      <c r="G23" s="954">
        <f t="shared" si="0"/>
        <v>0</v>
      </c>
    </row>
    <row r="24" spans="1:7" s="779" customFormat="1" ht="25.5" x14ac:dyDescent="0.2">
      <c r="A24" s="867" t="s">
        <v>708</v>
      </c>
      <c r="B24" s="953">
        <v>6704583</v>
      </c>
      <c r="C24" s="875" t="s">
        <v>707</v>
      </c>
      <c r="D24" s="932">
        <v>1295700</v>
      </c>
      <c r="E24" s="932"/>
      <c r="F24" s="932">
        <v>5408883</v>
      </c>
      <c r="G24" s="954">
        <f t="shared" si="0"/>
        <v>0</v>
      </c>
    </row>
    <row r="25" spans="1:7" s="779" customFormat="1" ht="15.75" customHeight="1" x14ac:dyDescent="0.2">
      <c r="A25" s="868" t="s">
        <v>792</v>
      </c>
      <c r="B25" s="955">
        <v>81248690</v>
      </c>
      <c r="C25" s="956" t="s">
        <v>794</v>
      </c>
      <c r="D25" s="957">
        <v>16405674</v>
      </c>
      <c r="E25" s="957"/>
      <c r="F25" s="957">
        <f>64941946-98930</f>
        <v>64843016</v>
      </c>
      <c r="G25" s="954">
        <f t="shared" si="0"/>
        <v>0</v>
      </c>
    </row>
    <row r="26" spans="1:7" s="780" customFormat="1" ht="29.25" customHeight="1" x14ac:dyDescent="0.2">
      <c r="A26" s="868" t="s">
        <v>793</v>
      </c>
      <c r="B26" s="955">
        <v>127000</v>
      </c>
      <c r="C26" s="956" t="s">
        <v>785</v>
      </c>
      <c r="D26" s="957"/>
      <c r="E26" s="957"/>
      <c r="F26" s="957">
        <v>127000</v>
      </c>
      <c r="G26" s="869">
        <f t="shared" si="0"/>
        <v>0</v>
      </c>
    </row>
    <row r="27" spans="1:7" s="780" customFormat="1" ht="29.25" customHeight="1" x14ac:dyDescent="0.2">
      <c r="A27" s="868" t="s">
        <v>806</v>
      </c>
      <c r="B27" s="1401">
        <f>4000000-2400000</f>
        <v>1600000</v>
      </c>
      <c r="C27" s="956" t="s">
        <v>785</v>
      </c>
      <c r="D27" s="957"/>
      <c r="E27" s="957"/>
      <c r="F27" s="957">
        <f>4000000-2400000</f>
        <v>1600000</v>
      </c>
      <c r="G27" s="869">
        <f t="shared" si="0"/>
        <v>0</v>
      </c>
    </row>
    <row r="28" spans="1:7" s="779" customFormat="1" ht="15.75" customHeight="1" x14ac:dyDescent="0.2">
      <c r="A28" s="1139" t="s">
        <v>996</v>
      </c>
      <c r="B28" s="1401">
        <v>7239000</v>
      </c>
      <c r="C28" s="956" t="s">
        <v>794</v>
      </c>
      <c r="D28" s="957"/>
      <c r="E28" s="957"/>
      <c r="F28" s="957">
        <v>7239000</v>
      </c>
      <c r="G28" s="869">
        <f t="shared" si="0"/>
        <v>0</v>
      </c>
    </row>
    <row r="29" spans="1:7" s="778" customFormat="1" x14ac:dyDescent="0.2">
      <c r="A29" s="867" t="s">
        <v>684</v>
      </c>
      <c r="B29" s="1187">
        <v>398755</v>
      </c>
      <c r="C29" s="875" t="s">
        <v>785</v>
      </c>
      <c r="D29" s="932"/>
      <c r="E29" s="932"/>
      <c r="F29" s="932">
        <v>398755</v>
      </c>
      <c r="G29" s="954">
        <f t="shared" si="0"/>
        <v>0</v>
      </c>
    </row>
    <row r="30" spans="1:7" s="781" customFormat="1" ht="15.75" customHeight="1" x14ac:dyDescent="0.2">
      <c r="A30" s="867" t="s">
        <v>795</v>
      </c>
      <c r="B30" s="1187">
        <v>30000000</v>
      </c>
      <c r="C30" s="875" t="s">
        <v>794</v>
      </c>
      <c r="D30" s="932"/>
      <c r="E30" s="932"/>
      <c r="F30" s="932">
        <v>30000000</v>
      </c>
      <c r="G30" s="954">
        <f t="shared" si="0"/>
        <v>0</v>
      </c>
    </row>
    <row r="31" spans="1:7" s="781" customFormat="1" ht="15.75" customHeight="1" x14ac:dyDescent="0.2">
      <c r="A31" s="1301" t="s">
        <v>1031</v>
      </c>
      <c r="B31" s="1401">
        <v>400000</v>
      </c>
      <c r="C31" s="956" t="s">
        <v>785</v>
      </c>
      <c r="D31" s="957"/>
      <c r="E31" s="957"/>
      <c r="F31" s="957">
        <v>400000</v>
      </c>
      <c r="G31" s="958">
        <f t="shared" si="0"/>
        <v>0</v>
      </c>
    </row>
    <row r="32" spans="1:7" s="780" customFormat="1" ht="15.75" customHeight="1" x14ac:dyDescent="0.2">
      <c r="A32" s="867" t="s">
        <v>796</v>
      </c>
      <c r="B32" s="955">
        <f>152706150+10800000</f>
        <v>163506150</v>
      </c>
      <c r="C32" s="956" t="s">
        <v>794</v>
      </c>
      <c r="D32" s="957">
        <v>4699000</v>
      </c>
      <c r="E32" s="957">
        <v>10800000</v>
      </c>
      <c r="F32" s="957">
        <v>148007150</v>
      </c>
      <c r="G32" s="958">
        <f t="shared" si="0"/>
        <v>0</v>
      </c>
    </row>
    <row r="33" spans="1:7" s="778" customFormat="1" ht="15.75" customHeight="1" x14ac:dyDescent="0.2">
      <c r="A33" s="867" t="s">
        <v>797</v>
      </c>
      <c r="B33" s="1187">
        <f>691900-691900</f>
        <v>0</v>
      </c>
      <c r="C33" s="1402" t="s">
        <v>794</v>
      </c>
      <c r="D33" s="1303"/>
      <c r="E33" s="1303"/>
      <c r="F33" s="1303">
        <f>691900-691900</f>
        <v>0</v>
      </c>
      <c r="G33" s="1304">
        <f t="shared" si="0"/>
        <v>0</v>
      </c>
    </row>
    <row r="34" spans="1:7" s="780" customFormat="1" ht="15.75" customHeight="1" x14ac:dyDescent="0.2">
      <c r="A34" s="867" t="s">
        <v>798</v>
      </c>
      <c r="B34" s="953">
        <f>403860-1</f>
        <v>403859</v>
      </c>
      <c r="C34" s="875" t="s">
        <v>785</v>
      </c>
      <c r="D34" s="932"/>
      <c r="E34" s="932"/>
      <c r="F34" s="932">
        <f>403860-1</f>
        <v>403859</v>
      </c>
      <c r="G34" s="880">
        <f t="shared" si="0"/>
        <v>0</v>
      </c>
    </row>
    <row r="35" spans="1:7" s="783" customFormat="1" ht="15.75" customHeight="1" x14ac:dyDescent="0.2">
      <c r="A35" s="867" t="s">
        <v>1002</v>
      </c>
      <c r="B35" s="1187">
        <v>6000000</v>
      </c>
      <c r="C35" s="875" t="s">
        <v>785</v>
      </c>
      <c r="D35" s="932"/>
      <c r="E35" s="932"/>
      <c r="F35" s="932">
        <v>6000000</v>
      </c>
      <c r="G35" s="954">
        <f t="shared" si="0"/>
        <v>0</v>
      </c>
    </row>
    <row r="36" spans="1:7" s="783" customFormat="1" ht="15.75" customHeight="1" x14ac:dyDescent="0.2">
      <c r="A36" s="867" t="s">
        <v>1026</v>
      </c>
      <c r="B36" s="1187">
        <v>1000000</v>
      </c>
      <c r="C36" s="875" t="s">
        <v>785</v>
      </c>
      <c r="D36" s="1189"/>
      <c r="E36" s="1189"/>
      <c r="F36" s="932">
        <v>1000000</v>
      </c>
      <c r="G36" s="1302">
        <f t="shared" si="0"/>
        <v>0</v>
      </c>
    </row>
    <row r="37" spans="1:7" s="783" customFormat="1" ht="15.75" customHeight="1" x14ac:dyDescent="0.2">
      <c r="A37" s="1412" t="s">
        <v>1030</v>
      </c>
      <c r="B37" s="1413">
        <v>5200000</v>
      </c>
      <c r="C37" s="875" t="s">
        <v>785</v>
      </c>
      <c r="D37" s="932"/>
      <c r="E37" s="932"/>
      <c r="F37" s="932">
        <v>5200000</v>
      </c>
      <c r="G37" s="1414">
        <f t="shared" si="0"/>
        <v>0</v>
      </c>
    </row>
    <row r="38" spans="1:7" s="779" customFormat="1" ht="13.5" thickBot="1" x14ac:dyDescent="0.25">
      <c r="A38" s="1407" t="s">
        <v>913</v>
      </c>
      <c r="B38" s="1408">
        <f>SUM(B39:B42)</f>
        <v>5047400</v>
      </c>
      <c r="C38" s="1409"/>
      <c r="D38" s="1410"/>
      <c r="E38" s="1410"/>
      <c r="F38" s="1410">
        <f>SUM(F39:F42)</f>
        <v>5047400</v>
      </c>
      <c r="G38" s="1411">
        <f t="shared" si="0"/>
        <v>0</v>
      </c>
    </row>
    <row r="39" spans="1:7" s="778" customFormat="1" ht="15.75" customHeight="1" x14ac:dyDescent="0.2">
      <c r="A39" s="870" t="s">
        <v>658</v>
      </c>
      <c r="B39" s="959">
        <v>1475000</v>
      </c>
      <c r="C39" s="950" t="s">
        <v>785</v>
      </c>
      <c r="D39" s="960"/>
      <c r="E39" s="960"/>
      <c r="F39" s="960">
        <v>1475000</v>
      </c>
      <c r="G39" s="961">
        <f t="shared" si="0"/>
        <v>0</v>
      </c>
    </row>
    <row r="40" spans="1:7" s="778" customFormat="1" x14ac:dyDescent="0.2">
      <c r="A40" s="870" t="s">
        <v>659</v>
      </c>
      <c r="B40" s="959">
        <v>1905000</v>
      </c>
      <c r="C40" s="875" t="s">
        <v>785</v>
      </c>
      <c r="D40" s="962"/>
      <c r="E40" s="962"/>
      <c r="F40" s="962">
        <v>1905000</v>
      </c>
      <c r="G40" s="963">
        <f t="shared" si="0"/>
        <v>0</v>
      </c>
    </row>
    <row r="41" spans="1:7" s="779" customFormat="1" x14ac:dyDescent="0.2">
      <c r="A41" s="871" t="s">
        <v>911</v>
      </c>
      <c r="B41" s="949">
        <v>1437400</v>
      </c>
      <c r="C41" s="875" t="s">
        <v>785</v>
      </c>
      <c r="D41" s="932"/>
      <c r="E41" s="932"/>
      <c r="F41" s="932">
        <v>1437400</v>
      </c>
      <c r="G41" s="964">
        <f t="shared" si="0"/>
        <v>0</v>
      </c>
    </row>
    <row r="42" spans="1:7" s="779" customFormat="1" ht="15.75" customHeight="1" thickBot="1" x14ac:dyDescent="0.25">
      <c r="A42" s="872" t="s">
        <v>809</v>
      </c>
      <c r="B42" s="965">
        <v>230000</v>
      </c>
      <c r="C42" s="883" t="s">
        <v>785</v>
      </c>
      <c r="D42" s="966"/>
      <c r="E42" s="966"/>
      <c r="F42" s="966">
        <v>230000</v>
      </c>
      <c r="G42" s="967">
        <f t="shared" si="0"/>
        <v>0</v>
      </c>
    </row>
    <row r="43" spans="1:7" s="780" customFormat="1" ht="15.75" customHeight="1" thickBot="1" x14ac:dyDescent="0.25">
      <c r="A43" s="890" t="s">
        <v>914</v>
      </c>
      <c r="B43" s="933">
        <f>SUM(B44:B46)</f>
        <v>1500000</v>
      </c>
      <c r="C43" s="891"/>
      <c r="D43" s="934"/>
      <c r="E43" s="1043"/>
      <c r="F43" s="933">
        <f>SUM(F44:F46)</f>
        <v>1500000</v>
      </c>
      <c r="G43" s="892">
        <f t="shared" si="0"/>
        <v>0</v>
      </c>
    </row>
    <row r="44" spans="1:7" s="780" customFormat="1" ht="25.5" x14ac:dyDescent="0.2">
      <c r="A44" s="887" t="s">
        <v>854</v>
      </c>
      <c r="B44" s="935">
        <v>533400</v>
      </c>
      <c r="C44" s="888" t="s">
        <v>785</v>
      </c>
      <c r="D44" s="936"/>
      <c r="E44" s="936"/>
      <c r="F44" s="936">
        <v>533400</v>
      </c>
      <c r="G44" s="889">
        <f t="shared" si="0"/>
        <v>0</v>
      </c>
    </row>
    <row r="45" spans="1:7" s="781" customFormat="1" ht="15.75" customHeight="1" x14ac:dyDescent="0.2">
      <c r="A45" s="815" t="s">
        <v>855</v>
      </c>
      <c r="B45" s="937">
        <v>716600</v>
      </c>
      <c r="C45" s="816" t="s">
        <v>785</v>
      </c>
      <c r="D45" s="938"/>
      <c r="E45" s="938"/>
      <c r="F45" s="938">
        <v>716600</v>
      </c>
      <c r="G45" s="817">
        <f t="shared" si="0"/>
        <v>0</v>
      </c>
    </row>
    <row r="46" spans="1:7" s="781" customFormat="1" ht="15.75" customHeight="1" thickBot="1" x14ac:dyDescent="0.25">
      <c r="A46" s="818" t="s">
        <v>856</v>
      </c>
      <c r="B46" s="939">
        <v>250000</v>
      </c>
      <c r="C46" s="819" t="s">
        <v>785</v>
      </c>
      <c r="D46" s="940"/>
      <c r="E46" s="940"/>
      <c r="F46" s="940">
        <v>250000</v>
      </c>
      <c r="G46" s="817">
        <f t="shared" si="0"/>
        <v>0</v>
      </c>
    </row>
    <row r="47" spans="1:7" s="781" customFormat="1" ht="15.75" customHeight="1" thickBot="1" x14ac:dyDescent="0.25">
      <c r="A47" s="890" t="s">
        <v>915</v>
      </c>
      <c r="B47" s="933">
        <f>SUM(B48:B52)</f>
        <v>712620</v>
      </c>
      <c r="C47" s="895"/>
      <c r="D47" s="933">
        <f>SUM(D48:D52)</f>
        <v>0</v>
      </c>
      <c r="E47" s="933"/>
      <c r="F47" s="933">
        <f>SUM(F48:F52)</f>
        <v>712620</v>
      </c>
      <c r="G47" s="829">
        <f t="shared" si="0"/>
        <v>0</v>
      </c>
    </row>
    <row r="48" spans="1:7" s="780" customFormat="1" ht="15.75" customHeight="1" x14ac:dyDescent="0.2">
      <c r="A48" s="887" t="s">
        <v>659</v>
      </c>
      <c r="B48" s="935">
        <v>254000</v>
      </c>
      <c r="C48" s="888" t="s">
        <v>785</v>
      </c>
      <c r="D48" s="936"/>
      <c r="E48" s="936"/>
      <c r="F48" s="936">
        <v>254000</v>
      </c>
      <c r="G48" s="894">
        <f t="shared" si="0"/>
        <v>0</v>
      </c>
    </row>
    <row r="49" spans="1:7" s="781" customFormat="1" ht="26.25" customHeight="1" x14ac:dyDescent="0.2">
      <c r="A49" s="815" t="s">
        <v>859</v>
      </c>
      <c r="B49" s="937">
        <v>120800</v>
      </c>
      <c r="C49" s="816" t="s">
        <v>785</v>
      </c>
      <c r="D49" s="938"/>
      <c r="E49" s="938"/>
      <c r="F49" s="938">
        <v>120800</v>
      </c>
      <c r="G49" s="817">
        <f t="shared" si="0"/>
        <v>0</v>
      </c>
    </row>
    <row r="50" spans="1:7" s="781" customFormat="1" ht="19.5" customHeight="1" x14ac:dyDescent="0.2">
      <c r="A50" s="815" t="s">
        <v>861</v>
      </c>
      <c r="B50" s="937">
        <v>38100</v>
      </c>
      <c r="C50" s="816" t="s">
        <v>785</v>
      </c>
      <c r="D50" s="938"/>
      <c r="E50" s="938"/>
      <c r="F50" s="938">
        <v>38100</v>
      </c>
      <c r="G50" s="817">
        <f t="shared" si="0"/>
        <v>0</v>
      </c>
    </row>
    <row r="51" spans="1:7" s="780" customFormat="1" ht="15.75" customHeight="1" x14ac:dyDescent="0.2">
      <c r="A51" s="815" t="s">
        <v>860</v>
      </c>
      <c r="B51" s="937">
        <v>45720</v>
      </c>
      <c r="C51" s="816" t="s">
        <v>785</v>
      </c>
      <c r="D51" s="938"/>
      <c r="E51" s="938"/>
      <c r="F51" s="938">
        <v>45720</v>
      </c>
      <c r="G51" s="817">
        <f t="shared" si="0"/>
        <v>0</v>
      </c>
    </row>
    <row r="52" spans="1:7" s="779" customFormat="1" ht="13.5" thickBot="1" x14ac:dyDescent="0.25">
      <c r="A52" s="815" t="s">
        <v>855</v>
      </c>
      <c r="B52" s="937">
        <v>254000</v>
      </c>
      <c r="C52" s="816" t="s">
        <v>785</v>
      </c>
      <c r="D52" s="938"/>
      <c r="E52" s="938"/>
      <c r="F52" s="938">
        <v>254000</v>
      </c>
      <c r="G52" s="817">
        <f t="shared" si="0"/>
        <v>0</v>
      </c>
    </row>
    <row r="53" spans="1:7" s="779" customFormat="1" ht="15.75" customHeight="1" thickBot="1" x14ac:dyDescent="0.25">
      <c r="A53" s="897" t="s">
        <v>916</v>
      </c>
      <c r="B53" s="933">
        <f>SUM(B54:B58)</f>
        <v>3254155</v>
      </c>
      <c r="C53" s="895"/>
      <c r="D53" s="933">
        <f>SUM(D54:D58)</f>
        <v>0</v>
      </c>
      <c r="E53" s="933"/>
      <c r="F53" s="933">
        <f>SUM(F54:F58)</f>
        <v>3254155</v>
      </c>
      <c r="G53" s="829">
        <f t="shared" si="0"/>
        <v>0</v>
      </c>
    </row>
    <row r="54" spans="1:7" s="779" customFormat="1" ht="15.75" customHeight="1" x14ac:dyDescent="0.2">
      <c r="A54" s="896" t="s">
        <v>862</v>
      </c>
      <c r="B54" s="935">
        <v>661299</v>
      </c>
      <c r="C54" s="888" t="s">
        <v>785</v>
      </c>
      <c r="D54" s="936"/>
      <c r="E54" s="936"/>
      <c r="F54" s="936">
        <v>661299</v>
      </c>
      <c r="G54" s="894">
        <f t="shared" si="0"/>
        <v>0</v>
      </c>
    </row>
    <row r="55" spans="1:7" s="821" customFormat="1" ht="15.75" customHeight="1" x14ac:dyDescent="0.2">
      <c r="A55" s="820" t="s">
        <v>864</v>
      </c>
      <c r="B55" s="937">
        <v>1643564</v>
      </c>
      <c r="C55" s="816" t="s">
        <v>785</v>
      </c>
      <c r="D55" s="938"/>
      <c r="E55" s="938"/>
      <c r="F55" s="938">
        <v>1643564</v>
      </c>
      <c r="G55" s="817">
        <f t="shared" si="0"/>
        <v>0</v>
      </c>
    </row>
    <row r="56" spans="1:7" s="781" customFormat="1" ht="15.75" customHeight="1" x14ac:dyDescent="0.2">
      <c r="A56" s="820" t="s">
        <v>851</v>
      </c>
      <c r="B56" s="937">
        <v>144060</v>
      </c>
      <c r="C56" s="816" t="s">
        <v>785</v>
      </c>
      <c r="D56" s="938"/>
      <c r="E56" s="938"/>
      <c r="F56" s="938">
        <v>144060</v>
      </c>
      <c r="G56" s="817">
        <f t="shared" si="0"/>
        <v>0</v>
      </c>
    </row>
    <row r="57" spans="1:7" s="781" customFormat="1" ht="15.75" customHeight="1" x14ac:dyDescent="0.2">
      <c r="A57" s="820" t="s">
        <v>863</v>
      </c>
      <c r="B57" s="937">
        <v>78232</v>
      </c>
      <c r="C57" s="816" t="s">
        <v>785</v>
      </c>
      <c r="D57" s="938"/>
      <c r="E57" s="938"/>
      <c r="F57" s="938">
        <v>78232</v>
      </c>
      <c r="G57" s="817">
        <v>0</v>
      </c>
    </row>
    <row r="58" spans="1:7" s="781" customFormat="1" ht="15.75" customHeight="1" thickBot="1" x14ac:dyDescent="0.25">
      <c r="A58" s="1297" t="s">
        <v>1027</v>
      </c>
      <c r="B58" s="1298">
        <v>727000</v>
      </c>
      <c r="C58" s="1299" t="s">
        <v>785</v>
      </c>
      <c r="D58" s="1300"/>
      <c r="E58" s="1300"/>
      <c r="F58" s="1300">
        <v>727000</v>
      </c>
      <c r="G58" s="1188">
        <f t="shared" si="0"/>
        <v>0</v>
      </c>
    </row>
    <row r="59" spans="1:7" s="824" customFormat="1" ht="35.25" customHeight="1" thickBot="1" x14ac:dyDescent="0.25">
      <c r="A59" s="903" t="s">
        <v>918</v>
      </c>
      <c r="B59" s="933">
        <f>SUM(B60:B68)</f>
        <v>18125051</v>
      </c>
      <c r="C59" s="895"/>
      <c r="D59" s="933">
        <f>SUM(D60:D68)</f>
        <v>0</v>
      </c>
      <c r="E59" s="933"/>
      <c r="F59" s="933">
        <f>SUM(F60:F68)</f>
        <v>18125051</v>
      </c>
      <c r="G59" s="829">
        <f t="shared" si="0"/>
        <v>0</v>
      </c>
    </row>
    <row r="60" spans="1:7" s="781" customFormat="1" ht="21" customHeight="1" x14ac:dyDescent="0.2">
      <c r="A60" s="902" t="s">
        <v>919</v>
      </c>
      <c r="B60" s="935"/>
      <c r="C60" s="888"/>
      <c r="D60" s="936"/>
      <c r="E60" s="936"/>
      <c r="F60" s="936"/>
      <c r="G60" s="894">
        <f t="shared" si="0"/>
        <v>0</v>
      </c>
    </row>
    <row r="61" spans="1:7" s="781" customFormat="1" ht="21" customHeight="1" x14ac:dyDescent="0.2">
      <c r="A61" s="820" t="s">
        <v>867</v>
      </c>
      <c r="B61" s="937">
        <v>177800</v>
      </c>
      <c r="C61" s="816" t="s">
        <v>785</v>
      </c>
      <c r="D61" s="938"/>
      <c r="E61" s="1044"/>
      <c r="F61" s="937">
        <v>177800</v>
      </c>
      <c r="G61" s="817">
        <f t="shared" si="0"/>
        <v>0</v>
      </c>
    </row>
    <row r="62" spans="1:7" s="781" customFormat="1" ht="21" customHeight="1" x14ac:dyDescent="0.2">
      <c r="A62" s="820" t="s">
        <v>868</v>
      </c>
      <c r="B62" s="937">
        <v>254000</v>
      </c>
      <c r="C62" s="816" t="s">
        <v>785</v>
      </c>
      <c r="D62" s="938"/>
      <c r="E62" s="1044"/>
      <c r="F62" s="937">
        <v>254000</v>
      </c>
      <c r="G62" s="817">
        <f t="shared" si="0"/>
        <v>0</v>
      </c>
    </row>
    <row r="63" spans="1:7" s="781" customFormat="1" ht="21" customHeight="1" x14ac:dyDescent="0.2">
      <c r="A63" s="820" t="s">
        <v>869</v>
      </c>
      <c r="B63" s="937">
        <v>114300</v>
      </c>
      <c r="C63" s="816" t="s">
        <v>785</v>
      </c>
      <c r="D63" s="938"/>
      <c r="E63" s="1044"/>
      <c r="F63" s="937">
        <v>114300</v>
      </c>
      <c r="G63" s="817">
        <f t="shared" si="0"/>
        <v>0</v>
      </c>
    </row>
    <row r="64" spans="1:7" s="781" customFormat="1" ht="21" customHeight="1" x14ac:dyDescent="0.2">
      <c r="A64" s="820" t="s">
        <v>870</v>
      </c>
      <c r="B64" s="937">
        <v>88668</v>
      </c>
      <c r="C64" s="816" t="s">
        <v>785</v>
      </c>
      <c r="D64" s="938"/>
      <c r="E64" s="1044"/>
      <c r="F64" s="937">
        <v>88668</v>
      </c>
      <c r="G64" s="817">
        <f t="shared" si="0"/>
        <v>0</v>
      </c>
    </row>
    <row r="65" spans="1:7" s="781" customFormat="1" ht="21" customHeight="1" x14ac:dyDescent="0.2">
      <c r="A65" s="820" t="s">
        <v>871</v>
      </c>
      <c r="B65" s="937">
        <v>952552</v>
      </c>
      <c r="C65" s="816" t="s">
        <v>785</v>
      </c>
      <c r="D65" s="938"/>
      <c r="E65" s="1044"/>
      <c r="F65" s="937">
        <v>952552</v>
      </c>
      <c r="G65" s="817">
        <f t="shared" si="0"/>
        <v>0</v>
      </c>
    </row>
    <row r="66" spans="1:7" s="781" customFormat="1" ht="21" customHeight="1" x14ac:dyDescent="0.2">
      <c r="A66" s="820" t="s">
        <v>872</v>
      </c>
      <c r="B66" s="937">
        <v>1500000</v>
      </c>
      <c r="C66" s="816" t="s">
        <v>785</v>
      </c>
      <c r="D66" s="938"/>
      <c r="E66" s="938"/>
      <c r="F66" s="938">
        <v>1500000</v>
      </c>
      <c r="G66" s="817">
        <f t="shared" si="0"/>
        <v>0</v>
      </c>
    </row>
    <row r="67" spans="1:7" s="781" customFormat="1" x14ac:dyDescent="0.2">
      <c r="A67" s="822" t="s">
        <v>852</v>
      </c>
      <c r="B67" s="1377">
        <f>1092200+101600</f>
        <v>1193800</v>
      </c>
      <c r="C67" s="816" t="s">
        <v>794</v>
      </c>
      <c r="D67" s="938">
        <v>0</v>
      </c>
      <c r="E67" s="938"/>
      <c r="F67" s="1378">
        <f>1092200+101600</f>
        <v>1193800</v>
      </c>
      <c r="G67" s="817">
        <f t="shared" si="0"/>
        <v>0</v>
      </c>
    </row>
    <row r="68" spans="1:7" s="781" customFormat="1" ht="26.25" thickBot="1" x14ac:dyDescent="0.25">
      <c r="A68" s="823" t="s">
        <v>873</v>
      </c>
      <c r="B68" s="937">
        <f>150000+4056987+9296944+340000</f>
        <v>13843931</v>
      </c>
      <c r="C68" s="816" t="s">
        <v>785</v>
      </c>
      <c r="D68" s="938"/>
      <c r="E68" s="938"/>
      <c r="F68" s="938">
        <v>13843931</v>
      </c>
      <c r="G68" s="817">
        <f t="shared" si="0"/>
        <v>0</v>
      </c>
    </row>
    <row r="69" spans="1:7" s="779" customFormat="1" ht="21" customHeight="1" thickBot="1" x14ac:dyDescent="0.25">
      <c r="A69" s="899" t="s">
        <v>917</v>
      </c>
      <c r="B69" s="941">
        <f>SUM(B70:B72)</f>
        <v>610850</v>
      </c>
      <c r="C69" s="900"/>
      <c r="D69" s="941">
        <f>SUM(D70:D72)</f>
        <v>0</v>
      </c>
      <c r="E69" s="941"/>
      <c r="F69" s="941">
        <f>SUM(F70:F72)</f>
        <v>610850</v>
      </c>
      <c r="G69" s="901">
        <f t="shared" si="0"/>
        <v>0</v>
      </c>
    </row>
    <row r="70" spans="1:7" s="778" customFormat="1" ht="19.5" customHeight="1" x14ac:dyDescent="0.2">
      <c r="A70" s="898" t="s">
        <v>659</v>
      </c>
      <c r="B70" s="935">
        <v>50800</v>
      </c>
      <c r="C70" s="888" t="s">
        <v>785</v>
      </c>
      <c r="D70" s="936"/>
      <c r="E70" s="936"/>
      <c r="F70" s="936">
        <v>50800</v>
      </c>
      <c r="G70" s="894">
        <f t="shared" si="0"/>
        <v>0</v>
      </c>
    </row>
    <row r="71" spans="1:7" s="781" customFormat="1" ht="19.5" customHeight="1" x14ac:dyDescent="0.2">
      <c r="A71" s="825" t="s">
        <v>865</v>
      </c>
      <c r="B71" s="942">
        <v>215520</v>
      </c>
      <c r="C71" s="826" t="s">
        <v>785</v>
      </c>
      <c r="D71" s="943"/>
      <c r="E71" s="943"/>
      <c r="F71" s="943">
        <v>215520</v>
      </c>
      <c r="G71" s="827">
        <f t="shared" si="0"/>
        <v>0</v>
      </c>
    </row>
    <row r="72" spans="1:7" s="781" customFormat="1" ht="19.5" customHeight="1" thickBot="1" x14ac:dyDescent="0.25">
      <c r="A72" s="825" t="s">
        <v>866</v>
      </c>
      <c r="B72" s="942">
        <v>344530</v>
      </c>
      <c r="C72" s="826" t="s">
        <v>785</v>
      </c>
      <c r="D72" s="943"/>
      <c r="E72" s="943"/>
      <c r="F72" s="943">
        <v>344530</v>
      </c>
      <c r="G72" s="827">
        <f t="shared" si="0"/>
        <v>0</v>
      </c>
    </row>
    <row r="73" spans="1:7" s="779" customFormat="1" ht="19.5" customHeight="1" thickBot="1" x14ac:dyDescent="0.25">
      <c r="A73" s="828" t="s">
        <v>853</v>
      </c>
      <c r="B73" s="944">
        <f>B69+B59+B53+B47+B43+B38</f>
        <v>29250076</v>
      </c>
      <c r="C73" s="945"/>
      <c r="D73" s="944">
        <f>D69+D59+D53+D47+D43+D38</f>
        <v>0</v>
      </c>
      <c r="E73" s="944"/>
      <c r="F73" s="944">
        <f>F69+F59+F53+F47+F43+F38</f>
        <v>29250076</v>
      </c>
      <c r="G73" s="829">
        <f t="shared" si="0"/>
        <v>0</v>
      </c>
    </row>
    <row r="74" spans="1:7" s="779" customFormat="1" ht="19.5" customHeight="1" thickBot="1" x14ac:dyDescent="0.25">
      <c r="A74" s="828" t="s">
        <v>920</v>
      </c>
      <c r="B74" s="944">
        <f>B73+B7</f>
        <v>849508330</v>
      </c>
      <c r="C74" s="945"/>
      <c r="D74" s="944">
        <f>D73+D7</f>
        <v>149638572</v>
      </c>
      <c r="E74" s="944"/>
      <c r="F74" s="944">
        <f>F73+F7</f>
        <v>675635643</v>
      </c>
      <c r="G74" s="829">
        <f t="shared" si="0"/>
        <v>24234115</v>
      </c>
    </row>
    <row r="75" spans="1:7" x14ac:dyDescent="0.2">
      <c r="F75" s="779">
        <f>'1.1.sz.mell. '!C123</f>
        <v>675635643</v>
      </c>
    </row>
    <row r="76" spans="1:7" x14ac:dyDescent="0.2">
      <c r="F76" s="779">
        <f>F74-F75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6" fitToHeight="0" orientation="portrait" verticalDpi="300" r:id="rId1"/>
  <headerFooter alignWithMargins="0"/>
  <rowBreaks count="1" manualBreakCount="1">
    <brk id="74" max="6" man="1"/>
  </rowBreaks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5"/>
  <sheetViews>
    <sheetView zoomScaleSheetLayoutView="115" workbookViewId="0">
      <selection activeCell="E15" activeCellId="1" sqref="B15 E15"/>
    </sheetView>
  </sheetViews>
  <sheetFormatPr defaultRowHeight="12.75" x14ac:dyDescent="0.2"/>
  <cols>
    <col min="1" max="1" width="60.6640625" style="782" customWidth="1"/>
    <col min="2" max="2" width="15.6640625" style="783" customWidth="1"/>
    <col min="3" max="3" width="16.33203125" style="783" customWidth="1"/>
    <col min="4" max="4" width="18" style="783" customWidth="1"/>
    <col min="5" max="5" width="16.6640625" style="783" customWidth="1"/>
    <col min="6" max="6" width="18.83203125" style="783" customWidth="1"/>
    <col min="7" max="8" width="12.83203125" style="1008" customWidth="1"/>
    <col min="9" max="9" width="13.83203125" style="1008" customWidth="1"/>
    <col min="10" max="16384" width="9.33203125" style="1008"/>
  </cols>
  <sheetData>
    <row r="1" spans="1:7" s="783" customFormat="1" ht="15.75" x14ac:dyDescent="0.2">
      <c r="A1" s="1473" t="str">
        <f>CONCATENATE("8. melléklet"," ",ALAPADATOK!A7," ",ALAPADATOK!B7," ",ALAPADATOK!C7," ",ALAPADATOK!D7," ",ALAPADATOK!E7," ",ALAPADATOK!F7," ",ALAPADATOK!G7," ",ALAPADATOK!H7)</f>
        <v>8. melléklet a 21 / 2020. ( IX.25. ) önkormányzati rendelethez</v>
      </c>
      <c r="B1" s="1473"/>
      <c r="C1" s="1473"/>
      <c r="D1" s="1473"/>
      <c r="E1" s="1473"/>
      <c r="F1" s="1473"/>
    </row>
    <row r="3" spans="1:7" ht="24.75" customHeight="1" x14ac:dyDescent="0.2">
      <c r="A3" s="1474" t="s">
        <v>8</v>
      </c>
      <c r="B3" s="1474"/>
      <c r="C3" s="1474"/>
      <c r="D3" s="1474"/>
      <c r="E3" s="1474"/>
      <c r="F3" s="1474"/>
    </row>
    <row r="4" spans="1:7" ht="23.25" customHeight="1" thickBot="1" x14ac:dyDescent="0.3">
      <c r="A4" s="772"/>
      <c r="B4" s="771"/>
      <c r="C4" s="771"/>
      <c r="D4" s="771"/>
      <c r="E4" s="771"/>
      <c r="F4" s="773" t="s">
        <v>558</v>
      </c>
    </row>
    <row r="5" spans="1:7" s="770" customFormat="1" ht="48.75" customHeight="1" thickBot="1" x14ac:dyDescent="0.25">
      <c r="A5" s="830" t="s">
        <v>70</v>
      </c>
      <c r="B5" s="831" t="s">
        <v>68</v>
      </c>
      <c r="C5" s="831" t="s">
        <v>69</v>
      </c>
      <c r="D5" s="831" t="s">
        <v>786</v>
      </c>
      <c r="E5" s="831" t="s">
        <v>787</v>
      </c>
      <c r="F5" s="832" t="s">
        <v>802</v>
      </c>
      <c r="G5" s="294"/>
    </row>
    <row r="6" spans="1:7" s="854" customFormat="1" ht="15" customHeight="1" x14ac:dyDescent="0.2">
      <c r="A6" s="833">
        <v>1</v>
      </c>
      <c r="B6" s="834">
        <v>2</v>
      </c>
      <c r="C6" s="834">
        <v>3</v>
      </c>
      <c r="D6" s="834">
        <v>4</v>
      </c>
      <c r="E6" s="834">
        <v>5</v>
      </c>
      <c r="F6" s="835">
        <v>6</v>
      </c>
    </row>
    <row r="7" spans="1:7" s="854" customFormat="1" ht="15" customHeight="1" x14ac:dyDescent="0.2">
      <c r="A7" s="1475" t="s">
        <v>685</v>
      </c>
      <c r="B7" s="1476"/>
      <c r="C7" s="1476"/>
      <c r="D7" s="1476"/>
      <c r="E7" s="1476"/>
      <c r="F7" s="1477"/>
    </row>
    <row r="8" spans="1:7" s="778" customFormat="1" ht="15.95" customHeight="1" x14ac:dyDescent="0.2">
      <c r="A8" s="873" t="s">
        <v>789</v>
      </c>
      <c r="B8" s="874">
        <v>80112238</v>
      </c>
      <c r="C8" s="875" t="s">
        <v>794</v>
      </c>
      <c r="D8" s="876"/>
      <c r="E8" s="876">
        <v>80112238</v>
      </c>
      <c r="F8" s="877">
        <f>B8-D8-E8</f>
        <v>0</v>
      </c>
    </row>
    <row r="9" spans="1:7" ht="15.95" customHeight="1" x14ac:dyDescent="0.2">
      <c r="A9" s="873" t="s">
        <v>812</v>
      </c>
      <c r="B9" s="874">
        <v>2286000</v>
      </c>
      <c r="C9" s="875" t="s">
        <v>785</v>
      </c>
      <c r="D9" s="876"/>
      <c r="E9" s="876">
        <v>2286000</v>
      </c>
      <c r="F9" s="877">
        <f t="shared" ref="F9:F18" si="0">B9-D9-E9</f>
        <v>0</v>
      </c>
    </row>
    <row r="10" spans="1:7" ht="15.95" customHeight="1" x14ac:dyDescent="0.2">
      <c r="A10" s="873" t="s">
        <v>660</v>
      </c>
      <c r="B10" s="874">
        <v>6350000</v>
      </c>
      <c r="C10" s="875" t="s">
        <v>785</v>
      </c>
      <c r="D10" s="876"/>
      <c r="E10" s="876">
        <v>6350000</v>
      </c>
      <c r="F10" s="877">
        <f t="shared" si="0"/>
        <v>0</v>
      </c>
    </row>
    <row r="11" spans="1:7" ht="15.95" customHeight="1" x14ac:dyDescent="0.2">
      <c r="A11" s="873" t="s">
        <v>811</v>
      </c>
      <c r="B11" s="886">
        <v>952500</v>
      </c>
      <c r="C11" s="875" t="s">
        <v>785</v>
      </c>
      <c r="D11" s="876"/>
      <c r="E11" s="876">
        <v>952500</v>
      </c>
      <c r="F11" s="877">
        <f t="shared" si="0"/>
        <v>0</v>
      </c>
    </row>
    <row r="12" spans="1:7" s="363" customFormat="1" ht="15.95" customHeight="1" x14ac:dyDescent="0.2">
      <c r="A12" s="873" t="s">
        <v>709</v>
      </c>
      <c r="B12" s="1191">
        <f>48292993+677185+322815+317500</f>
        <v>49610493</v>
      </c>
      <c r="C12" s="1305" t="s">
        <v>707</v>
      </c>
      <c r="D12" s="1190">
        <f>36051833-1206500</f>
        <v>34845333</v>
      </c>
      <c r="E12" s="1190">
        <f>12241160+677185+322815+1524000</f>
        <v>14765160</v>
      </c>
      <c r="F12" s="879">
        <f t="shared" si="0"/>
        <v>0</v>
      </c>
    </row>
    <row r="13" spans="1:7" ht="15.95" customHeight="1" x14ac:dyDescent="0.2">
      <c r="A13" s="873" t="s">
        <v>669</v>
      </c>
      <c r="B13" s="878">
        <v>2540000</v>
      </c>
      <c r="C13" s="875" t="s">
        <v>785</v>
      </c>
      <c r="D13" s="876"/>
      <c r="E13" s="876">
        <v>2540000</v>
      </c>
      <c r="F13" s="879">
        <f t="shared" si="0"/>
        <v>0</v>
      </c>
    </row>
    <row r="14" spans="1:7" ht="15.95" customHeight="1" x14ac:dyDescent="0.2">
      <c r="A14" s="1306" t="s">
        <v>1032</v>
      </c>
      <c r="B14" s="1191">
        <v>2000000</v>
      </c>
      <c r="C14" s="1305" t="s">
        <v>785</v>
      </c>
      <c r="D14" s="1190"/>
      <c r="E14" s="1190">
        <v>2000000</v>
      </c>
      <c r="F14" s="1307">
        <f t="shared" si="0"/>
        <v>0</v>
      </c>
    </row>
    <row r="15" spans="1:7" ht="25.5" x14ac:dyDescent="0.2">
      <c r="A15" s="873" t="s">
        <v>799</v>
      </c>
      <c r="B15" s="1191">
        <f>260000000-1400000</f>
        <v>258600000</v>
      </c>
      <c r="C15" s="875" t="s">
        <v>794</v>
      </c>
      <c r="D15" s="876">
        <f>168306402-1400000</f>
        <v>166906402</v>
      </c>
      <c r="E15" s="1190">
        <v>91693598</v>
      </c>
      <c r="F15" s="880">
        <f t="shared" si="0"/>
        <v>0</v>
      </c>
    </row>
    <row r="16" spans="1:7" s="32" customFormat="1" ht="25.5" x14ac:dyDescent="0.2">
      <c r="A16" s="873" t="s">
        <v>800</v>
      </c>
      <c r="B16" s="878">
        <f>20000000+269240</f>
        <v>20269240</v>
      </c>
      <c r="C16" s="875" t="s">
        <v>794</v>
      </c>
      <c r="D16" s="876">
        <v>450000</v>
      </c>
      <c r="E16" s="876">
        <f>19550000+269240</f>
        <v>19819240</v>
      </c>
      <c r="F16" s="880">
        <f t="shared" si="0"/>
        <v>0</v>
      </c>
    </row>
    <row r="17" spans="1:6" ht="25.5" x14ac:dyDescent="0.2">
      <c r="A17" s="873" t="s">
        <v>801</v>
      </c>
      <c r="B17" s="878">
        <v>34941060</v>
      </c>
      <c r="C17" s="875" t="s">
        <v>794</v>
      </c>
      <c r="D17" s="876"/>
      <c r="E17" s="876">
        <v>34941060</v>
      </c>
      <c r="F17" s="880">
        <f t="shared" si="0"/>
        <v>0</v>
      </c>
    </row>
    <row r="18" spans="1:6" x14ac:dyDescent="0.2">
      <c r="A18" s="873" t="s">
        <v>912</v>
      </c>
      <c r="B18" s="878">
        <v>10000000</v>
      </c>
      <c r="C18" s="875" t="s">
        <v>785</v>
      </c>
      <c r="D18" s="876"/>
      <c r="E18" s="876">
        <v>10000000</v>
      </c>
      <c r="F18" s="880">
        <f t="shared" si="0"/>
        <v>0</v>
      </c>
    </row>
    <row r="19" spans="1:6" x14ac:dyDescent="0.2">
      <c r="A19" s="1478" t="s">
        <v>536</v>
      </c>
      <c r="B19" s="1479"/>
      <c r="C19" s="1479"/>
      <c r="D19" s="1479"/>
      <c r="E19" s="1479"/>
      <c r="F19" s="1480"/>
    </row>
    <row r="20" spans="1:6" s="779" customFormat="1" x14ac:dyDescent="0.2">
      <c r="A20" s="873" t="s">
        <v>857</v>
      </c>
      <c r="B20" s="878">
        <v>600000</v>
      </c>
      <c r="C20" s="875" t="s">
        <v>785</v>
      </c>
      <c r="D20" s="876"/>
      <c r="E20" s="876">
        <v>600000</v>
      </c>
      <c r="F20" s="880"/>
    </row>
    <row r="21" spans="1:6" x14ac:dyDescent="0.2">
      <c r="A21" s="1478" t="s">
        <v>0</v>
      </c>
      <c r="B21" s="1479"/>
      <c r="C21" s="1479"/>
      <c r="D21" s="1479"/>
      <c r="E21" s="1479"/>
      <c r="F21" s="1480"/>
    </row>
    <row r="22" spans="1:6" s="779" customFormat="1" x14ac:dyDescent="0.2">
      <c r="A22" s="873" t="s">
        <v>858</v>
      </c>
      <c r="B22" s="878">
        <v>1054700</v>
      </c>
      <c r="C22" s="875" t="s">
        <v>794</v>
      </c>
      <c r="D22" s="876">
        <v>344770</v>
      </c>
      <c r="E22" s="876">
        <f>B22-D22</f>
        <v>709930</v>
      </c>
      <c r="F22" s="880"/>
    </row>
    <row r="23" spans="1:6" ht="13.5" thickBot="1" x14ac:dyDescent="0.25">
      <c r="A23" s="881"/>
      <c r="B23" s="882"/>
      <c r="C23" s="883"/>
      <c r="D23" s="884"/>
      <c r="E23" s="884"/>
      <c r="F23" s="885"/>
    </row>
    <row r="24" spans="1:6" ht="13.5" thickBot="1" x14ac:dyDescent="0.25">
      <c r="A24" s="774" t="s">
        <v>66</v>
      </c>
      <c r="B24" s="775">
        <f>SUM(B8:B23)</f>
        <v>469316231</v>
      </c>
      <c r="C24" s="776"/>
      <c r="D24" s="775">
        <f>SUM(D8:D23)</f>
        <v>202546505</v>
      </c>
      <c r="E24" s="775">
        <f>SUM(E8:E23)</f>
        <v>266769726</v>
      </c>
      <c r="F24" s="777">
        <v>0</v>
      </c>
    </row>
    <row r="25" spans="1:6" x14ac:dyDescent="0.2">
      <c r="E25" s="783">
        <f>'1.1.sz.mell. '!C125</f>
        <v>266769726</v>
      </c>
    </row>
  </sheetData>
  <mergeCells count="5">
    <mergeCell ref="A1:F1"/>
    <mergeCell ref="A3:F3"/>
    <mergeCell ref="A7:F7"/>
    <mergeCell ref="A19:F19"/>
    <mergeCell ref="A21:F21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H46"/>
  <sheetViews>
    <sheetView topLeftCell="A10" zoomScaleSheetLayoutView="85" workbookViewId="0">
      <selection sqref="A1:E1"/>
    </sheetView>
  </sheetViews>
  <sheetFormatPr defaultColWidth="9.33203125" defaultRowHeight="12.75" x14ac:dyDescent="0.2"/>
  <cols>
    <col min="1" max="1" width="38.6640625" style="1114" customWidth="1"/>
    <col min="2" max="5" width="13.83203125" style="1114" customWidth="1"/>
    <col min="6" max="6" width="9.33203125" style="1114"/>
    <col min="7" max="7" width="11.1640625" style="1114" bestFit="1" customWidth="1"/>
    <col min="8" max="9" width="10.1640625" style="1114" bestFit="1" customWidth="1"/>
    <col min="10" max="16384" width="9.33203125" style="1114"/>
  </cols>
  <sheetData>
    <row r="1" spans="1:5" x14ac:dyDescent="0.2">
      <c r="A1" s="1481" t="str">
        <f>CONCATENATE("9. melléklet"," ",ALAPADATOK!A7," ",ALAPADATOK!B7," ",ALAPADATOK!C7," ",ALAPADATOK!D7," ",ALAPADATOK!E7," ",ALAPADATOK!F7," ",ALAPADATOK!G7," ",ALAPADATOK!H7)</f>
        <v>9. melléklet a 21 / 2020. ( IX.25. ) önkormányzati rendelethez</v>
      </c>
      <c r="B1" s="1481"/>
      <c r="C1" s="1481"/>
      <c r="D1" s="1481"/>
      <c r="E1" s="1481"/>
    </row>
    <row r="2" spans="1:5" x14ac:dyDescent="0.2">
      <c r="A2" s="1113"/>
      <c r="B2" s="1113"/>
      <c r="C2" s="1113"/>
      <c r="D2" s="1113"/>
      <c r="E2" s="1113"/>
    </row>
    <row r="3" spans="1:5" ht="56.25" customHeight="1" x14ac:dyDescent="0.25">
      <c r="A3" s="1482" t="s">
        <v>705</v>
      </c>
      <c r="B3" s="1482"/>
      <c r="C3" s="1482"/>
      <c r="D3" s="1482"/>
      <c r="E3" s="1482"/>
    </row>
    <row r="4" spans="1:5" ht="14.25" thickBot="1" x14ac:dyDescent="0.3">
      <c r="A4" s="1113"/>
      <c r="B4" s="1113"/>
      <c r="C4" s="1113"/>
      <c r="D4" s="1483" t="s">
        <v>564</v>
      </c>
      <c r="E4" s="1483"/>
    </row>
    <row r="5" spans="1:5" ht="15" customHeight="1" thickBot="1" x14ac:dyDescent="0.25">
      <c r="A5" s="1022" t="s">
        <v>604</v>
      </c>
      <c r="B5" s="1023" t="s">
        <v>876</v>
      </c>
      <c r="C5" s="1023">
        <v>2020</v>
      </c>
      <c r="D5" s="1023" t="s">
        <v>923</v>
      </c>
      <c r="E5" s="1024" t="s">
        <v>53</v>
      </c>
    </row>
    <row r="6" spans="1:5" x14ac:dyDescent="0.2">
      <c r="A6" s="989" t="s">
        <v>605</v>
      </c>
      <c r="B6" s="990"/>
      <c r="C6" s="990">
        <v>174312</v>
      </c>
      <c r="D6" s="990"/>
      <c r="E6" s="991">
        <f>SUM(B6:D6)</f>
        <v>174312</v>
      </c>
    </row>
    <row r="7" spans="1:5" x14ac:dyDescent="0.2">
      <c r="A7" s="992" t="s">
        <v>606</v>
      </c>
      <c r="B7" s="993"/>
      <c r="C7" s="993"/>
      <c r="D7" s="993"/>
      <c r="E7" s="994">
        <f t="shared" ref="E7:E12" si="0">SUM(B7:D7)</f>
        <v>0</v>
      </c>
    </row>
    <row r="8" spans="1:5" x14ac:dyDescent="0.2">
      <c r="A8" s="995" t="s">
        <v>607</v>
      </c>
      <c r="B8" s="996">
        <f>15956160-159000</f>
        <v>15797160</v>
      </c>
      <c r="C8" s="996"/>
      <c r="D8" s="996"/>
      <c r="E8" s="997">
        <f t="shared" si="0"/>
        <v>15797160</v>
      </c>
    </row>
    <row r="9" spans="1:5" x14ac:dyDescent="0.2">
      <c r="A9" s="995" t="s">
        <v>608</v>
      </c>
      <c r="B9" s="996"/>
      <c r="C9" s="996"/>
      <c r="D9" s="996"/>
      <c r="E9" s="997">
        <f t="shared" si="0"/>
        <v>0</v>
      </c>
    </row>
    <row r="10" spans="1:5" x14ac:dyDescent="0.2">
      <c r="A10" s="995" t="s">
        <v>124</v>
      </c>
      <c r="B10" s="524"/>
      <c r="C10" s="996"/>
      <c r="D10" s="996"/>
      <c r="E10" s="997">
        <f t="shared" si="0"/>
        <v>0</v>
      </c>
    </row>
    <row r="11" spans="1:5" x14ac:dyDescent="0.2">
      <c r="A11" s="995" t="s">
        <v>609</v>
      </c>
      <c r="B11" s="996"/>
      <c r="C11" s="996"/>
      <c r="D11" s="996"/>
      <c r="E11" s="997">
        <f t="shared" si="0"/>
        <v>0</v>
      </c>
    </row>
    <row r="12" spans="1:5" ht="13.5" thickBot="1" x14ac:dyDescent="0.25">
      <c r="A12" s="998"/>
      <c r="B12" s="999"/>
      <c r="C12" s="999"/>
      <c r="D12" s="999"/>
      <c r="E12" s="997">
        <f t="shared" si="0"/>
        <v>0</v>
      </c>
    </row>
    <row r="13" spans="1:5" ht="13.5" thickBot="1" x14ac:dyDescent="0.25">
      <c r="A13" s="1025" t="s">
        <v>610</v>
      </c>
      <c r="B13" s="1000">
        <f>B6+SUM(B8:B12)</f>
        <v>15797160</v>
      </c>
      <c r="C13" s="1000">
        <f>C6+SUM(C8:C12)</f>
        <v>174312</v>
      </c>
      <c r="D13" s="1000">
        <f>D6+SUM(D8:D12)</f>
        <v>0</v>
      </c>
      <c r="E13" s="988">
        <f>SUM(E6:E12)</f>
        <v>15971472</v>
      </c>
    </row>
    <row r="14" spans="1:5" ht="13.5" thickBot="1" x14ac:dyDescent="0.25">
      <c r="A14" s="523"/>
      <c r="B14" s="523"/>
      <c r="C14" s="523"/>
      <c r="D14" s="523"/>
      <c r="E14" s="523"/>
    </row>
    <row r="15" spans="1:5" ht="15" customHeight="1" thickBot="1" x14ac:dyDescent="0.25">
      <c r="A15" s="1022" t="s">
        <v>611</v>
      </c>
      <c r="B15" s="1023" t="s">
        <v>876</v>
      </c>
      <c r="C15" s="1023">
        <v>2020</v>
      </c>
      <c r="D15" s="1023" t="s">
        <v>923</v>
      </c>
      <c r="E15" s="1024" t="s">
        <v>53</v>
      </c>
    </row>
    <row r="16" spans="1:5" x14ac:dyDescent="0.2">
      <c r="A16" s="989" t="s">
        <v>612</v>
      </c>
      <c r="B16" s="990"/>
      <c r="C16" s="990"/>
      <c r="D16" s="990"/>
      <c r="E16" s="991">
        <f>SUM(B16:D16)</f>
        <v>0</v>
      </c>
    </row>
    <row r="17" spans="1:5" x14ac:dyDescent="0.2">
      <c r="A17" s="1001" t="s">
        <v>613</v>
      </c>
      <c r="B17" s="996">
        <f>6978592+638160</f>
        <v>7616752</v>
      </c>
      <c r="C17" s="996">
        <f>5016896+174312-488</f>
        <v>5190720</v>
      </c>
      <c r="D17" s="996"/>
      <c r="E17" s="997">
        <f t="shared" ref="E17:E22" si="1">SUM(B17:D17)</f>
        <v>12807472</v>
      </c>
    </row>
    <row r="18" spans="1:5" x14ac:dyDescent="0.2">
      <c r="A18" s="995" t="s">
        <v>614</v>
      </c>
      <c r="B18" s="996"/>
      <c r="C18" s="996"/>
      <c r="D18" s="996"/>
      <c r="E18" s="997">
        <f t="shared" si="1"/>
        <v>0</v>
      </c>
    </row>
    <row r="19" spans="1:5" x14ac:dyDescent="0.2">
      <c r="A19" s="995" t="s">
        <v>615</v>
      </c>
      <c r="B19" s="996"/>
      <c r="C19" s="996"/>
      <c r="D19" s="996"/>
      <c r="E19" s="997">
        <f t="shared" si="1"/>
        <v>0</v>
      </c>
    </row>
    <row r="20" spans="1:5" x14ac:dyDescent="0.2">
      <c r="A20" s="1002" t="s">
        <v>616</v>
      </c>
      <c r="B20" s="996"/>
      <c r="C20" s="996"/>
      <c r="D20" s="996"/>
      <c r="E20" s="997">
        <f t="shared" si="1"/>
        <v>0</v>
      </c>
    </row>
    <row r="21" spans="1:5" x14ac:dyDescent="0.2">
      <c r="A21" s="1002" t="s">
        <v>617</v>
      </c>
      <c r="B21" s="525"/>
      <c r="C21" s="996">
        <f>3163512+488</f>
        <v>3164000</v>
      </c>
      <c r="D21" s="996"/>
      <c r="E21" s="997">
        <f t="shared" si="1"/>
        <v>3164000</v>
      </c>
    </row>
    <row r="22" spans="1:5" ht="13.5" thickBot="1" x14ac:dyDescent="0.25">
      <c r="A22" s="998"/>
      <c r="B22" s="999"/>
      <c r="C22" s="999"/>
      <c r="D22" s="999"/>
      <c r="E22" s="997">
        <f t="shared" si="1"/>
        <v>0</v>
      </c>
    </row>
    <row r="23" spans="1:5" ht="13.5" thickBot="1" x14ac:dyDescent="0.25">
      <c r="A23" s="1025" t="s">
        <v>54</v>
      </c>
      <c r="B23" s="1026">
        <f>SUM(B16:B22)</f>
        <v>7616752</v>
      </c>
      <c r="C23" s="1026">
        <f>SUM(C16:C22)</f>
        <v>8354720</v>
      </c>
      <c r="D23" s="1026">
        <f>SUM(D16:D22)</f>
        <v>0</v>
      </c>
      <c r="E23" s="1027">
        <f>SUM(E16:E22)</f>
        <v>15971472</v>
      </c>
    </row>
    <row r="24" spans="1:5" x14ac:dyDescent="0.2">
      <c r="A24" s="1113"/>
      <c r="B24" s="1113"/>
      <c r="C24" s="1113"/>
      <c r="D24" s="1113"/>
      <c r="E24" s="1113"/>
    </row>
    <row r="25" spans="1:5" ht="34.5" customHeight="1" x14ac:dyDescent="0.25">
      <c r="A25" s="1482" t="s">
        <v>704</v>
      </c>
      <c r="B25" s="1482"/>
      <c r="C25" s="1482"/>
      <c r="D25" s="1482"/>
      <c r="E25" s="1482"/>
    </row>
    <row r="26" spans="1:5" ht="14.25" thickBot="1" x14ac:dyDescent="0.3">
      <c r="A26" s="1113"/>
      <c r="B26" s="1113"/>
      <c r="C26" s="1113"/>
      <c r="D26" s="1483" t="s">
        <v>564</v>
      </c>
      <c r="E26" s="1483"/>
    </row>
    <row r="27" spans="1:5" ht="13.5" thickBot="1" x14ac:dyDescent="0.25">
      <c r="A27" s="1022" t="s">
        <v>604</v>
      </c>
      <c r="B27" s="1023" t="s">
        <v>876</v>
      </c>
      <c r="C27" s="1023">
        <v>2020</v>
      </c>
      <c r="D27" s="1023" t="s">
        <v>923</v>
      </c>
      <c r="E27" s="1024" t="s">
        <v>53</v>
      </c>
    </row>
    <row r="28" spans="1:5" x14ac:dyDescent="0.2">
      <c r="A28" s="989" t="s">
        <v>605</v>
      </c>
      <c r="B28" s="990"/>
      <c r="C28" s="1152">
        <f>594360+100000</f>
        <v>694360</v>
      </c>
      <c r="D28" s="990"/>
      <c r="E28" s="991">
        <f>SUM(B28:D28)</f>
        <v>694360</v>
      </c>
    </row>
    <row r="29" spans="1:5" x14ac:dyDescent="0.2">
      <c r="A29" s="992" t="s">
        <v>606</v>
      </c>
      <c r="B29" s="993"/>
      <c r="C29" s="993"/>
      <c r="D29" s="993"/>
      <c r="E29" s="994"/>
    </row>
    <row r="30" spans="1:5" x14ac:dyDescent="0.2">
      <c r="A30" s="995" t="s">
        <v>607</v>
      </c>
      <c r="B30" s="996">
        <v>214128350</v>
      </c>
      <c r="C30" s="996"/>
      <c r="D30" s="996"/>
      <c r="E30" s="997">
        <v>214128350</v>
      </c>
    </row>
    <row r="31" spans="1:5" x14ac:dyDescent="0.2">
      <c r="A31" s="995" t="s">
        <v>608</v>
      </c>
      <c r="B31" s="996"/>
      <c r="C31" s="996"/>
      <c r="D31" s="996"/>
      <c r="E31" s="997"/>
    </row>
    <row r="32" spans="1:5" x14ac:dyDescent="0.2">
      <c r="A32" s="995" t="s">
        <v>124</v>
      </c>
      <c r="B32" s="996"/>
      <c r="C32" s="996"/>
      <c r="D32" s="996"/>
      <c r="E32" s="997"/>
    </row>
    <row r="33" spans="1:8" x14ac:dyDescent="0.2">
      <c r="A33" s="995" t="s">
        <v>609</v>
      </c>
      <c r="B33" s="996"/>
      <c r="C33" s="996"/>
      <c r="D33" s="996"/>
      <c r="E33" s="997"/>
    </row>
    <row r="34" spans="1:8" ht="13.5" thickBot="1" x14ac:dyDescent="0.25">
      <c r="A34" s="998"/>
      <c r="B34" s="999"/>
      <c r="C34" s="999"/>
      <c r="D34" s="999"/>
      <c r="E34" s="997"/>
    </row>
    <row r="35" spans="1:8" ht="13.5" thickBot="1" x14ac:dyDescent="0.25">
      <c r="A35" s="1025" t="s">
        <v>610</v>
      </c>
      <c r="B35" s="1000">
        <f>B28+SUM(B30:B34)</f>
        <v>214128350</v>
      </c>
      <c r="C35" s="1000">
        <f>C28+SUM(C30:C34)</f>
        <v>694360</v>
      </c>
      <c r="D35" s="1000">
        <f>D28+SUM(D30:D34)</f>
        <v>0</v>
      </c>
      <c r="E35" s="988">
        <f>E28+SUM(E30:E34)</f>
        <v>214822710</v>
      </c>
    </row>
    <row r="36" spans="1:8" ht="13.5" thickBot="1" x14ac:dyDescent="0.25">
      <c r="A36" s="523"/>
      <c r="B36" s="523"/>
      <c r="C36" s="523"/>
      <c r="D36" s="523"/>
      <c r="E36" s="523"/>
    </row>
    <row r="37" spans="1:8" ht="13.5" thickBot="1" x14ac:dyDescent="0.25">
      <c r="A37" s="1022" t="s">
        <v>611</v>
      </c>
      <c r="B37" s="1023" t="str">
        <f>B27</f>
        <v>2020. előtt</v>
      </c>
      <c r="C37" s="1023">
        <f>C27</f>
        <v>2020</v>
      </c>
      <c r="D37" s="1023" t="str">
        <f>D27</f>
        <v>2020 után</v>
      </c>
      <c r="E37" s="1024" t="s">
        <v>53</v>
      </c>
    </row>
    <row r="38" spans="1:8" x14ac:dyDescent="0.2">
      <c r="A38" s="989" t="s">
        <v>612</v>
      </c>
      <c r="B38" s="990"/>
      <c r="C38" s="990"/>
      <c r="D38" s="990"/>
      <c r="E38" s="991">
        <f>SUM(B38:D38)</f>
        <v>0</v>
      </c>
    </row>
    <row r="39" spans="1:8" x14ac:dyDescent="0.2">
      <c r="A39" s="1001" t="s">
        <v>613</v>
      </c>
      <c r="B39" s="996">
        <f>92337150+8728696</f>
        <v>101065846</v>
      </c>
      <c r="C39" s="525">
        <f>70445718+594360</f>
        <v>71040078</v>
      </c>
      <c r="D39" s="996"/>
      <c r="E39" s="997">
        <f t="shared" ref="E39:E44" si="2">SUM(B39:D39)</f>
        <v>172105924</v>
      </c>
    </row>
    <row r="40" spans="1:8" x14ac:dyDescent="0.2">
      <c r="A40" s="995" t="s">
        <v>614</v>
      </c>
      <c r="B40" s="996">
        <v>15243810</v>
      </c>
      <c r="C40" s="525">
        <f>3769255+100000-288095</f>
        <v>3581160</v>
      </c>
      <c r="D40" s="996"/>
      <c r="E40" s="997">
        <f t="shared" si="2"/>
        <v>18824970</v>
      </c>
    </row>
    <row r="41" spans="1:8" x14ac:dyDescent="0.2">
      <c r="A41" s="995" t="s">
        <v>615</v>
      </c>
      <c r="B41" s="996">
        <v>539000</v>
      </c>
      <c r="C41" s="996"/>
      <c r="D41" s="996"/>
      <c r="E41" s="997">
        <f t="shared" si="2"/>
        <v>539000</v>
      </c>
    </row>
    <row r="42" spans="1:8" x14ac:dyDescent="0.2">
      <c r="A42" s="1002" t="s">
        <v>616</v>
      </c>
      <c r="B42" s="996"/>
      <c r="C42" s="996"/>
      <c r="D42" s="996"/>
      <c r="E42" s="997">
        <f t="shared" si="2"/>
        <v>0</v>
      </c>
    </row>
    <row r="43" spans="1:8" x14ac:dyDescent="0.2">
      <c r="A43" s="1002" t="s">
        <v>617</v>
      </c>
      <c r="B43" s="996">
        <v>15914000</v>
      </c>
      <c r="C43" s="996">
        <f>7150721+288095</f>
        <v>7438816</v>
      </c>
      <c r="D43" s="996"/>
      <c r="E43" s="997">
        <f t="shared" si="2"/>
        <v>23352816</v>
      </c>
    </row>
    <row r="44" spans="1:8" ht="13.5" thickBot="1" x14ac:dyDescent="0.25">
      <c r="A44" s="998"/>
      <c r="B44" s="999"/>
      <c r="C44" s="999"/>
      <c r="D44" s="999"/>
      <c r="E44" s="997">
        <f t="shared" si="2"/>
        <v>0</v>
      </c>
    </row>
    <row r="45" spans="1:8" ht="13.5" thickBot="1" x14ac:dyDescent="0.25">
      <c r="A45" s="1025" t="s">
        <v>54</v>
      </c>
      <c r="B45" s="1000">
        <f>SUM(B38:B44)</f>
        <v>132762656</v>
      </c>
      <c r="C45" s="1000">
        <f>SUM(C38:C44)</f>
        <v>82060054</v>
      </c>
      <c r="D45" s="1000">
        <f>SUM(D38:D44)</f>
        <v>0</v>
      </c>
      <c r="E45" s="988">
        <f>SUM(E38:E44)</f>
        <v>214822710</v>
      </c>
      <c r="G45" s="972"/>
      <c r="H45" s="972"/>
    </row>
    <row r="46" spans="1:8" x14ac:dyDescent="0.2">
      <c r="A46" s="1113"/>
      <c r="B46" s="1113"/>
      <c r="C46" s="1113"/>
      <c r="D46" s="1113"/>
      <c r="E46" s="971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11" priority="2" stopIfTrue="1" operator="equal">
      <formula>0</formula>
    </cfRule>
  </conditionalFormatting>
  <conditionalFormatting sqref="E28:E35 B35:D35 B45:E45 E38:E44 G45:H45">
    <cfRule type="cellIs" dxfId="1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topLeftCell="A34" zoomScaleSheetLayoutView="85" workbookViewId="0">
      <selection sqref="A1:E1"/>
    </sheetView>
  </sheetViews>
  <sheetFormatPr defaultColWidth="9.33203125" defaultRowHeight="12.75" x14ac:dyDescent="0.2"/>
  <cols>
    <col min="1" max="1" width="38.6640625" style="1114" customWidth="1"/>
    <col min="2" max="5" width="13.83203125" style="1114" customWidth="1"/>
    <col min="6" max="6" width="9.33203125" style="1114"/>
    <col min="7" max="7" width="10.1640625" style="1114" bestFit="1" customWidth="1"/>
    <col min="8" max="16384" width="9.33203125" style="1114"/>
  </cols>
  <sheetData>
    <row r="1" spans="1:5" x14ac:dyDescent="0.2">
      <c r="A1" s="1481" t="str">
        <f>CONCATENATE("10. melléklet"," ",ALAPADATOK!A7," ",ALAPADATOK!B7," ",ALAPADATOK!C7," ",ALAPADATOK!D7," ",ALAPADATOK!E7," ",ALAPADATOK!F7," ",ALAPADATOK!G7," ",ALAPADATOK!H7)</f>
        <v>10. melléklet a 21 / 2020. ( IX.25. ) önkormányzati rendelethez</v>
      </c>
      <c r="B1" s="1481"/>
      <c r="C1" s="1481"/>
      <c r="D1" s="1481"/>
      <c r="E1" s="1481"/>
    </row>
    <row r="2" spans="1:5" x14ac:dyDescent="0.2">
      <c r="A2" s="1113"/>
      <c r="B2" s="1113"/>
      <c r="C2" s="1113"/>
      <c r="D2" s="1113"/>
      <c r="E2" s="1113"/>
    </row>
    <row r="3" spans="1:5" ht="57" customHeight="1" x14ac:dyDescent="0.25">
      <c r="A3" s="1482" t="s">
        <v>710</v>
      </c>
      <c r="B3" s="1482"/>
      <c r="C3" s="1482"/>
      <c r="D3" s="1482"/>
      <c r="E3" s="1482"/>
    </row>
    <row r="4" spans="1:5" ht="14.25" thickBot="1" x14ac:dyDescent="0.3">
      <c r="A4" s="1113"/>
      <c r="B4" s="1113"/>
      <c r="C4" s="1113"/>
      <c r="D4" s="1483" t="s">
        <v>564</v>
      </c>
      <c r="E4" s="1483"/>
    </row>
    <row r="5" spans="1:5" ht="15" customHeight="1" thickBot="1" x14ac:dyDescent="0.25">
      <c r="A5" s="1022" t="s">
        <v>604</v>
      </c>
      <c r="B5" s="1023" t="s">
        <v>876</v>
      </c>
      <c r="C5" s="1023">
        <v>2020</v>
      </c>
      <c r="D5" s="1023" t="s">
        <v>923</v>
      </c>
      <c r="E5" s="1024" t="s">
        <v>53</v>
      </c>
    </row>
    <row r="6" spans="1:5" x14ac:dyDescent="0.2">
      <c r="A6" s="989" t="s">
        <v>605</v>
      </c>
      <c r="B6" s="990">
        <v>2021904</v>
      </c>
      <c r="C6" s="990">
        <f>1000000+317500</f>
        <v>1317500</v>
      </c>
      <c r="D6" s="990"/>
      <c r="E6" s="991">
        <f>SUM(B6:D6)</f>
        <v>3339404</v>
      </c>
    </row>
    <row r="7" spans="1:5" x14ac:dyDescent="0.2">
      <c r="A7" s="992" t="s">
        <v>606</v>
      </c>
      <c r="B7" s="993"/>
      <c r="C7" s="993"/>
      <c r="D7" s="993"/>
      <c r="E7" s="994">
        <f t="shared" ref="E7:E12" si="0">SUM(B7:D7)</f>
        <v>0</v>
      </c>
    </row>
    <row r="8" spans="1:5" x14ac:dyDescent="0.2">
      <c r="A8" s="995" t="s">
        <v>607</v>
      </c>
      <c r="B8" s="996">
        <v>66360408</v>
      </c>
      <c r="C8" s="996">
        <v>72654520</v>
      </c>
      <c r="D8" s="996"/>
      <c r="E8" s="997">
        <f t="shared" si="0"/>
        <v>139014928</v>
      </c>
    </row>
    <row r="9" spans="1:5" x14ac:dyDescent="0.2">
      <c r="A9" s="995" t="s">
        <v>608</v>
      </c>
      <c r="B9" s="996"/>
      <c r="C9" s="996"/>
      <c r="D9" s="996"/>
      <c r="E9" s="997">
        <f t="shared" si="0"/>
        <v>0</v>
      </c>
    </row>
    <row r="10" spans="1:5" x14ac:dyDescent="0.2">
      <c r="A10" s="995" t="s">
        <v>124</v>
      </c>
      <c r="B10" s="524"/>
      <c r="C10" s="996"/>
      <c r="D10" s="996"/>
      <c r="E10" s="997">
        <f t="shared" si="0"/>
        <v>0</v>
      </c>
    </row>
    <row r="11" spans="1:5" x14ac:dyDescent="0.2">
      <c r="A11" s="995" t="s">
        <v>609</v>
      </c>
      <c r="B11" s="996"/>
      <c r="C11" s="525"/>
      <c r="D11" s="996"/>
      <c r="E11" s="997">
        <f t="shared" si="0"/>
        <v>0</v>
      </c>
    </row>
    <row r="12" spans="1:5" ht="13.5" thickBot="1" x14ac:dyDescent="0.25">
      <c r="A12" s="998"/>
      <c r="B12" s="999"/>
      <c r="C12" s="999"/>
      <c r="D12" s="999"/>
      <c r="E12" s="997">
        <f t="shared" si="0"/>
        <v>0</v>
      </c>
    </row>
    <row r="13" spans="1:5" ht="13.5" thickBot="1" x14ac:dyDescent="0.25">
      <c r="A13" s="1025" t="s">
        <v>610</v>
      </c>
      <c r="B13" s="1000">
        <f>B6+SUM(B8:B12)</f>
        <v>68382312</v>
      </c>
      <c r="C13" s="1000">
        <f>C6+SUM(C8:C12)</f>
        <v>73972020</v>
      </c>
      <c r="D13" s="1000">
        <f>D6+SUM(D8:D12)</f>
        <v>0</v>
      </c>
      <c r="E13" s="988">
        <f>E6+SUM(E8:E12)</f>
        <v>142354332</v>
      </c>
    </row>
    <row r="14" spans="1:5" ht="13.5" thickBot="1" x14ac:dyDescent="0.25">
      <c r="A14" s="523"/>
      <c r="B14" s="523"/>
      <c r="C14" s="523"/>
      <c r="D14" s="523"/>
      <c r="E14" s="523"/>
    </row>
    <row r="15" spans="1:5" ht="15" customHeight="1" thickBot="1" x14ac:dyDescent="0.25">
      <c r="A15" s="1022" t="s">
        <v>611</v>
      </c>
      <c r="B15" s="1023" t="str">
        <f>B5</f>
        <v>2020. előtt</v>
      </c>
      <c r="C15" s="1023">
        <f>C5</f>
        <v>2020</v>
      </c>
      <c r="D15" s="1023" t="str">
        <f>D5</f>
        <v>2020 után</v>
      </c>
      <c r="E15" s="1024" t="s">
        <v>53</v>
      </c>
    </row>
    <row r="16" spans="1:5" x14ac:dyDescent="0.2">
      <c r="A16" s="989" t="s">
        <v>612</v>
      </c>
      <c r="B16" s="990">
        <v>3104854</v>
      </c>
      <c r="C16" s="990">
        <v>4550402</v>
      </c>
      <c r="D16" s="990"/>
      <c r="E16" s="991">
        <f t="shared" ref="E16:E22" si="1">SUM(B16:D16)</f>
        <v>7655256</v>
      </c>
    </row>
    <row r="17" spans="1:9" x14ac:dyDescent="0.2">
      <c r="A17" s="1001" t="s">
        <v>613</v>
      </c>
      <c r="B17" s="996">
        <f>37347533-1206500</f>
        <v>36141033</v>
      </c>
      <c r="C17" s="996">
        <f>17650043+1000000+1206500+317500</f>
        <v>20174043</v>
      </c>
      <c r="D17" s="996"/>
      <c r="E17" s="997">
        <f t="shared" si="1"/>
        <v>56315076</v>
      </c>
    </row>
    <row r="18" spans="1:9" x14ac:dyDescent="0.2">
      <c r="A18" s="995" t="s">
        <v>614</v>
      </c>
      <c r="B18" s="996">
        <v>4388001</v>
      </c>
      <c r="C18" s="996">
        <v>4683999</v>
      </c>
      <c r="D18" s="996"/>
      <c r="E18" s="997">
        <f t="shared" si="1"/>
        <v>9072000</v>
      </c>
    </row>
    <row r="19" spans="1:9" x14ac:dyDescent="0.2">
      <c r="A19" s="995" t="s">
        <v>615</v>
      </c>
      <c r="B19" s="996"/>
      <c r="C19" s="996"/>
      <c r="D19" s="996"/>
      <c r="E19" s="997">
        <f t="shared" si="1"/>
        <v>0</v>
      </c>
    </row>
    <row r="20" spans="1:9" x14ac:dyDescent="0.2">
      <c r="A20" s="1002" t="s">
        <v>616</v>
      </c>
      <c r="B20" s="996"/>
      <c r="C20" s="996"/>
      <c r="D20" s="996"/>
      <c r="E20" s="997">
        <f t="shared" si="1"/>
        <v>0</v>
      </c>
    </row>
    <row r="21" spans="1:9" x14ac:dyDescent="0.2">
      <c r="A21" s="1002" t="s">
        <v>617</v>
      </c>
      <c r="B21" s="525"/>
      <c r="C21" s="996"/>
      <c r="D21" s="996"/>
      <c r="E21" s="997">
        <f t="shared" si="1"/>
        <v>0</v>
      </c>
    </row>
    <row r="22" spans="1:9" ht="13.5" thickBot="1" x14ac:dyDescent="0.25">
      <c r="A22" s="998" t="s">
        <v>924</v>
      </c>
      <c r="B22" s="999">
        <v>4300000</v>
      </c>
      <c r="C22" s="999">
        <v>65012000</v>
      </c>
      <c r="D22" s="999"/>
      <c r="E22" s="997">
        <f t="shared" si="1"/>
        <v>69312000</v>
      </c>
    </row>
    <row r="23" spans="1:9" ht="13.5" thickBot="1" x14ac:dyDescent="0.25">
      <c r="A23" s="1025" t="s">
        <v>54</v>
      </c>
      <c r="B23" s="1026">
        <f>SUM(B16:B22)</f>
        <v>47933888</v>
      </c>
      <c r="C23" s="1026">
        <f>SUM(C16:C22)</f>
        <v>94420444</v>
      </c>
      <c r="D23" s="1026">
        <f>SUM(D16:D22)</f>
        <v>0</v>
      </c>
      <c r="E23" s="1027">
        <f>SUM(E16:E22)</f>
        <v>142354332</v>
      </c>
      <c r="G23" s="973"/>
      <c r="H23" s="973"/>
      <c r="I23" s="973"/>
    </row>
    <row r="24" spans="1:9" x14ac:dyDescent="0.2">
      <c r="A24" s="1113"/>
      <c r="B24" s="1113"/>
      <c r="C24" s="1113"/>
      <c r="D24" s="1113"/>
      <c r="E24" s="1113"/>
    </row>
    <row r="25" spans="1:9" ht="48.75" customHeight="1" x14ac:dyDescent="0.25">
      <c r="A25" s="1482" t="s">
        <v>874</v>
      </c>
      <c r="B25" s="1482"/>
      <c r="C25" s="1482"/>
      <c r="D25" s="1482"/>
      <c r="E25" s="1482"/>
    </row>
    <row r="26" spans="1:9" ht="14.25" thickBot="1" x14ac:dyDescent="0.3">
      <c r="A26" s="974"/>
      <c r="B26" s="974"/>
      <c r="C26" s="974"/>
      <c r="D26" s="1483" t="s">
        <v>564</v>
      </c>
      <c r="E26" s="1483"/>
    </row>
    <row r="27" spans="1:9" ht="13.5" thickBot="1" x14ac:dyDescent="0.25">
      <c r="A27" s="1022" t="s">
        <v>604</v>
      </c>
      <c r="B27" s="1023" t="s">
        <v>876</v>
      </c>
      <c r="C27" s="1023">
        <v>2020</v>
      </c>
      <c r="D27" s="1023" t="s">
        <v>923</v>
      </c>
      <c r="E27" s="1024" t="s">
        <v>53</v>
      </c>
    </row>
    <row r="28" spans="1:9" x14ac:dyDescent="0.2">
      <c r="A28" s="975" t="s">
        <v>605</v>
      </c>
      <c r="B28" s="976"/>
      <c r="C28" s="976"/>
      <c r="D28" s="976"/>
      <c r="E28" s="977">
        <f>B28+C28+D28</f>
        <v>0</v>
      </c>
    </row>
    <row r="29" spans="1:9" x14ac:dyDescent="0.2">
      <c r="A29" s="978" t="s">
        <v>606</v>
      </c>
      <c r="B29" s="979"/>
      <c r="C29" s="979"/>
      <c r="D29" s="979"/>
      <c r="E29" s="980">
        <f t="shared" ref="E29:E34" si="2">B29+C29+D29</f>
        <v>0</v>
      </c>
    </row>
    <row r="30" spans="1:9" x14ac:dyDescent="0.2">
      <c r="A30" s="981" t="s">
        <v>607</v>
      </c>
      <c r="B30" s="1034"/>
      <c r="C30" s="525">
        <f>35012760+12274550-15796260</f>
        <v>31491050</v>
      </c>
      <c r="D30" s="1034"/>
      <c r="E30" s="1035">
        <f t="shared" si="2"/>
        <v>31491050</v>
      </c>
    </row>
    <row r="31" spans="1:9" x14ac:dyDescent="0.2">
      <c r="A31" s="981" t="s">
        <v>608</v>
      </c>
      <c r="B31" s="1034"/>
      <c r="C31" s="1034"/>
      <c r="D31" s="1034"/>
      <c r="E31" s="1035">
        <f t="shared" si="2"/>
        <v>0</v>
      </c>
    </row>
    <row r="32" spans="1:9" x14ac:dyDescent="0.2">
      <c r="A32" s="981" t="s">
        <v>124</v>
      </c>
      <c r="B32" s="1034"/>
      <c r="C32" s="1034"/>
      <c r="D32" s="1034"/>
      <c r="E32" s="1035">
        <f t="shared" si="2"/>
        <v>0</v>
      </c>
    </row>
    <row r="33" spans="1:5" x14ac:dyDescent="0.2">
      <c r="A33" s="981" t="s">
        <v>609</v>
      </c>
      <c r="B33" s="1034"/>
      <c r="C33" s="1034"/>
      <c r="D33" s="1034"/>
      <c r="E33" s="1035">
        <f t="shared" si="2"/>
        <v>0</v>
      </c>
    </row>
    <row r="34" spans="1:5" ht="13.5" thickBot="1" x14ac:dyDescent="0.25">
      <c r="A34" s="982"/>
      <c r="B34" s="1036"/>
      <c r="C34" s="1036"/>
      <c r="D34" s="1036"/>
      <c r="E34" s="1035">
        <f t="shared" si="2"/>
        <v>0</v>
      </c>
    </row>
    <row r="35" spans="1:5" ht="13.5" thickBot="1" x14ac:dyDescent="0.25">
      <c r="A35" s="1025" t="s">
        <v>610</v>
      </c>
      <c r="B35" s="1026">
        <f>B28+SUM(B30:B34)</f>
        <v>0</v>
      </c>
      <c r="C35" s="1026">
        <f>C28+SUM(C30:C34)</f>
        <v>31491050</v>
      </c>
      <c r="D35" s="1026">
        <f>D28+SUM(D30:D34)</f>
        <v>0</v>
      </c>
      <c r="E35" s="1027">
        <f>E28+SUM(E30:E34)</f>
        <v>31491050</v>
      </c>
    </row>
    <row r="36" spans="1:5" ht="13.5" thickBot="1" x14ac:dyDescent="0.25">
      <c r="A36" s="983"/>
      <c r="B36" s="983"/>
      <c r="C36" s="983"/>
      <c r="D36" s="983"/>
      <c r="E36" s="983"/>
    </row>
    <row r="37" spans="1:5" ht="13.5" thickBot="1" x14ac:dyDescent="0.25">
      <c r="A37" s="1022" t="s">
        <v>611</v>
      </c>
      <c r="B37" s="1023" t="str">
        <f>B27</f>
        <v>2020. előtt</v>
      </c>
      <c r="C37" s="1023">
        <f>C27</f>
        <v>2020</v>
      </c>
      <c r="D37" s="1023" t="str">
        <f>D27</f>
        <v>2020 után</v>
      </c>
      <c r="E37" s="1024" t="s">
        <v>53</v>
      </c>
    </row>
    <row r="38" spans="1:5" x14ac:dyDescent="0.2">
      <c r="A38" s="975" t="s">
        <v>612</v>
      </c>
      <c r="B38" s="976"/>
      <c r="C38" s="1152">
        <f>5162073+813027-4704803-1270297</f>
        <v>0</v>
      </c>
      <c r="D38" s="976"/>
      <c r="E38" s="977">
        <f t="shared" ref="E38:E44" si="3">B38+C38+D38</f>
        <v>0</v>
      </c>
    </row>
    <row r="39" spans="1:5" x14ac:dyDescent="0.2">
      <c r="A39" s="984" t="s">
        <v>613</v>
      </c>
      <c r="B39" s="1034"/>
      <c r="C39" s="525">
        <f>4860000+1060000+3745000+2609550-1995000-538650</f>
        <v>9740900</v>
      </c>
      <c r="D39" s="1034"/>
      <c r="E39" s="1035">
        <f t="shared" si="3"/>
        <v>9740900</v>
      </c>
    </row>
    <row r="40" spans="1:5" x14ac:dyDescent="0.2">
      <c r="A40" s="981" t="s">
        <v>614</v>
      </c>
      <c r="B40" s="1034"/>
      <c r="C40" s="525">
        <f>22864299+6173361-2465446-4957064+135000</f>
        <v>21750150</v>
      </c>
      <c r="D40" s="1034"/>
      <c r="E40" s="1035">
        <f t="shared" si="3"/>
        <v>21750150</v>
      </c>
    </row>
    <row r="41" spans="1:5" x14ac:dyDescent="0.2">
      <c r="A41" s="981" t="s">
        <v>615</v>
      </c>
      <c r="B41" s="1034"/>
      <c r="C41" s="1034"/>
      <c r="D41" s="1034"/>
      <c r="E41" s="1035">
        <f t="shared" si="3"/>
        <v>0</v>
      </c>
    </row>
    <row r="42" spans="1:5" x14ac:dyDescent="0.2">
      <c r="A42" s="985" t="s">
        <v>616</v>
      </c>
      <c r="B42" s="1034"/>
      <c r="C42" s="1034"/>
      <c r="D42" s="1034"/>
      <c r="E42" s="1035">
        <f t="shared" si="3"/>
        <v>0</v>
      </c>
    </row>
    <row r="43" spans="1:5" x14ac:dyDescent="0.2">
      <c r="A43" s="985" t="s">
        <v>617</v>
      </c>
      <c r="B43" s="1034"/>
      <c r="C43" s="1034"/>
      <c r="D43" s="1034"/>
      <c r="E43" s="1035">
        <f t="shared" si="3"/>
        <v>0</v>
      </c>
    </row>
    <row r="44" spans="1:5" ht="13.5" thickBot="1" x14ac:dyDescent="0.25">
      <c r="A44" s="982"/>
      <c r="B44" s="1036"/>
      <c r="C44" s="1036"/>
      <c r="D44" s="1036"/>
      <c r="E44" s="1035">
        <f t="shared" si="3"/>
        <v>0</v>
      </c>
    </row>
    <row r="45" spans="1:5" ht="13.5" thickBot="1" x14ac:dyDescent="0.25">
      <c r="A45" s="1025" t="s">
        <v>54</v>
      </c>
      <c r="B45" s="1026">
        <f>SUM(B38:B44)</f>
        <v>0</v>
      </c>
      <c r="C45" s="1026">
        <f>SUM(C38:C44)</f>
        <v>31491050</v>
      </c>
      <c r="D45" s="1026">
        <f>SUM(D38:D44)</f>
        <v>0</v>
      </c>
      <c r="E45" s="1027">
        <f>SUM(E38:E44)</f>
        <v>31491050</v>
      </c>
    </row>
    <row r="46" spans="1:5" x14ac:dyDescent="0.2">
      <c r="A46" s="1003"/>
      <c r="B46" s="1003"/>
      <c r="C46" s="1003"/>
      <c r="D46" s="1003"/>
      <c r="E46" s="1003"/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 G23:I23">
    <cfRule type="cellIs" dxfId="9" priority="2" stopIfTrue="1" operator="equal">
      <formula>0</formula>
    </cfRule>
  </conditionalFormatting>
  <conditionalFormatting sqref="E28:E35 B35:D35 B45:E45 E38:E44">
    <cfRule type="cellIs" dxfId="8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G47"/>
  <sheetViews>
    <sheetView zoomScaleSheetLayoutView="115" workbookViewId="0">
      <selection sqref="A1:E1"/>
    </sheetView>
  </sheetViews>
  <sheetFormatPr defaultColWidth="9.33203125" defaultRowHeight="12.75" x14ac:dyDescent="0.2"/>
  <cols>
    <col min="1" max="1" width="38.6640625" style="1114" customWidth="1"/>
    <col min="2" max="5" width="13.83203125" style="1114" customWidth="1"/>
    <col min="6" max="6" width="9.33203125" style="1114"/>
    <col min="7" max="7" width="10.1640625" style="1114" bestFit="1" customWidth="1"/>
    <col min="8" max="16384" width="9.33203125" style="1114"/>
  </cols>
  <sheetData>
    <row r="1" spans="1:5" x14ac:dyDescent="0.2">
      <c r="A1" s="1481" t="str">
        <f>CONCATENATE("11. melléklet ",ALAPADATOK!A7," ",ALAPADATOK!B7," ",ALAPADATOK!C7," ",ALAPADATOK!D7," ",ALAPADATOK!E7," ",ALAPADATOK!F7," ",ALAPADATOK!G7," ",ALAPADATOK!H7)</f>
        <v>11. melléklet a 21 / 2020. ( IX.25. ) önkormányzati rendelethez</v>
      </c>
      <c r="B1" s="1481"/>
      <c r="C1" s="1481"/>
      <c r="D1" s="1481"/>
      <c r="E1" s="1481"/>
    </row>
    <row r="2" spans="1:5" x14ac:dyDescent="0.2">
      <c r="A2" s="1113"/>
      <c r="B2" s="1113"/>
      <c r="C2" s="1113"/>
      <c r="D2" s="1113"/>
      <c r="E2" s="1113"/>
    </row>
    <row r="3" spans="1:5" ht="56.25" customHeight="1" x14ac:dyDescent="0.25">
      <c r="A3" s="1484" t="s">
        <v>875</v>
      </c>
      <c r="B3" s="1484"/>
      <c r="C3" s="1484"/>
      <c r="D3" s="1484"/>
      <c r="E3" s="1484"/>
    </row>
    <row r="4" spans="1:5" ht="14.25" thickBot="1" x14ac:dyDescent="0.3">
      <c r="A4" s="1116"/>
      <c r="B4" s="1116"/>
      <c r="C4" s="1116"/>
      <c r="D4" s="1485" t="s">
        <v>564</v>
      </c>
      <c r="E4" s="1485"/>
    </row>
    <row r="5" spans="1:5" ht="15" customHeight="1" thickBot="1" x14ac:dyDescent="0.25">
      <c r="A5" s="1117" t="s">
        <v>604</v>
      </c>
      <c r="B5" s="1118" t="s">
        <v>876</v>
      </c>
      <c r="C5" s="1118" t="s">
        <v>813</v>
      </c>
      <c r="D5" s="1118" t="s">
        <v>877</v>
      </c>
      <c r="E5" s="1119" t="s">
        <v>53</v>
      </c>
    </row>
    <row r="6" spans="1:5" x14ac:dyDescent="0.2">
      <c r="A6" s="1120" t="s">
        <v>605</v>
      </c>
      <c r="B6" s="1121"/>
      <c r="C6" s="1121"/>
      <c r="D6" s="1121"/>
      <c r="E6" s="1122">
        <f>B6+C6+D6</f>
        <v>0</v>
      </c>
    </row>
    <row r="7" spans="1:5" x14ac:dyDescent="0.2">
      <c r="A7" s="1123" t="s">
        <v>606</v>
      </c>
      <c r="B7" s="1124"/>
      <c r="C7" s="1124"/>
      <c r="D7" s="1124"/>
      <c r="E7" s="1125">
        <f t="shared" ref="E7:E12" si="0">B7+C7+D7</f>
        <v>0</v>
      </c>
    </row>
    <row r="8" spans="1:5" x14ac:dyDescent="0.2">
      <c r="A8" s="1126" t="s">
        <v>607</v>
      </c>
      <c r="B8" s="1127"/>
      <c r="C8" s="525">
        <f>69613780+5168705</f>
        <v>74782485</v>
      </c>
      <c r="D8" s="1127"/>
      <c r="E8" s="1129">
        <f t="shared" si="0"/>
        <v>74782485</v>
      </c>
    </row>
    <row r="9" spans="1:5" x14ac:dyDescent="0.2">
      <c r="A9" s="1126" t="s">
        <v>608</v>
      </c>
      <c r="B9" s="1127"/>
      <c r="C9" s="1127"/>
      <c r="D9" s="1127"/>
      <c r="E9" s="1129">
        <f t="shared" si="0"/>
        <v>0</v>
      </c>
    </row>
    <row r="10" spans="1:5" x14ac:dyDescent="0.2">
      <c r="A10" s="1126" t="s">
        <v>124</v>
      </c>
      <c r="B10" s="1127"/>
      <c r="C10" s="1127"/>
      <c r="D10" s="1127"/>
      <c r="E10" s="1129">
        <f t="shared" si="0"/>
        <v>0</v>
      </c>
    </row>
    <row r="11" spans="1:5" x14ac:dyDescent="0.2">
      <c r="A11" s="1126" t="s">
        <v>609</v>
      </c>
      <c r="B11" s="1127"/>
      <c r="C11" s="1127"/>
      <c r="D11" s="1127"/>
      <c r="E11" s="1129">
        <f t="shared" si="0"/>
        <v>0</v>
      </c>
    </row>
    <row r="12" spans="1:5" ht="13.5" thickBot="1" x14ac:dyDescent="0.25">
      <c r="A12" s="1130"/>
      <c r="B12" s="1131"/>
      <c r="C12" s="1131"/>
      <c r="D12" s="1131"/>
      <c r="E12" s="1129">
        <f t="shared" si="0"/>
        <v>0</v>
      </c>
    </row>
    <row r="13" spans="1:5" ht="13.5" thickBot="1" x14ac:dyDescent="0.25">
      <c r="A13" s="1132" t="s">
        <v>610</v>
      </c>
      <c r="B13" s="1133">
        <f>B6+SUM(B8:B12)</f>
        <v>0</v>
      </c>
      <c r="C13" s="1133">
        <f>C6+SUM(C8:C12)</f>
        <v>74782485</v>
      </c>
      <c r="D13" s="1133">
        <f>D6+SUM(D8:D12)</f>
        <v>0</v>
      </c>
      <c r="E13" s="1134">
        <f>E6+SUM(E8:E12)</f>
        <v>74782485</v>
      </c>
    </row>
    <row r="14" spans="1:5" ht="13.5" thickBot="1" x14ac:dyDescent="0.25">
      <c r="A14" s="1135"/>
      <c r="B14" s="1135"/>
      <c r="C14" s="1135"/>
      <c r="D14" s="1135"/>
      <c r="E14" s="1135"/>
    </row>
    <row r="15" spans="1:5" ht="15" customHeight="1" thickBot="1" x14ac:dyDescent="0.25">
      <c r="A15" s="1117" t="s">
        <v>611</v>
      </c>
      <c r="B15" s="1118" t="s">
        <v>876</v>
      </c>
      <c r="C15" s="1118" t="s">
        <v>813</v>
      </c>
      <c r="D15" s="1118" t="s">
        <v>877</v>
      </c>
      <c r="E15" s="1119" t="s">
        <v>53</v>
      </c>
    </row>
    <row r="16" spans="1:5" x14ac:dyDescent="0.2">
      <c r="A16" s="1120" t="s">
        <v>612</v>
      </c>
      <c r="B16" s="1121"/>
      <c r="C16" s="1152">
        <f>49880000+13467600+1657506-750921</f>
        <v>64254185</v>
      </c>
      <c r="D16" s="1121"/>
      <c r="E16" s="1122">
        <f t="shared" ref="E16:E22" si="1">B16+C16+D16</f>
        <v>64254185</v>
      </c>
    </row>
    <row r="17" spans="1:5" x14ac:dyDescent="0.2">
      <c r="A17" s="1137" t="s">
        <v>613</v>
      </c>
      <c r="B17" s="1127"/>
      <c r="C17" s="525">
        <f>1092200+101600</f>
        <v>1193800</v>
      </c>
      <c r="D17" s="1127"/>
      <c r="E17" s="1129">
        <f t="shared" si="1"/>
        <v>1193800</v>
      </c>
    </row>
    <row r="18" spans="1:5" x14ac:dyDescent="0.2">
      <c r="A18" s="1126" t="s">
        <v>614</v>
      </c>
      <c r="B18" s="1127"/>
      <c r="C18" s="525">
        <f>5173980+4160520</f>
        <v>9334500</v>
      </c>
      <c r="D18" s="1127"/>
      <c r="E18" s="1129">
        <f t="shared" si="1"/>
        <v>9334500</v>
      </c>
    </row>
    <row r="19" spans="1:5" x14ac:dyDescent="0.2">
      <c r="A19" s="1126" t="s">
        <v>615</v>
      </c>
      <c r="B19" s="1127"/>
      <c r="C19" s="1127"/>
      <c r="D19" s="1127"/>
      <c r="E19" s="1129">
        <f t="shared" si="1"/>
        <v>0</v>
      </c>
    </row>
    <row r="20" spans="1:5" x14ac:dyDescent="0.2">
      <c r="A20" s="1138" t="s">
        <v>616</v>
      </c>
      <c r="B20" s="1127"/>
      <c r="C20" s="1127"/>
      <c r="D20" s="1127"/>
      <c r="E20" s="1129">
        <f t="shared" si="1"/>
        <v>0</v>
      </c>
    </row>
    <row r="21" spans="1:5" x14ac:dyDescent="0.2">
      <c r="A21" s="1138" t="s">
        <v>617</v>
      </c>
      <c r="B21" s="1127"/>
      <c r="C21" s="1127"/>
      <c r="D21" s="1127"/>
      <c r="E21" s="1129">
        <f t="shared" si="1"/>
        <v>0</v>
      </c>
    </row>
    <row r="22" spans="1:5" ht="13.5" thickBot="1" x14ac:dyDescent="0.25">
      <c r="A22" s="1130"/>
      <c r="B22" s="1131"/>
      <c r="C22" s="1131"/>
      <c r="D22" s="1131"/>
      <c r="E22" s="1129">
        <f t="shared" si="1"/>
        <v>0</v>
      </c>
    </row>
    <row r="23" spans="1:5" ht="13.5" thickBot="1" x14ac:dyDescent="0.25">
      <c r="A23" s="1132" t="s">
        <v>54</v>
      </c>
      <c r="B23" s="1133">
        <f>SUM(B16:B22)</f>
        <v>0</v>
      </c>
      <c r="C23" s="1133">
        <f>SUM(C16:C22)</f>
        <v>74782485</v>
      </c>
      <c r="D23" s="1133">
        <f>SUM(D16:D22)</f>
        <v>0</v>
      </c>
      <c r="E23" s="1134">
        <f>SUM(E16:E22)</f>
        <v>74782485</v>
      </c>
    </row>
    <row r="24" spans="1:5" x14ac:dyDescent="0.2">
      <c r="A24" s="1113"/>
      <c r="B24" s="1113"/>
      <c r="C24" s="1113"/>
      <c r="D24" s="1113"/>
      <c r="E24" s="1113"/>
    </row>
    <row r="25" spans="1:5" ht="69" customHeight="1" x14ac:dyDescent="0.25">
      <c r="A25" s="1482" t="s">
        <v>925</v>
      </c>
      <c r="B25" s="1482"/>
      <c r="C25" s="1482"/>
      <c r="D25" s="1482"/>
      <c r="E25" s="1482"/>
    </row>
    <row r="26" spans="1:5" s="836" customFormat="1" ht="14.25" thickBot="1" x14ac:dyDescent="0.3">
      <c r="A26" s="1003"/>
      <c r="B26" s="1003"/>
      <c r="C26" s="1003"/>
      <c r="D26" s="1483" t="s">
        <v>564</v>
      </c>
      <c r="E26" s="1483"/>
    </row>
    <row r="27" spans="1:5" s="836" customFormat="1" ht="13.5" thickBot="1" x14ac:dyDescent="0.25">
      <c r="A27" s="1022" t="s">
        <v>604</v>
      </c>
      <c r="B27" s="1023" t="s">
        <v>876</v>
      </c>
      <c r="C27" s="1023">
        <v>2020</v>
      </c>
      <c r="D27" s="1023" t="s">
        <v>923</v>
      </c>
      <c r="E27" s="1024" t="s">
        <v>53</v>
      </c>
    </row>
    <row r="28" spans="1:5" s="836" customFormat="1" x14ac:dyDescent="0.2">
      <c r="A28" s="989" t="s">
        <v>605</v>
      </c>
      <c r="B28" s="990"/>
      <c r="C28" s="990"/>
      <c r="D28" s="990"/>
      <c r="E28" s="991">
        <f>SUM(B28:D28)</f>
        <v>0</v>
      </c>
    </row>
    <row r="29" spans="1:5" s="836" customFormat="1" x14ac:dyDescent="0.2">
      <c r="A29" s="992" t="s">
        <v>606</v>
      </c>
      <c r="B29" s="993"/>
      <c r="C29" s="993"/>
      <c r="D29" s="993"/>
      <c r="E29" s="994">
        <f t="shared" ref="E29:E34" si="2">SUM(B29:D29)</f>
        <v>0</v>
      </c>
    </row>
    <row r="30" spans="1:5" s="836" customFormat="1" x14ac:dyDescent="0.2">
      <c r="A30" s="995" t="s">
        <v>607</v>
      </c>
      <c r="B30" s="996">
        <v>85000000</v>
      </c>
      <c r="C30" s="996"/>
      <c r="D30" s="996"/>
      <c r="E30" s="997">
        <f t="shared" si="2"/>
        <v>85000000</v>
      </c>
    </row>
    <row r="31" spans="1:5" s="836" customFormat="1" x14ac:dyDescent="0.2">
      <c r="A31" s="995" t="s">
        <v>608</v>
      </c>
      <c r="B31" s="996"/>
      <c r="C31" s="996"/>
      <c r="D31" s="996"/>
      <c r="E31" s="997">
        <f t="shared" si="2"/>
        <v>0</v>
      </c>
    </row>
    <row r="32" spans="1:5" s="836" customFormat="1" x14ac:dyDescent="0.2">
      <c r="A32" s="995" t="s">
        <v>124</v>
      </c>
      <c r="B32" s="996"/>
      <c r="C32" s="996"/>
      <c r="D32" s="996"/>
      <c r="E32" s="997">
        <f t="shared" si="2"/>
        <v>0</v>
      </c>
    </row>
    <row r="33" spans="1:7" s="836" customFormat="1" x14ac:dyDescent="0.2">
      <c r="A33" s="995" t="s">
        <v>609</v>
      </c>
      <c r="B33" s="996"/>
      <c r="C33" s="996">
        <v>717804</v>
      </c>
      <c r="D33" s="996"/>
      <c r="E33" s="997">
        <f t="shared" si="2"/>
        <v>717804</v>
      </c>
    </row>
    <row r="34" spans="1:7" s="836" customFormat="1" ht="13.5" thickBot="1" x14ac:dyDescent="0.25">
      <c r="A34" s="998"/>
      <c r="B34" s="999"/>
      <c r="C34" s="999"/>
      <c r="D34" s="999"/>
      <c r="E34" s="997">
        <f t="shared" si="2"/>
        <v>0</v>
      </c>
    </row>
    <row r="35" spans="1:7" s="836" customFormat="1" ht="13.5" thickBot="1" x14ac:dyDescent="0.25">
      <c r="A35" s="1025" t="s">
        <v>610</v>
      </c>
      <c r="B35" s="1000">
        <f>SUM(B28:B34)</f>
        <v>85000000</v>
      </c>
      <c r="C35" s="1000">
        <f>SUM(C28:C34)</f>
        <v>717804</v>
      </c>
      <c r="D35" s="1000">
        <f>SUM(D28:D34)</f>
        <v>0</v>
      </c>
      <c r="E35" s="988">
        <f>SUM(E28:E34)</f>
        <v>85717804</v>
      </c>
    </row>
    <row r="36" spans="1:7" s="836" customFormat="1" ht="13.5" thickBot="1" x14ac:dyDescent="0.25">
      <c r="A36" s="1004"/>
      <c r="B36" s="1004"/>
      <c r="C36" s="1004"/>
      <c r="D36" s="1004"/>
      <c r="E36" s="1004"/>
    </row>
    <row r="37" spans="1:7" s="836" customFormat="1" ht="13.5" thickBot="1" x14ac:dyDescent="0.25">
      <c r="A37" s="1022" t="s">
        <v>611</v>
      </c>
      <c r="B37" s="1023" t="str">
        <f>B27</f>
        <v>2020. előtt</v>
      </c>
      <c r="C37" s="1023">
        <f>C27</f>
        <v>2020</v>
      </c>
      <c r="D37" s="1023" t="str">
        <f>D27</f>
        <v>2020 után</v>
      </c>
      <c r="E37" s="1024" t="s">
        <v>53</v>
      </c>
    </row>
    <row r="38" spans="1:7" s="836" customFormat="1" x14ac:dyDescent="0.2">
      <c r="A38" s="989" t="s">
        <v>612</v>
      </c>
      <c r="B38" s="990"/>
      <c r="C38" s="990"/>
      <c r="D38" s="990"/>
      <c r="E38" s="991">
        <f t="shared" ref="E38:E44" si="3">SUM(B38:D38)</f>
        <v>0</v>
      </c>
    </row>
    <row r="39" spans="1:7" s="836" customFormat="1" x14ac:dyDescent="0.2">
      <c r="A39" s="1001" t="s">
        <v>613</v>
      </c>
      <c r="B39" s="996">
        <f>13633247+2772427</f>
        <v>16405674</v>
      </c>
      <c r="C39" s="996">
        <v>64843016</v>
      </c>
      <c r="D39" s="996"/>
      <c r="E39" s="997">
        <f t="shared" si="3"/>
        <v>81248690</v>
      </c>
    </row>
    <row r="40" spans="1:7" s="836" customFormat="1" x14ac:dyDescent="0.2">
      <c r="A40" s="995" t="s">
        <v>614</v>
      </c>
      <c r="B40" s="996">
        <f>567020+835000-100000</f>
        <v>1302020</v>
      </c>
      <c r="C40" s="996">
        <f>524290+717804</f>
        <v>1242094</v>
      </c>
      <c r="D40" s="996"/>
      <c r="E40" s="997">
        <f>SUM(B40:D40)</f>
        <v>2544114</v>
      </c>
    </row>
    <row r="41" spans="1:7" s="836" customFormat="1" x14ac:dyDescent="0.2">
      <c r="A41" s="995" t="s">
        <v>615</v>
      </c>
      <c r="B41" s="996">
        <f>100000</f>
        <v>100000</v>
      </c>
      <c r="C41" s="996"/>
      <c r="D41" s="996"/>
      <c r="E41" s="997">
        <f t="shared" si="3"/>
        <v>100000</v>
      </c>
    </row>
    <row r="42" spans="1:7" s="836" customFormat="1" x14ac:dyDescent="0.2">
      <c r="A42" s="1002" t="s">
        <v>616</v>
      </c>
      <c r="B42" s="996"/>
      <c r="C42" s="996">
        <v>1825000</v>
      </c>
      <c r="D42" s="996"/>
      <c r="E42" s="997">
        <f t="shared" si="3"/>
        <v>1825000</v>
      </c>
    </row>
    <row r="43" spans="1:7" s="836" customFormat="1" x14ac:dyDescent="0.2">
      <c r="A43" s="1002" t="s">
        <v>617</v>
      </c>
      <c r="B43" s="996"/>
      <c r="C43" s="996"/>
      <c r="D43" s="996"/>
      <c r="E43" s="997">
        <f t="shared" si="3"/>
        <v>0</v>
      </c>
    </row>
    <row r="44" spans="1:7" s="836" customFormat="1" ht="13.5" thickBot="1" x14ac:dyDescent="0.25">
      <c r="A44" s="998"/>
      <c r="B44" s="999"/>
      <c r="C44" s="999"/>
      <c r="D44" s="999"/>
      <c r="E44" s="997">
        <f t="shared" si="3"/>
        <v>0</v>
      </c>
    </row>
    <row r="45" spans="1:7" s="836" customFormat="1" ht="13.5" thickBot="1" x14ac:dyDescent="0.25">
      <c r="A45" s="1025" t="s">
        <v>54</v>
      </c>
      <c r="B45" s="1000">
        <f>SUM(B38:B44)</f>
        <v>17807694</v>
      </c>
      <c r="C45" s="1000">
        <f>SUM(C38:C44)</f>
        <v>67910110</v>
      </c>
      <c r="D45" s="1000">
        <f>SUM(D38:D44)</f>
        <v>0</v>
      </c>
      <c r="E45" s="988">
        <f>SUM(E38:E44)</f>
        <v>85717804</v>
      </c>
      <c r="G45" s="987">
        <f>E35-C45-B45</f>
        <v>0</v>
      </c>
    </row>
    <row r="46" spans="1:7" x14ac:dyDescent="0.2">
      <c r="A46" s="1113"/>
      <c r="B46" s="1113"/>
      <c r="C46" s="1113"/>
      <c r="D46" s="1113"/>
      <c r="E46" s="1113"/>
    </row>
    <row r="47" spans="1:7" x14ac:dyDescent="0.2">
      <c r="A47" s="837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7" priority="2" stopIfTrue="1" operator="equal">
      <formula>0</formula>
    </cfRule>
  </conditionalFormatting>
  <conditionalFormatting sqref="E6:E13 B13:D13 B23:E23 E16:E22">
    <cfRule type="cellIs" dxfId="6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E46"/>
  <sheetViews>
    <sheetView topLeftCell="A7" zoomScaleSheetLayoutView="85" workbookViewId="0">
      <selection activeCell="E13" sqref="E13"/>
    </sheetView>
  </sheetViews>
  <sheetFormatPr defaultColWidth="9.33203125" defaultRowHeight="12.75" x14ac:dyDescent="0.2"/>
  <cols>
    <col min="1" max="1" width="38.6640625" style="1114" customWidth="1"/>
    <col min="2" max="5" width="13.83203125" style="1114" customWidth="1"/>
    <col min="6" max="6" width="9.33203125" style="1114"/>
    <col min="7" max="7" width="10.1640625" style="1114" bestFit="1" customWidth="1"/>
    <col min="8" max="16384" width="9.33203125" style="1114"/>
  </cols>
  <sheetData>
    <row r="1" spans="1:5" x14ac:dyDescent="0.2">
      <c r="A1" s="1481" t="str">
        <f>CONCATENATE("12. melléklet ",[2]ALAPADATOK!A7," ",[2]ALAPADATOK!B7," ",[2]ALAPADATOK!C7," ",[2]ALAPADATOK!D7," ",[2]ALAPADATOK!E7," ",[2]ALAPADATOK!F7," ",[2]ALAPADATOK!G7," ",[2]ALAPADATOK!H7)</f>
        <v>12. melléklet a 14. / 2020. ( V.28. ) önkormányzati rendelethez</v>
      </c>
      <c r="B1" s="1481"/>
      <c r="C1" s="1481"/>
      <c r="D1" s="1481"/>
      <c r="E1" s="1481"/>
    </row>
    <row r="2" spans="1:5" x14ac:dyDescent="0.2">
      <c r="A2" s="1113"/>
      <c r="B2" s="1113"/>
      <c r="C2" s="1113"/>
      <c r="D2" s="1113"/>
      <c r="E2" s="1113"/>
    </row>
    <row r="3" spans="1:5" ht="74.25" customHeight="1" x14ac:dyDescent="0.25">
      <c r="A3" s="1482" t="s">
        <v>926</v>
      </c>
      <c r="B3" s="1482"/>
      <c r="C3" s="1482"/>
      <c r="D3" s="1482"/>
      <c r="E3" s="1482"/>
    </row>
    <row r="4" spans="1:5" ht="14.25" thickBot="1" x14ac:dyDescent="0.3">
      <c r="A4" s="1003"/>
      <c r="B4" s="1003"/>
      <c r="C4" s="1003"/>
      <c r="D4" s="1483" t="s">
        <v>564</v>
      </c>
      <c r="E4" s="1483"/>
    </row>
    <row r="5" spans="1:5" ht="15" customHeight="1" thickBot="1" x14ac:dyDescent="0.25">
      <c r="A5" s="1022" t="s">
        <v>604</v>
      </c>
      <c r="B5" s="1023" t="s">
        <v>876</v>
      </c>
      <c r="C5" s="1023">
        <v>2020</v>
      </c>
      <c r="D5" s="1023" t="s">
        <v>923</v>
      </c>
      <c r="E5" s="1024" t="s">
        <v>53</v>
      </c>
    </row>
    <row r="6" spans="1:5" x14ac:dyDescent="0.2">
      <c r="A6" s="989" t="s">
        <v>605</v>
      </c>
      <c r="B6" s="990"/>
      <c r="C6" s="990"/>
      <c r="D6" s="990"/>
      <c r="E6" s="991">
        <f>SUM(B6:D6)</f>
        <v>0</v>
      </c>
    </row>
    <row r="7" spans="1:5" x14ac:dyDescent="0.2">
      <c r="A7" s="992" t="s">
        <v>606</v>
      </c>
      <c r="B7" s="993"/>
      <c r="C7" s="993"/>
      <c r="D7" s="993"/>
      <c r="E7" s="994">
        <f t="shared" ref="E7:E12" si="0">SUM(B7:D7)</f>
        <v>0</v>
      </c>
    </row>
    <row r="8" spans="1:5" x14ac:dyDescent="0.2">
      <c r="A8" s="995" t="s">
        <v>607</v>
      </c>
      <c r="B8" s="996">
        <v>363618656</v>
      </c>
      <c r="C8" s="996">
        <v>6350000</v>
      </c>
      <c r="D8" s="996"/>
      <c r="E8" s="997">
        <f t="shared" si="0"/>
        <v>369968656</v>
      </c>
    </row>
    <row r="9" spans="1:5" x14ac:dyDescent="0.2">
      <c r="A9" s="995" t="s">
        <v>608</v>
      </c>
      <c r="B9" s="996"/>
      <c r="C9" s="996"/>
      <c r="D9" s="996"/>
      <c r="E9" s="997">
        <f t="shared" si="0"/>
        <v>0</v>
      </c>
    </row>
    <row r="10" spans="1:5" x14ac:dyDescent="0.2">
      <c r="A10" s="995" t="s">
        <v>124</v>
      </c>
      <c r="B10" s="1034"/>
      <c r="C10" s="996"/>
      <c r="D10" s="996"/>
      <c r="E10" s="997">
        <f t="shared" si="0"/>
        <v>0</v>
      </c>
    </row>
    <row r="11" spans="1:5" x14ac:dyDescent="0.2">
      <c r="A11" s="995" t="s">
        <v>609</v>
      </c>
      <c r="B11" s="996"/>
      <c r="C11" s="525">
        <v>243600</v>
      </c>
      <c r="D11" s="996"/>
      <c r="E11" s="997">
        <f t="shared" si="0"/>
        <v>243600</v>
      </c>
    </row>
    <row r="12" spans="1:5" ht="13.5" thickBot="1" x14ac:dyDescent="0.25">
      <c r="A12" s="998"/>
      <c r="B12" s="999"/>
      <c r="C12" s="999"/>
      <c r="D12" s="999"/>
      <c r="E12" s="997">
        <f t="shared" si="0"/>
        <v>0</v>
      </c>
    </row>
    <row r="13" spans="1:5" ht="13.5" thickBot="1" x14ac:dyDescent="0.25">
      <c r="A13" s="1025" t="s">
        <v>610</v>
      </c>
      <c r="B13" s="1000">
        <f>SUM(B6:B12)</f>
        <v>363618656</v>
      </c>
      <c r="C13" s="1000">
        <f>SUM(C6:C12)</f>
        <v>6593600</v>
      </c>
      <c r="D13" s="1000">
        <f>SUM(D6:D12)</f>
        <v>0</v>
      </c>
      <c r="E13" s="988">
        <f>SUM(E6:E12)</f>
        <v>370212256</v>
      </c>
    </row>
    <row r="14" spans="1:5" ht="13.5" thickBot="1" x14ac:dyDescent="0.25">
      <c r="A14" s="1004"/>
      <c r="B14" s="1004"/>
      <c r="C14" s="1004"/>
      <c r="D14" s="1004"/>
      <c r="E14" s="1004"/>
    </row>
    <row r="15" spans="1:5" ht="15" customHeight="1" thickBot="1" x14ac:dyDescent="0.25">
      <c r="A15" s="1022" t="s">
        <v>611</v>
      </c>
      <c r="B15" s="1023" t="str">
        <f>B5</f>
        <v>2020. előtt</v>
      </c>
      <c r="C15" s="1023">
        <f>C5</f>
        <v>2020</v>
      </c>
      <c r="D15" s="1023" t="str">
        <f>D5</f>
        <v>2020 után</v>
      </c>
      <c r="E15" s="1024" t="s">
        <v>53</v>
      </c>
    </row>
    <row r="16" spans="1:5" x14ac:dyDescent="0.2">
      <c r="A16" s="989" t="s">
        <v>612</v>
      </c>
      <c r="B16" s="990"/>
      <c r="C16" s="990">
        <v>0</v>
      </c>
      <c r="D16" s="990"/>
      <c r="E16" s="991">
        <f t="shared" ref="E16:E22" si="1">SUM(B16:D16)</f>
        <v>0</v>
      </c>
    </row>
    <row r="17" spans="1:5" x14ac:dyDescent="0.2">
      <c r="A17" s="1001" t="s">
        <v>613</v>
      </c>
      <c r="B17" s="996">
        <f>480000+129600+2032000</f>
        <v>2641600</v>
      </c>
      <c r="C17" s="996">
        <v>345164792</v>
      </c>
      <c r="D17" s="996"/>
      <c r="E17" s="997">
        <f>SUM(B17:D17)</f>
        <v>347806392</v>
      </c>
    </row>
    <row r="18" spans="1:5" x14ac:dyDescent="0.2">
      <c r="A18" s="995" t="s">
        <v>614</v>
      </c>
      <c r="B18" s="996">
        <f>1416000+382320+914400</f>
        <v>2712720</v>
      </c>
      <c r="C18" s="525">
        <f>13099544+243600</f>
        <v>13343144</v>
      </c>
      <c r="D18" s="996"/>
      <c r="E18" s="997">
        <f t="shared" si="1"/>
        <v>16055864</v>
      </c>
    </row>
    <row r="19" spans="1:5" x14ac:dyDescent="0.2">
      <c r="A19" s="995" t="s">
        <v>615</v>
      </c>
      <c r="B19" s="996"/>
      <c r="C19" s="996"/>
      <c r="D19" s="996"/>
      <c r="E19" s="997">
        <f t="shared" si="1"/>
        <v>0</v>
      </c>
    </row>
    <row r="20" spans="1:5" x14ac:dyDescent="0.2">
      <c r="A20" s="1002" t="s">
        <v>616</v>
      </c>
      <c r="B20" s="996"/>
      <c r="C20" s="996">
        <v>6350000</v>
      </c>
      <c r="D20" s="996"/>
      <c r="E20" s="997">
        <f t="shared" si="1"/>
        <v>6350000</v>
      </c>
    </row>
    <row r="21" spans="1:5" x14ac:dyDescent="0.2">
      <c r="A21" s="1002" t="s">
        <v>617</v>
      </c>
      <c r="B21" s="1034"/>
      <c r="C21" s="996"/>
      <c r="D21" s="996"/>
      <c r="E21" s="997">
        <f t="shared" si="1"/>
        <v>0</v>
      </c>
    </row>
    <row r="22" spans="1:5" ht="13.5" thickBot="1" x14ac:dyDescent="0.25">
      <c r="A22" s="998"/>
      <c r="B22" s="999"/>
      <c r="C22" s="999"/>
      <c r="D22" s="999"/>
      <c r="E22" s="997">
        <f t="shared" si="1"/>
        <v>0</v>
      </c>
    </row>
    <row r="23" spans="1:5" ht="13.5" thickBot="1" x14ac:dyDescent="0.25">
      <c r="A23" s="1025" t="s">
        <v>54</v>
      </c>
      <c r="B23" s="1026">
        <f>SUM(B16:B22)</f>
        <v>5354320</v>
      </c>
      <c r="C23" s="1026">
        <f>SUM(C16:C22)</f>
        <v>364857936</v>
      </c>
      <c r="D23" s="1026">
        <f>SUM(D16:D22)</f>
        <v>0</v>
      </c>
      <c r="E23" s="1027">
        <f>SUM(E16:E22)</f>
        <v>370212256</v>
      </c>
    </row>
    <row r="24" spans="1:5" x14ac:dyDescent="0.2">
      <c r="A24" s="1113"/>
      <c r="B24" s="1113"/>
      <c r="C24" s="1113"/>
      <c r="D24" s="1113"/>
      <c r="E24" s="1113"/>
    </row>
    <row r="25" spans="1:5" ht="48.75" customHeight="1" x14ac:dyDescent="0.25">
      <c r="A25" s="1482" t="s">
        <v>927</v>
      </c>
      <c r="B25" s="1482"/>
      <c r="C25" s="1482"/>
      <c r="D25" s="1482"/>
      <c r="E25" s="1482"/>
    </row>
    <row r="26" spans="1:5" ht="14.25" thickBot="1" x14ac:dyDescent="0.3">
      <c r="A26" s="1003"/>
      <c r="B26" s="1003"/>
      <c r="C26" s="1003"/>
      <c r="D26" s="1483" t="s">
        <v>564</v>
      </c>
      <c r="E26" s="1483"/>
    </row>
    <row r="27" spans="1:5" ht="13.5" thickBot="1" x14ac:dyDescent="0.25">
      <c r="A27" s="1022" t="s">
        <v>604</v>
      </c>
      <c r="B27" s="1023" t="s">
        <v>876</v>
      </c>
      <c r="C27" s="1023">
        <v>2020</v>
      </c>
      <c r="D27" s="1023" t="s">
        <v>923</v>
      </c>
      <c r="E27" s="1024" t="s">
        <v>53</v>
      </c>
    </row>
    <row r="28" spans="1:5" x14ac:dyDescent="0.2">
      <c r="A28" s="989" t="s">
        <v>605</v>
      </c>
      <c r="B28" s="990"/>
      <c r="C28" s="990"/>
      <c r="D28" s="990"/>
      <c r="E28" s="991">
        <v>0</v>
      </c>
    </row>
    <row r="29" spans="1:5" x14ac:dyDescent="0.2">
      <c r="A29" s="992" t="s">
        <v>606</v>
      </c>
      <c r="B29" s="993"/>
      <c r="C29" s="993"/>
      <c r="D29" s="993"/>
      <c r="E29" s="994">
        <v>0</v>
      </c>
    </row>
    <row r="30" spans="1:5" x14ac:dyDescent="0.2">
      <c r="A30" s="995" t="s">
        <v>607</v>
      </c>
      <c r="B30" s="996"/>
      <c r="C30" s="996">
        <v>19027694</v>
      </c>
      <c r="D30" s="996"/>
      <c r="E30" s="997">
        <v>19027694</v>
      </c>
    </row>
    <row r="31" spans="1:5" x14ac:dyDescent="0.2">
      <c r="A31" s="995" t="s">
        <v>608</v>
      </c>
      <c r="B31" s="996"/>
      <c r="C31" s="996"/>
      <c r="D31" s="996"/>
      <c r="E31" s="997">
        <v>0</v>
      </c>
    </row>
    <row r="32" spans="1:5" x14ac:dyDescent="0.2">
      <c r="A32" s="995" t="s">
        <v>124</v>
      </c>
      <c r="B32" s="1034"/>
      <c r="C32" s="996"/>
      <c r="D32" s="996"/>
      <c r="E32" s="997">
        <v>0</v>
      </c>
    </row>
    <row r="33" spans="1:5" x14ac:dyDescent="0.2">
      <c r="A33" s="995" t="s">
        <v>609</v>
      </c>
      <c r="B33" s="996"/>
      <c r="C33" s="1034"/>
      <c r="D33" s="1034"/>
      <c r="E33" s="1035">
        <v>0</v>
      </c>
    </row>
    <row r="34" spans="1:5" ht="13.5" thickBot="1" x14ac:dyDescent="0.25">
      <c r="A34" s="998"/>
      <c r="B34" s="999"/>
      <c r="C34" s="1036"/>
      <c r="D34" s="1036"/>
      <c r="E34" s="1035">
        <v>0</v>
      </c>
    </row>
    <row r="35" spans="1:5" ht="13.5" thickBot="1" x14ac:dyDescent="0.25">
      <c r="A35" s="1025" t="s">
        <v>610</v>
      </c>
      <c r="B35" s="1000">
        <v>0</v>
      </c>
      <c r="C35" s="1026">
        <v>19027694</v>
      </c>
      <c r="D35" s="1026">
        <v>0</v>
      </c>
      <c r="E35" s="1027">
        <v>19027694</v>
      </c>
    </row>
    <row r="36" spans="1:5" ht="13.5" thickBot="1" x14ac:dyDescent="0.25">
      <c r="A36" s="1004"/>
      <c r="B36" s="1004"/>
      <c r="C36" s="1004"/>
      <c r="D36" s="1004"/>
      <c r="E36" s="1004"/>
    </row>
    <row r="37" spans="1:5" ht="13.5" thickBot="1" x14ac:dyDescent="0.25">
      <c r="A37" s="1022" t="s">
        <v>611</v>
      </c>
      <c r="B37" s="1023" t="str">
        <f>B27</f>
        <v>2020. előtt</v>
      </c>
      <c r="C37" s="1023">
        <f>C27</f>
        <v>2020</v>
      </c>
      <c r="D37" s="1023" t="str">
        <f>D27</f>
        <v>2020 után</v>
      </c>
      <c r="E37" s="1024" t="s">
        <v>53</v>
      </c>
    </row>
    <row r="38" spans="1:5" x14ac:dyDescent="0.2">
      <c r="A38" s="989" t="s">
        <v>612</v>
      </c>
      <c r="B38" s="990"/>
      <c r="C38" s="990">
        <v>470200</v>
      </c>
      <c r="D38" s="990"/>
      <c r="E38" s="991">
        <v>470200</v>
      </c>
    </row>
    <row r="39" spans="1:5" x14ac:dyDescent="0.2">
      <c r="A39" s="1001" t="s">
        <v>613</v>
      </c>
      <c r="B39" s="996"/>
      <c r="C39" s="996">
        <v>2634996</v>
      </c>
      <c r="D39" s="996"/>
      <c r="E39" s="997">
        <v>2634996</v>
      </c>
    </row>
    <row r="40" spans="1:5" x14ac:dyDescent="0.2">
      <c r="A40" s="995" t="s">
        <v>614</v>
      </c>
      <c r="B40" s="996"/>
      <c r="C40" s="996">
        <v>15922498</v>
      </c>
      <c r="D40" s="996"/>
      <c r="E40" s="997">
        <v>15922498</v>
      </c>
    </row>
    <row r="41" spans="1:5" x14ac:dyDescent="0.2">
      <c r="A41" s="995" t="s">
        <v>615</v>
      </c>
      <c r="B41" s="996"/>
      <c r="C41" s="996"/>
      <c r="D41" s="996"/>
      <c r="E41" s="997">
        <v>0</v>
      </c>
    </row>
    <row r="42" spans="1:5" x14ac:dyDescent="0.2">
      <c r="A42" s="1002" t="s">
        <v>616</v>
      </c>
      <c r="B42" s="996"/>
      <c r="C42" s="996"/>
      <c r="D42" s="996"/>
      <c r="E42" s="997">
        <v>0</v>
      </c>
    </row>
    <row r="43" spans="1:5" x14ac:dyDescent="0.2">
      <c r="A43" s="1002" t="s">
        <v>617</v>
      </c>
      <c r="B43" s="1034"/>
      <c r="C43" s="996"/>
      <c r="D43" s="996"/>
      <c r="E43" s="997">
        <v>0</v>
      </c>
    </row>
    <row r="44" spans="1:5" ht="13.5" thickBot="1" x14ac:dyDescent="0.25">
      <c r="A44" s="998"/>
      <c r="B44" s="999"/>
      <c r="C44" s="999"/>
      <c r="D44" s="999"/>
      <c r="E44" s="997">
        <v>0</v>
      </c>
    </row>
    <row r="45" spans="1:5" ht="13.5" thickBot="1" x14ac:dyDescent="0.25">
      <c r="A45" s="1025" t="s">
        <v>54</v>
      </c>
      <c r="B45" s="1026">
        <v>0</v>
      </c>
      <c r="C45" s="1026">
        <v>19027694</v>
      </c>
      <c r="D45" s="1026">
        <v>0</v>
      </c>
      <c r="E45" s="1027">
        <v>19027694</v>
      </c>
    </row>
    <row r="46" spans="1:5" x14ac:dyDescent="0.2">
      <c r="A46" s="1113"/>
      <c r="B46" s="1113"/>
      <c r="C46" s="1113"/>
      <c r="D46" s="1113"/>
      <c r="E46" s="1113"/>
    </row>
  </sheetData>
  <mergeCells count="5">
    <mergeCell ref="A1:E1"/>
    <mergeCell ref="A3:E3"/>
    <mergeCell ref="D4:E4"/>
    <mergeCell ref="A25:E25"/>
    <mergeCell ref="D26:E26"/>
  </mergeCells>
  <conditionalFormatting sqref="E28:E35 B35:D35 E38:E45 B45:D45 E6:E13 B13:D13 B23:E23 E16:E22">
    <cfRule type="cellIs" dxfId="5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pageSetUpPr fitToPage="1"/>
  </sheetPr>
  <dimension ref="A1:F46"/>
  <sheetViews>
    <sheetView zoomScaleSheetLayoutView="85" workbookViewId="0">
      <selection activeCell="I32" sqref="I32"/>
    </sheetView>
  </sheetViews>
  <sheetFormatPr defaultColWidth="9.33203125" defaultRowHeight="12.75" x14ac:dyDescent="0.2"/>
  <cols>
    <col min="1" max="1" width="38.6640625" style="1114" customWidth="1"/>
    <col min="2" max="5" width="13.83203125" style="1114" customWidth="1"/>
    <col min="6" max="16384" width="9.33203125" style="1114"/>
  </cols>
  <sheetData>
    <row r="1" spans="1:6" x14ac:dyDescent="0.2">
      <c r="A1" s="1481" t="str">
        <f>CONCATENATE("8.4. melléklet ",[2]ALAPADATOK!A7," ",[2]ALAPADATOK!B7," ",[2]ALAPADATOK!C7," ",[2]ALAPADATOK!D7," ",[2]ALAPADATOK!E7," ",[2]ALAPADATOK!F7," ",[2]ALAPADATOK!G7," ",[2]ALAPADATOK!H7)</f>
        <v>8.4. melléklet a 14. / 2020. ( V.28. ) önkormányzati rendelethez</v>
      </c>
      <c r="B1" s="1481"/>
      <c r="C1" s="1481"/>
      <c r="D1" s="1481"/>
      <c r="E1" s="1481"/>
    </row>
    <row r="2" spans="1:6" x14ac:dyDescent="0.2">
      <c r="A2" s="1113"/>
      <c r="B2" s="1113"/>
      <c r="C2" s="1113"/>
      <c r="D2" s="1113"/>
      <c r="E2" s="1113"/>
    </row>
    <row r="3" spans="1:6" ht="74.25" customHeight="1" x14ac:dyDescent="0.25">
      <c r="A3" s="1482" t="s">
        <v>928</v>
      </c>
      <c r="B3" s="1482"/>
      <c r="C3" s="1482"/>
      <c r="D3" s="1482"/>
      <c r="E3" s="1482"/>
      <c r="F3" s="1115"/>
    </row>
    <row r="4" spans="1:6" ht="14.25" thickBot="1" x14ac:dyDescent="0.3">
      <c r="A4" s="974"/>
      <c r="B4" s="974"/>
      <c r="C4" s="974"/>
      <c r="D4" s="1483" t="s">
        <v>564</v>
      </c>
      <c r="E4" s="1483"/>
      <c r="F4" s="1115"/>
    </row>
    <row r="5" spans="1:6" ht="15" customHeight="1" thickBot="1" x14ac:dyDescent="0.25">
      <c r="A5" s="1022" t="s">
        <v>604</v>
      </c>
      <c r="B5" s="1023" t="s">
        <v>876</v>
      </c>
      <c r="C5" s="1023">
        <v>2020</v>
      </c>
      <c r="D5" s="1023" t="s">
        <v>923</v>
      </c>
      <c r="E5" s="1024" t="s">
        <v>53</v>
      </c>
      <c r="F5" s="1115"/>
    </row>
    <row r="6" spans="1:6" x14ac:dyDescent="0.2">
      <c r="A6" s="975" t="s">
        <v>605</v>
      </c>
      <c r="B6" s="976"/>
      <c r="C6" s="976"/>
      <c r="D6" s="976"/>
      <c r="E6" s="977">
        <f>SUM(B6:D6)</f>
        <v>0</v>
      </c>
      <c r="F6" s="1115"/>
    </row>
    <row r="7" spans="1:6" x14ac:dyDescent="0.2">
      <c r="A7" s="978" t="s">
        <v>606</v>
      </c>
      <c r="B7" s="979"/>
      <c r="C7" s="979"/>
      <c r="D7" s="979"/>
      <c r="E7" s="980">
        <f t="shared" ref="E7:E13" si="0">SUM(B7:D7)</f>
        <v>0</v>
      </c>
      <c r="F7" s="1115"/>
    </row>
    <row r="8" spans="1:6" x14ac:dyDescent="0.2">
      <c r="A8" s="981" t="s">
        <v>607</v>
      </c>
      <c r="B8" s="1034">
        <v>168611550</v>
      </c>
      <c r="C8" s="1034">
        <v>6985000</v>
      </c>
      <c r="D8" s="1034"/>
      <c r="E8" s="1035">
        <f t="shared" si="0"/>
        <v>175596550</v>
      </c>
      <c r="F8" s="1115"/>
    </row>
    <row r="9" spans="1:6" x14ac:dyDescent="0.2">
      <c r="A9" s="981" t="s">
        <v>608</v>
      </c>
      <c r="B9" s="1034"/>
      <c r="C9" s="1034"/>
      <c r="D9" s="1034"/>
      <c r="E9" s="1035">
        <f t="shared" si="0"/>
        <v>0</v>
      </c>
      <c r="F9" s="1115"/>
    </row>
    <row r="10" spans="1:6" x14ac:dyDescent="0.2">
      <c r="A10" s="981" t="s">
        <v>124</v>
      </c>
      <c r="B10" s="1034"/>
      <c r="C10" s="1034"/>
      <c r="D10" s="1034"/>
      <c r="E10" s="1035">
        <f t="shared" si="0"/>
        <v>0</v>
      </c>
      <c r="F10" s="1115"/>
    </row>
    <row r="11" spans="1:6" x14ac:dyDescent="0.2">
      <c r="A11" s="981" t="s">
        <v>609</v>
      </c>
      <c r="B11" s="1034"/>
      <c r="C11" s="1034"/>
      <c r="D11" s="1034"/>
      <c r="E11" s="1035">
        <f t="shared" si="0"/>
        <v>0</v>
      </c>
      <c r="F11" s="1115"/>
    </row>
    <row r="12" spans="1:6" ht="13.5" thickBot="1" x14ac:dyDescent="0.25">
      <c r="A12" s="982"/>
      <c r="B12" s="1036"/>
      <c r="C12" s="1036"/>
      <c r="D12" s="1036"/>
      <c r="E12" s="1035">
        <f t="shared" si="0"/>
        <v>0</v>
      </c>
      <c r="F12" s="1115"/>
    </row>
    <row r="13" spans="1:6" ht="13.5" thickBot="1" x14ac:dyDescent="0.25">
      <c r="A13" s="1025" t="s">
        <v>610</v>
      </c>
      <c r="B13" s="1026">
        <f>SUM(B6:B12)</f>
        <v>168611550</v>
      </c>
      <c r="C13" s="1026">
        <f>SUM(C6:C12)</f>
        <v>6985000</v>
      </c>
      <c r="D13" s="1026">
        <f>SUM(D6:D12)</f>
        <v>0</v>
      </c>
      <c r="E13" s="1027">
        <f t="shared" si="0"/>
        <v>175596550</v>
      </c>
      <c r="F13" s="1115"/>
    </row>
    <row r="14" spans="1:6" ht="13.5" thickBot="1" x14ac:dyDescent="0.25">
      <c r="A14" s="983"/>
      <c r="B14" s="983"/>
      <c r="C14" s="983"/>
      <c r="D14" s="983"/>
      <c r="E14" s="983"/>
      <c r="F14" s="1115"/>
    </row>
    <row r="15" spans="1:6" ht="15" customHeight="1" thickBot="1" x14ac:dyDescent="0.25">
      <c r="A15" s="1022" t="s">
        <v>611</v>
      </c>
      <c r="B15" s="1023" t="str">
        <f>B5</f>
        <v>2020. előtt</v>
      </c>
      <c r="C15" s="1023">
        <f>C5</f>
        <v>2020</v>
      </c>
      <c r="D15" s="1023" t="str">
        <f>D5</f>
        <v>2020 után</v>
      </c>
      <c r="E15" s="1024" t="s">
        <v>53</v>
      </c>
      <c r="F15" s="1115"/>
    </row>
    <row r="16" spans="1:6" x14ac:dyDescent="0.2">
      <c r="A16" s="975" t="s">
        <v>612</v>
      </c>
      <c r="B16" s="976"/>
      <c r="C16" s="976"/>
      <c r="D16" s="976"/>
      <c r="E16" s="977">
        <f t="shared" ref="E16:E23" si="1">SUM(B16:D16)</f>
        <v>0</v>
      </c>
      <c r="F16" s="1115"/>
    </row>
    <row r="17" spans="1:6" x14ac:dyDescent="0.2">
      <c r="A17" s="984" t="s">
        <v>613</v>
      </c>
      <c r="B17" s="1034">
        <v>4699000</v>
      </c>
      <c r="C17" s="1034">
        <v>148007150</v>
      </c>
      <c r="D17" s="1034"/>
      <c r="E17" s="1035">
        <f t="shared" si="1"/>
        <v>152706150</v>
      </c>
      <c r="F17" s="1115"/>
    </row>
    <row r="18" spans="1:6" x14ac:dyDescent="0.2">
      <c r="A18" s="981" t="s">
        <v>614</v>
      </c>
      <c r="B18" s="1034"/>
      <c r="C18" s="1034">
        <v>5105400</v>
      </c>
      <c r="D18" s="1034"/>
      <c r="E18" s="1035">
        <f t="shared" si="1"/>
        <v>5105400</v>
      </c>
      <c r="F18" s="1115"/>
    </row>
    <row r="19" spans="1:6" x14ac:dyDescent="0.2">
      <c r="A19" s="981" t="s">
        <v>615</v>
      </c>
      <c r="B19" s="1034"/>
      <c r="C19" s="1034"/>
      <c r="D19" s="1034"/>
      <c r="E19" s="1035">
        <f t="shared" si="1"/>
        <v>0</v>
      </c>
      <c r="F19" s="1115"/>
    </row>
    <row r="20" spans="1:6" x14ac:dyDescent="0.2">
      <c r="A20" s="985" t="s">
        <v>616</v>
      </c>
      <c r="B20" s="1034"/>
      <c r="C20" s="1034">
        <v>6985000</v>
      </c>
      <c r="D20" s="1034"/>
      <c r="E20" s="1035">
        <f t="shared" si="1"/>
        <v>6985000</v>
      </c>
      <c r="F20" s="1115"/>
    </row>
    <row r="21" spans="1:6" x14ac:dyDescent="0.2">
      <c r="A21" s="985" t="s">
        <v>617</v>
      </c>
      <c r="B21" s="1034"/>
      <c r="C21" s="1034">
        <v>10800000</v>
      </c>
      <c r="D21" s="1034"/>
      <c r="E21" s="1035">
        <f t="shared" si="1"/>
        <v>10800000</v>
      </c>
      <c r="F21" s="1115"/>
    </row>
    <row r="22" spans="1:6" ht="13.5" thickBot="1" x14ac:dyDescent="0.25">
      <c r="A22" s="982"/>
      <c r="B22" s="1036"/>
      <c r="C22" s="1036"/>
      <c r="D22" s="1036"/>
      <c r="E22" s="1035">
        <f t="shared" si="1"/>
        <v>0</v>
      </c>
      <c r="F22" s="1115"/>
    </row>
    <row r="23" spans="1:6" ht="13.5" thickBot="1" x14ac:dyDescent="0.25">
      <c r="A23" s="1025" t="s">
        <v>54</v>
      </c>
      <c r="B23" s="1026">
        <f>SUM(B16:B22)</f>
        <v>4699000</v>
      </c>
      <c r="C23" s="1026">
        <f>SUM(C16:C22)</f>
        <v>170897550</v>
      </c>
      <c r="D23" s="1026">
        <f>SUM(D16:D22)</f>
        <v>0</v>
      </c>
      <c r="E23" s="1027">
        <f t="shared" si="1"/>
        <v>175596550</v>
      </c>
      <c r="F23" s="1115"/>
    </row>
    <row r="24" spans="1:6" x14ac:dyDescent="0.2">
      <c r="A24" s="1113"/>
      <c r="B24" s="1113"/>
      <c r="C24" s="1113"/>
      <c r="D24" s="1113"/>
      <c r="E24" s="1113"/>
    </row>
    <row r="25" spans="1:6" ht="48.75" customHeight="1" x14ac:dyDescent="0.2">
      <c r="A25" s="1486" t="s">
        <v>994</v>
      </c>
      <c r="B25" s="1486"/>
      <c r="C25" s="1486"/>
      <c r="D25" s="1486"/>
      <c r="E25" s="1486"/>
    </row>
    <row r="26" spans="1:6" ht="14.25" thickBot="1" x14ac:dyDescent="0.3">
      <c r="A26" s="1116"/>
      <c r="B26" s="1116"/>
      <c r="C26" s="1116"/>
      <c r="D26" s="1485" t="s">
        <v>564</v>
      </c>
      <c r="E26" s="1485"/>
    </row>
    <row r="27" spans="1:6" ht="13.5" thickBot="1" x14ac:dyDescent="0.25">
      <c r="A27" s="1117" t="s">
        <v>604</v>
      </c>
      <c r="B27" s="1118" t="s">
        <v>876</v>
      </c>
      <c r="C27" s="1118" t="s">
        <v>813</v>
      </c>
      <c r="D27" s="1118" t="s">
        <v>877</v>
      </c>
      <c r="E27" s="1119" t="s">
        <v>53</v>
      </c>
    </row>
    <row r="28" spans="1:6" x14ac:dyDescent="0.2">
      <c r="A28" s="1120" t="s">
        <v>605</v>
      </c>
      <c r="B28" s="1121">
        <v>11110000</v>
      </c>
      <c r="C28" s="1121">
        <v>-9999000</v>
      </c>
      <c r="D28" s="1121"/>
      <c r="E28" s="1122">
        <v>1111000</v>
      </c>
    </row>
    <row r="29" spans="1:6" x14ac:dyDescent="0.2">
      <c r="A29" s="1123" t="s">
        <v>606</v>
      </c>
      <c r="B29" s="1124"/>
      <c r="C29" s="1124"/>
      <c r="D29" s="1124"/>
      <c r="E29" s="1125">
        <v>0</v>
      </c>
    </row>
    <row r="30" spans="1:6" x14ac:dyDescent="0.2">
      <c r="A30" s="1126" t="s">
        <v>607</v>
      </c>
      <c r="B30" s="1127"/>
      <c r="C30" s="1127">
        <v>9999000</v>
      </c>
      <c r="D30" s="1127"/>
      <c r="E30" s="1129">
        <v>9999000</v>
      </c>
    </row>
    <row r="31" spans="1:6" x14ac:dyDescent="0.2">
      <c r="A31" s="1126" t="s">
        <v>608</v>
      </c>
      <c r="B31" s="1127"/>
      <c r="C31" s="1127"/>
      <c r="D31" s="1127"/>
      <c r="E31" s="1129">
        <v>0</v>
      </c>
    </row>
    <row r="32" spans="1:6" x14ac:dyDescent="0.2">
      <c r="A32" s="1126" t="s">
        <v>124</v>
      </c>
      <c r="B32" s="1127"/>
      <c r="C32" s="1127"/>
      <c r="D32" s="1127"/>
      <c r="E32" s="1129">
        <v>0</v>
      </c>
    </row>
    <row r="33" spans="1:5" x14ac:dyDescent="0.2">
      <c r="A33" s="1126" t="s">
        <v>609</v>
      </c>
      <c r="B33" s="1127"/>
      <c r="C33" s="1127"/>
      <c r="D33" s="1127"/>
      <c r="E33" s="1129">
        <v>0</v>
      </c>
    </row>
    <row r="34" spans="1:5" ht="13.5" thickBot="1" x14ac:dyDescent="0.25">
      <c r="A34" s="1130"/>
      <c r="B34" s="1131"/>
      <c r="C34" s="1131"/>
      <c r="D34" s="1131"/>
      <c r="E34" s="1129">
        <v>0</v>
      </c>
    </row>
    <row r="35" spans="1:5" ht="13.5" thickBot="1" x14ac:dyDescent="0.25">
      <c r="A35" s="1132" t="s">
        <v>610</v>
      </c>
      <c r="B35" s="1133">
        <v>11110000</v>
      </c>
      <c r="C35" s="1133">
        <v>0</v>
      </c>
      <c r="D35" s="1133">
        <v>0</v>
      </c>
      <c r="E35" s="1134">
        <v>11110000</v>
      </c>
    </row>
    <row r="36" spans="1:5" ht="13.5" thickBot="1" x14ac:dyDescent="0.25">
      <c r="A36" s="1135"/>
      <c r="B36" s="1135"/>
      <c r="C36" s="1135"/>
      <c r="D36" s="1135"/>
      <c r="E36" s="1135"/>
    </row>
    <row r="37" spans="1:5" ht="13.5" thickBot="1" x14ac:dyDescent="0.25">
      <c r="A37" s="1117" t="s">
        <v>611</v>
      </c>
      <c r="B37" s="1118" t="s">
        <v>876</v>
      </c>
      <c r="C37" s="1118" t="s">
        <v>813</v>
      </c>
      <c r="D37" s="1118" t="s">
        <v>877</v>
      </c>
      <c r="E37" s="1119" t="s">
        <v>53</v>
      </c>
    </row>
    <row r="38" spans="1:5" x14ac:dyDescent="0.2">
      <c r="A38" s="1120" t="s">
        <v>612</v>
      </c>
      <c r="B38" s="1121">
        <v>300000</v>
      </c>
      <c r="C38" s="1121"/>
      <c r="D38" s="1121"/>
      <c r="E38" s="1122">
        <v>300000</v>
      </c>
    </row>
    <row r="39" spans="1:5" x14ac:dyDescent="0.2">
      <c r="A39" s="1137" t="s">
        <v>613</v>
      </c>
      <c r="B39" s="1127">
        <v>1190000</v>
      </c>
      <c r="C39" s="1127"/>
      <c r="D39" s="1127"/>
      <c r="E39" s="1129">
        <v>1190000</v>
      </c>
    </row>
    <row r="40" spans="1:5" x14ac:dyDescent="0.2">
      <c r="A40" s="1126" t="s">
        <v>614</v>
      </c>
      <c r="B40" s="1127">
        <v>9620000</v>
      </c>
      <c r="C40" s="1127"/>
      <c r="D40" s="1127"/>
      <c r="E40" s="1129">
        <v>9620000</v>
      </c>
    </row>
    <row r="41" spans="1:5" x14ac:dyDescent="0.2">
      <c r="A41" s="1126" t="s">
        <v>615</v>
      </c>
      <c r="B41" s="1127"/>
      <c r="C41" s="1127"/>
      <c r="D41" s="1127"/>
      <c r="E41" s="1129">
        <v>0</v>
      </c>
    </row>
    <row r="42" spans="1:5" x14ac:dyDescent="0.2">
      <c r="A42" s="1138" t="s">
        <v>616</v>
      </c>
      <c r="B42" s="1127"/>
      <c r="C42" s="1127"/>
      <c r="D42" s="1127"/>
      <c r="E42" s="1129">
        <v>0</v>
      </c>
    </row>
    <row r="43" spans="1:5" x14ac:dyDescent="0.2">
      <c r="A43" s="1138" t="s">
        <v>617</v>
      </c>
      <c r="B43" s="1127"/>
      <c r="C43" s="1127"/>
      <c r="D43" s="1127"/>
      <c r="E43" s="1129">
        <v>0</v>
      </c>
    </row>
    <row r="44" spans="1:5" ht="13.5" thickBot="1" x14ac:dyDescent="0.25">
      <c r="A44" s="1130"/>
      <c r="B44" s="1131"/>
      <c r="C44" s="1131"/>
      <c r="D44" s="1131"/>
      <c r="E44" s="1129">
        <v>0</v>
      </c>
    </row>
    <row r="45" spans="1:5" ht="13.5" thickBot="1" x14ac:dyDescent="0.25">
      <c r="A45" s="1132" t="s">
        <v>54</v>
      </c>
      <c r="B45" s="1133">
        <v>11110000</v>
      </c>
      <c r="C45" s="1133">
        <v>0</v>
      </c>
      <c r="D45" s="1133">
        <v>0</v>
      </c>
      <c r="E45" s="1134">
        <v>11110000</v>
      </c>
    </row>
    <row r="46" spans="1:5" x14ac:dyDescent="0.2">
      <c r="A46" s="1113"/>
      <c r="B46" s="1113"/>
      <c r="C46" s="1113"/>
      <c r="D46" s="1113"/>
      <c r="E46" s="1113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4" priority="2" stopIfTrue="1" operator="equal">
      <formula>0</formula>
    </cfRule>
  </conditionalFormatting>
  <conditionalFormatting sqref="E28:E35 B35:D35 B45:E45 E38:E44">
    <cfRule type="cellIs" dxfId="3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7"/>
  <sheetViews>
    <sheetView zoomScale="115" zoomScaleNormal="115" zoomScaleSheetLayoutView="115" zoomScalePageLayoutView="85" workbookViewId="0">
      <selection sqref="A1:C1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8" style="179" hidden="1" customWidth="1"/>
    <col min="5" max="5" width="14.5" style="179" hidden="1" customWidth="1"/>
    <col min="6" max="6" width="15.33203125" style="179" hidden="1" customWidth="1"/>
    <col min="7" max="7" width="11.1640625" style="179" hidden="1" customWidth="1"/>
    <col min="8" max="8" width="15.5" style="382" hidden="1" customWidth="1"/>
    <col min="9" max="9" width="17.83203125" style="383" hidden="1" customWidth="1"/>
    <col min="10" max="10" width="9.33203125" style="179" customWidth="1"/>
    <col min="11" max="16384" width="9.33203125" style="179"/>
  </cols>
  <sheetData>
    <row r="1" spans="1:9" s="840" customFormat="1" x14ac:dyDescent="0.25">
      <c r="A1" s="1443" t="str">
        <f>CONCATENATE("1. melléklet"," ",ALAPADATOK!A7," ",ALAPADATOK!B7," ",ALAPADATOK!C7," ",ALAPADATOK!D7," ",ALAPADATOK!E7," ",ALAPADATOK!F7," ",ALAPADATOK!G7," ",ALAPADATOK!H7)</f>
        <v>1. melléklet a 21 / 2020. ( IX.25. ) önkormányzati rendelethez</v>
      </c>
      <c r="B1" s="1443"/>
      <c r="C1" s="1443"/>
      <c r="H1" s="382"/>
      <c r="I1" s="383"/>
    </row>
    <row r="2" spans="1:9" s="848" customFormat="1" x14ac:dyDescent="0.25">
      <c r="A2" s="904"/>
      <c r="B2" s="904"/>
      <c r="C2" s="904"/>
      <c r="H2" s="382"/>
      <c r="I2" s="383"/>
    </row>
    <row r="3" spans="1:9" s="840" customFormat="1" x14ac:dyDescent="0.25">
      <c r="A3" s="1441" t="str">
        <f>CONCATENATE(ALAPADATOK!A3)</f>
        <v>Tiszavasvári Város Önkormányzat</v>
      </c>
      <c r="B3" s="1441"/>
      <c r="C3" s="1441"/>
      <c r="H3" s="382"/>
      <c r="I3" s="383"/>
    </row>
    <row r="4" spans="1:9" s="840" customFormat="1" x14ac:dyDescent="0.25">
      <c r="A4" s="1442" t="str">
        <f>CONCATENATE(ALAPADATOK!D7," ÉVI KÖLTSÉGVETÉS")</f>
        <v>2020. ÉVI KÖLTSÉGVETÉS</v>
      </c>
      <c r="B4" s="1442"/>
      <c r="C4" s="1442"/>
      <c r="H4" s="382"/>
      <c r="I4" s="383"/>
    </row>
    <row r="5" spans="1:9" s="840" customFormat="1" x14ac:dyDescent="0.25">
      <c r="A5" s="1442" t="s">
        <v>891</v>
      </c>
      <c r="B5" s="1442"/>
      <c r="C5" s="1442"/>
      <c r="H5" s="382"/>
      <c r="I5" s="383"/>
    </row>
    <row r="6" spans="1:9" s="840" customFormat="1" x14ac:dyDescent="0.25">
      <c r="C6" s="312"/>
      <c r="H6" s="382"/>
      <c r="I6" s="383"/>
    </row>
    <row r="7" spans="1:9" ht="15.95" customHeight="1" x14ac:dyDescent="0.25">
      <c r="A7" s="1445" t="s">
        <v>18</v>
      </c>
      <c r="B7" s="1445"/>
      <c r="C7" s="1445"/>
    </row>
    <row r="8" spans="1:9" ht="15.95" customHeight="1" thickBot="1" x14ac:dyDescent="0.3">
      <c r="A8" s="1444" t="s">
        <v>129</v>
      </c>
      <c r="B8" s="1444"/>
      <c r="C8" s="126" t="s">
        <v>555</v>
      </c>
    </row>
    <row r="9" spans="1:9" ht="38.1" customHeight="1" thickBot="1" x14ac:dyDescent="0.3">
      <c r="A9" s="20" t="s">
        <v>72</v>
      </c>
      <c r="B9" s="21" t="s">
        <v>20</v>
      </c>
      <c r="C9" s="29" t="s">
        <v>787</v>
      </c>
      <c r="D9" s="179" t="s">
        <v>561</v>
      </c>
      <c r="E9" s="179" t="s">
        <v>562</v>
      </c>
      <c r="F9" s="179" t="s">
        <v>563</v>
      </c>
    </row>
    <row r="10" spans="1:9" s="191" customFormat="1" ht="12" customHeight="1" thickBot="1" x14ac:dyDescent="0.25">
      <c r="A10" s="185" t="s">
        <v>447</v>
      </c>
      <c r="B10" s="186" t="s">
        <v>448</v>
      </c>
      <c r="C10" s="187" t="s">
        <v>449</v>
      </c>
      <c r="H10" s="382"/>
      <c r="I10" s="383"/>
    </row>
    <row r="11" spans="1:9" s="192" customFormat="1" ht="12" customHeight="1" thickBot="1" x14ac:dyDescent="0.25">
      <c r="A11" s="17" t="s">
        <v>21</v>
      </c>
      <c r="B11" s="18" t="s">
        <v>195</v>
      </c>
      <c r="C11" s="117">
        <f t="shared" ref="C11:C44" si="0">SUM(D11:F11)</f>
        <v>1492762052</v>
      </c>
      <c r="D11" s="282">
        <f>+D12+D13+D14+D17+D18+D19</f>
        <v>1492762052</v>
      </c>
      <c r="E11" s="117">
        <f>+E12+E13+E14+E17+E18+E19</f>
        <v>0</v>
      </c>
      <c r="F11" s="117">
        <f>+F12+F13+F14+F17+F18+F19</f>
        <v>0</v>
      </c>
      <c r="H11" s="384">
        <f>'1.2.sz.mell. '!C11+'1.3.sz.mell.'!C11+'1.4.sz.mell. '!C11+'1.5.sz.mell.'!C11</f>
        <v>1492762052</v>
      </c>
      <c r="I11" s="384">
        <f t="shared" ref="I11:I76" si="1">C11-H11</f>
        <v>0</v>
      </c>
    </row>
    <row r="12" spans="1:9" s="192" customFormat="1" ht="12" customHeight="1" thickBot="1" x14ac:dyDescent="0.25">
      <c r="A12" s="12" t="s">
        <v>100</v>
      </c>
      <c r="B12" s="193" t="s">
        <v>196</v>
      </c>
      <c r="C12" s="475">
        <f>SUM(D12:F12)</f>
        <v>257758444</v>
      </c>
      <c r="D12" s="231">
        <f>229318994+27629700+809750</f>
        <v>257758444</v>
      </c>
      <c r="E12" s="231"/>
      <c r="F12" s="231"/>
      <c r="H12" s="384">
        <f>'1.2.sz.mell. '!C12+'1.3.sz.mell.'!C12+'1.4.sz.mell. '!C12+'1.5.sz.mell.'!C12</f>
        <v>257758444</v>
      </c>
      <c r="I12" s="385">
        <f>C12-H12</f>
        <v>0</v>
      </c>
    </row>
    <row r="13" spans="1:9" s="192" customFormat="1" ht="12" customHeight="1" thickBot="1" x14ac:dyDescent="0.25">
      <c r="A13" s="11" t="s">
        <v>101</v>
      </c>
      <c r="B13" s="194" t="s">
        <v>197</v>
      </c>
      <c r="C13" s="305">
        <f t="shared" si="0"/>
        <v>246915579</v>
      </c>
      <c r="D13" s="121">
        <f>229603230+17312349</f>
        <v>246915579</v>
      </c>
      <c r="E13" s="121"/>
      <c r="F13" s="121"/>
      <c r="H13" s="384">
        <f>'1.2.sz.mell. '!C13+'1.3.sz.mell.'!C13+'1.4.sz.mell. '!C13+'1.5.sz.mell.'!C13</f>
        <v>246915579</v>
      </c>
      <c r="I13" s="386">
        <f t="shared" si="1"/>
        <v>0</v>
      </c>
    </row>
    <row r="14" spans="1:9" s="192" customFormat="1" ht="12" customHeight="1" thickBot="1" x14ac:dyDescent="0.25">
      <c r="A14" s="11" t="s">
        <v>102</v>
      </c>
      <c r="B14" s="194" t="s">
        <v>999</v>
      </c>
      <c r="C14" s="1140">
        <f t="shared" si="0"/>
        <v>815989004</v>
      </c>
      <c r="D14" s="121">
        <f>SUM(D15:D16)</f>
        <v>815989004</v>
      </c>
      <c r="E14" s="121">
        <f>SUM(E15:E16)</f>
        <v>0</v>
      </c>
      <c r="F14" s="121">
        <f>SUM(F15:F16)</f>
        <v>0</v>
      </c>
      <c r="H14" s="384">
        <f>'1.2.sz.mell. '!C14+'1.3.sz.mell.'!C14+'1.4.sz.mell. '!C14+'1.5.sz.mell.'!C14</f>
        <v>815989004</v>
      </c>
      <c r="I14" s="386">
        <f t="shared" si="1"/>
        <v>0</v>
      </c>
    </row>
    <row r="15" spans="1:9" s="192" customFormat="1" ht="12" customHeight="1" thickBot="1" x14ac:dyDescent="0.25">
      <c r="A15" s="11" t="s">
        <v>997</v>
      </c>
      <c r="B15" s="194" t="s">
        <v>1000</v>
      </c>
      <c r="C15" s="1140">
        <f t="shared" si="0"/>
        <v>626080962</v>
      </c>
      <c r="D15" s="121">
        <f>565871103+33216359-62000+22559700+4495800</f>
        <v>626080962</v>
      </c>
      <c r="E15" s="121"/>
      <c r="F15" s="121"/>
      <c r="H15" s="384">
        <f>'1.2.sz.mell. '!C15+'1.3.sz.mell.'!C15+'1.4.sz.mell. '!C15+'1.5.sz.mell.'!C15</f>
        <v>626080962</v>
      </c>
      <c r="I15" s="386">
        <f t="shared" si="1"/>
        <v>0</v>
      </c>
    </row>
    <row r="16" spans="1:9" s="192" customFormat="1" ht="12" customHeight="1" thickBot="1" x14ac:dyDescent="0.25">
      <c r="A16" s="11" t="s">
        <v>998</v>
      </c>
      <c r="B16" s="194" t="s">
        <v>1001</v>
      </c>
      <c r="C16" s="305">
        <f t="shared" si="0"/>
        <v>189908042</v>
      </c>
      <c r="D16" s="121">
        <f>186127562+3780480</f>
        <v>189908042</v>
      </c>
      <c r="E16" s="121"/>
      <c r="F16" s="121"/>
      <c r="H16" s="384">
        <f>'1.2.sz.mell. '!C16+'1.3.sz.mell.'!C16+'1.4.sz.mell. '!C16+'1.5.sz.mell.'!C16</f>
        <v>189908042</v>
      </c>
      <c r="I16" s="386">
        <f t="shared" si="1"/>
        <v>0</v>
      </c>
    </row>
    <row r="17" spans="1:9" s="192" customFormat="1" ht="12" customHeight="1" thickBot="1" x14ac:dyDescent="0.25">
      <c r="A17" s="11" t="s">
        <v>103</v>
      </c>
      <c r="B17" s="194" t="s">
        <v>199</v>
      </c>
      <c r="C17" s="305">
        <f t="shared" si="0"/>
        <v>39550749</v>
      </c>
      <c r="D17" s="121">
        <f>20802409+12622000+477000+5649340</f>
        <v>39550749</v>
      </c>
      <c r="E17" s="121"/>
      <c r="F17" s="121"/>
      <c r="H17" s="384">
        <f>'1.2.sz.mell. '!C17+'1.3.sz.mell.'!C17+'1.4.sz.mell. '!C17+'1.5.sz.mell.'!C17</f>
        <v>39550749</v>
      </c>
      <c r="I17" s="386">
        <f t="shared" si="1"/>
        <v>0</v>
      </c>
    </row>
    <row r="18" spans="1:9" s="192" customFormat="1" ht="12" customHeight="1" thickBot="1" x14ac:dyDescent="0.25">
      <c r="A18" s="11" t="s">
        <v>126</v>
      </c>
      <c r="B18" s="113" t="s">
        <v>450</v>
      </c>
      <c r="C18" s="305">
        <f t="shared" si="0"/>
        <v>132548276</v>
      </c>
      <c r="D18" s="121">
        <f>163088204+530-539760-98930-300000-2934065+899997-27567700</f>
        <v>132548276</v>
      </c>
      <c r="E18" s="121"/>
      <c r="F18" s="121"/>
      <c r="H18" s="384">
        <f>'1.2.sz.mell. '!C18+'1.3.sz.mell.'!C18+'1.4.sz.mell. '!C18+'1.5.sz.mell.'!C18</f>
        <v>132548276</v>
      </c>
      <c r="I18" s="386">
        <f t="shared" si="1"/>
        <v>0</v>
      </c>
    </row>
    <row r="19" spans="1:9" s="192" customFormat="1" ht="12" customHeight="1" thickBot="1" x14ac:dyDescent="0.25">
      <c r="A19" s="13" t="s">
        <v>104</v>
      </c>
      <c r="B19" s="114" t="s">
        <v>451</v>
      </c>
      <c r="C19" s="476">
        <f t="shared" si="0"/>
        <v>0</v>
      </c>
      <c r="D19" s="106"/>
      <c r="E19" s="118"/>
      <c r="F19" s="118"/>
      <c r="H19" s="384">
        <f>'1.2.sz.mell. '!C19+'1.3.sz.mell.'!C19+'1.4.sz.mell. '!C19+'1.5.sz.mell.'!C19</f>
        <v>0</v>
      </c>
      <c r="I19" s="387">
        <f t="shared" si="1"/>
        <v>0</v>
      </c>
    </row>
    <row r="20" spans="1:9" s="192" customFormat="1" ht="12" customHeight="1" thickBot="1" x14ac:dyDescent="0.25">
      <c r="A20" s="17" t="s">
        <v>22</v>
      </c>
      <c r="B20" s="112" t="s">
        <v>200</v>
      </c>
      <c r="C20" s="117">
        <f t="shared" si="0"/>
        <v>337970675</v>
      </c>
      <c r="D20" s="282">
        <f>+D21+D22+D23+D24+D25</f>
        <v>229590746</v>
      </c>
      <c r="E20" s="117">
        <f>+E21+E22+E23+E24+E25</f>
        <v>0</v>
      </c>
      <c r="F20" s="117">
        <f>+F21+F22+F23+F24+F25</f>
        <v>108379929</v>
      </c>
      <c r="H20" s="384">
        <f>'1.2.sz.mell. '!C20+'1.3.sz.mell.'!C20+'1.4.sz.mell. '!C20+'1.5.sz.mell.'!C20</f>
        <v>337970675</v>
      </c>
      <c r="I20" s="384">
        <f t="shared" si="1"/>
        <v>0</v>
      </c>
    </row>
    <row r="21" spans="1:9" s="192" customFormat="1" ht="12" customHeight="1" thickBot="1" x14ac:dyDescent="0.25">
      <c r="A21" s="12" t="s">
        <v>106</v>
      </c>
      <c r="B21" s="193" t="s">
        <v>201</v>
      </c>
      <c r="C21" s="475">
        <f t="shared" si="0"/>
        <v>0</v>
      </c>
      <c r="D21" s="284"/>
      <c r="E21" s="119"/>
      <c r="F21" s="119"/>
      <c r="H21" s="384">
        <f>'1.2.sz.mell. '!C21+'1.3.sz.mell.'!C21+'1.4.sz.mell. '!C21+'1.5.sz.mell.'!C21</f>
        <v>0</v>
      </c>
      <c r="I21" s="385">
        <f t="shared" si="1"/>
        <v>0</v>
      </c>
    </row>
    <row r="22" spans="1:9" s="192" customFormat="1" ht="12" customHeight="1" thickBot="1" x14ac:dyDescent="0.25">
      <c r="A22" s="11" t="s">
        <v>107</v>
      </c>
      <c r="B22" s="194" t="s">
        <v>202</v>
      </c>
      <c r="C22" s="305">
        <f t="shared" si="0"/>
        <v>0</v>
      </c>
      <c r="D22" s="106"/>
      <c r="E22" s="118"/>
      <c r="F22" s="118"/>
      <c r="H22" s="384">
        <f>'1.2.sz.mell. '!C22+'1.3.sz.mell.'!C22+'1.4.sz.mell. '!C22+'1.5.sz.mell.'!C22</f>
        <v>0</v>
      </c>
      <c r="I22" s="386">
        <f t="shared" si="1"/>
        <v>0</v>
      </c>
    </row>
    <row r="23" spans="1:9" s="192" customFormat="1" ht="12" customHeight="1" thickBot="1" x14ac:dyDescent="0.25">
      <c r="A23" s="11" t="s">
        <v>108</v>
      </c>
      <c r="B23" s="194" t="s">
        <v>370</v>
      </c>
      <c r="C23" s="305">
        <f t="shared" si="0"/>
        <v>0</v>
      </c>
      <c r="D23" s="106"/>
      <c r="E23" s="118"/>
      <c r="F23" s="118"/>
      <c r="H23" s="384">
        <f>'1.2.sz.mell. '!C23+'1.3.sz.mell.'!C23+'1.4.sz.mell. '!C23+'1.5.sz.mell.'!C23</f>
        <v>0</v>
      </c>
      <c r="I23" s="386">
        <f t="shared" si="1"/>
        <v>0</v>
      </c>
    </row>
    <row r="24" spans="1:9" s="192" customFormat="1" ht="12" customHeight="1" thickBot="1" x14ac:dyDescent="0.25">
      <c r="A24" s="11" t="s">
        <v>109</v>
      </c>
      <c r="B24" s="194" t="s">
        <v>371</v>
      </c>
      <c r="C24" s="305">
        <f t="shared" si="0"/>
        <v>0</v>
      </c>
      <c r="D24" s="106"/>
      <c r="E24" s="118"/>
      <c r="F24" s="118"/>
      <c r="H24" s="384">
        <f>'1.2.sz.mell. '!C24+'1.3.sz.mell.'!C24+'1.4.sz.mell. '!C24+'1.5.sz.mell.'!C24</f>
        <v>0</v>
      </c>
      <c r="I24" s="386">
        <f t="shared" si="1"/>
        <v>0</v>
      </c>
    </row>
    <row r="25" spans="1:9" s="192" customFormat="1" ht="12" customHeight="1" thickBot="1" x14ac:dyDescent="0.25">
      <c r="A25" s="11" t="s">
        <v>110</v>
      </c>
      <c r="B25" s="194" t="s">
        <v>203</v>
      </c>
      <c r="C25" s="1140">
        <f t="shared" si="0"/>
        <v>337970675</v>
      </c>
      <c r="D25" s="267">
        <f>231379098+1540460+4308828+557865-8195505</f>
        <v>229590746</v>
      </c>
      <c r="E25" s="121"/>
      <c r="F25" s="121">
        <f>86729523+9346560+11259187+358859+685800</f>
        <v>108379929</v>
      </c>
      <c r="H25" s="384">
        <f>'1.2.sz.mell. '!C25+'1.3.sz.mell.'!C25+'1.4.sz.mell. '!C25+'1.5.sz.mell.'!C25</f>
        <v>337970675</v>
      </c>
      <c r="I25" s="386">
        <f t="shared" si="1"/>
        <v>0</v>
      </c>
    </row>
    <row r="26" spans="1:9" s="192" customFormat="1" ht="12" customHeight="1" thickBot="1" x14ac:dyDescent="0.25">
      <c r="A26" s="13" t="s">
        <v>119</v>
      </c>
      <c r="B26" s="114" t="s">
        <v>204</v>
      </c>
      <c r="C26" s="1215">
        <f t="shared" si="0"/>
        <v>199298890</v>
      </c>
      <c r="D26" s="271">
        <f>16392698+1485000+35012760+60895972+1540460+1240576-8195505</f>
        <v>108371961</v>
      </c>
      <c r="E26" s="182"/>
      <c r="F26" s="182">
        <f>69276523+9346560+11259187+358859+685800</f>
        <v>90926929</v>
      </c>
      <c r="H26" s="384">
        <f>'1.2.sz.mell. '!C26+'1.3.sz.mell.'!C26+'1.4.sz.mell. '!C26+'1.5.sz.mell.'!C26</f>
        <v>199298890</v>
      </c>
      <c r="I26" s="387">
        <f t="shared" si="1"/>
        <v>0</v>
      </c>
    </row>
    <row r="27" spans="1:9" s="192" customFormat="1" ht="12" customHeight="1" thickBot="1" x14ac:dyDescent="0.25">
      <c r="A27" s="17" t="s">
        <v>23</v>
      </c>
      <c r="B27" s="18" t="s">
        <v>205</v>
      </c>
      <c r="C27" s="117">
        <f t="shared" si="0"/>
        <v>50457784</v>
      </c>
      <c r="D27" s="282">
        <f>+D28+D29+D30+D31+D32</f>
        <v>39745584</v>
      </c>
      <c r="E27" s="117">
        <f>+E28+E29+E30+E31+E32</f>
        <v>0</v>
      </c>
      <c r="F27" s="117">
        <f>+F28+F29+F30+F31+F32</f>
        <v>10712200</v>
      </c>
      <c r="H27" s="384">
        <f>'1.2.sz.mell. '!C27+'1.3.sz.mell.'!C27+'1.4.sz.mell. '!C27+'1.5.sz.mell.'!C27</f>
        <v>50457784</v>
      </c>
      <c r="I27" s="384">
        <f t="shared" si="1"/>
        <v>0</v>
      </c>
    </row>
    <row r="28" spans="1:9" s="192" customFormat="1" ht="12" customHeight="1" thickBot="1" x14ac:dyDescent="0.25">
      <c r="A28" s="12" t="s">
        <v>89</v>
      </c>
      <c r="B28" s="193" t="s">
        <v>206</v>
      </c>
      <c r="C28" s="475">
        <f t="shared" si="0"/>
        <v>0</v>
      </c>
      <c r="D28" s="286"/>
      <c r="E28" s="589"/>
      <c r="F28" s="589"/>
      <c r="H28" s="384">
        <f>'1.2.sz.mell. '!C28+'1.3.sz.mell.'!C28+'1.4.sz.mell. '!C28+'1.5.sz.mell.'!C28</f>
        <v>0</v>
      </c>
      <c r="I28" s="385">
        <f t="shared" si="1"/>
        <v>0</v>
      </c>
    </row>
    <row r="29" spans="1:9" s="192" customFormat="1" ht="12" customHeight="1" thickBot="1" x14ac:dyDescent="0.25">
      <c r="A29" s="11" t="s">
        <v>90</v>
      </c>
      <c r="B29" s="194" t="s">
        <v>207</v>
      </c>
      <c r="C29" s="478">
        <f t="shared" si="0"/>
        <v>0</v>
      </c>
      <c r="D29" s="267"/>
      <c r="E29" s="121"/>
      <c r="F29" s="121"/>
      <c r="H29" s="384">
        <f>'1.2.sz.mell. '!C29+'1.3.sz.mell.'!C29+'1.4.sz.mell. '!C29+'1.5.sz.mell.'!C29</f>
        <v>0</v>
      </c>
      <c r="I29" s="386">
        <f t="shared" si="1"/>
        <v>0</v>
      </c>
    </row>
    <row r="30" spans="1:9" s="192" customFormat="1" ht="12" customHeight="1" thickBot="1" x14ac:dyDescent="0.25">
      <c r="A30" s="11" t="s">
        <v>91</v>
      </c>
      <c r="B30" s="194" t="s">
        <v>372</v>
      </c>
      <c r="C30" s="305">
        <f t="shared" si="0"/>
        <v>0</v>
      </c>
      <c r="D30" s="267"/>
      <c r="E30" s="121"/>
      <c r="F30" s="121"/>
      <c r="H30" s="384">
        <f>'1.2.sz.mell. '!C30+'1.3.sz.mell.'!C30+'1.4.sz.mell. '!C30+'1.5.sz.mell.'!C30</f>
        <v>0</v>
      </c>
      <c r="I30" s="386">
        <f t="shared" si="1"/>
        <v>0</v>
      </c>
    </row>
    <row r="31" spans="1:9" s="192" customFormat="1" ht="12" customHeight="1" thickBot="1" x14ac:dyDescent="0.25">
      <c r="A31" s="11" t="s">
        <v>92</v>
      </c>
      <c r="B31" s="194" t="s">
        <v>373</v>
      </c>
      <c r="C31" s="305">
        <f t="shared" si="0"/>
        <v>0</v>
      </c>
      <c r="D31" s="267"/>
      <c r="E31" s="121"/>
      <c r="F31" s="121"/>
      <c r="H31" s="384">
        <f>'1.2.sz.mell. '!C31+'1.3.sz.mell.'!C31+'1.4.sz.mell. '!C31+'1.5.sz.mell.'!C31</f>
        <v>0</v>
      </c>
      <c r="I31" s="386">
        <f t="shared" si="1"/>
        <v>0</v>
      </c>
    </row>
    <row r="32" spans="1:9" s="192" customFormat="1" ht="12" customHeight="1" thickBot="1" x14ac:dyDescent="0.25">
      <c r="A32" s="11" t="s">
        <v>137</v>
      </c>
      <c r="B32" s="194" t="s">
        <v>208</v>
      </c>
      <c r="C32" s="1140">
        <f t="shared" si="0"/>
        <v>50457784</v>
      </c>
      <c r="D32" s="267">
        <f>36977634+5200000-2432050</f>
        <v>39745584</v>
      </c>
      <c r="E32" s="121"/>
      <c r="F32" s="121">
        <f>10712200</f>
        <v>10712200</v>
      </c>
      <c r="H32" s="384">
        <f>'1.2.sz.mell. '!C32+'1.3.sz.mell.'!C32+'1.4.sz.mell. '!C32+'1.5.sz.mell.'!C32</f>
        <v>50457784</v>
      </c>
      <c r="I32" s="386">
        <f t="shared" si="1"/>
        <v>0</v>
      </c>
    </row>
    <row r="33" spans="1:9" s="192" customFormat="1" ht="12" customHeight="1" thickBot="1" x14ac:dyDescent="0.25">
      <c r="A33" s="13" t="s">
        <v>138</v>
      </c>
      <c r="B33" s="195" t="s">
        <v>209</v>
      </c>
      <c r="C33" s="1215">
        <f t="shared" si="0"/>
        <v>35637784</v>
      </c>
      <c r="D33" s="271">
        <f>2634996+5500000+6350000+12274550+10218088-2432050</f>
        <v>34545584</v>
      </c>
      <c r="E33" s="182"/>
      <c r="F33" s="182">
        <f>1092200</f>
        <v>1092200</v>
      </c>
      <c r="H33" s="384">
        <f>'1.2.sz.mell. '!C33+'1.3.sz.mell.'!C33+'1.4.sz.mell. '!C33+'1.5.sz.mell.'!C33</f>
        <v>35637784</v>
      </c>
      <c r="I33" s="387">
        <f t="shared" si="1"/>
        <v>0</v>
      </c>
    </row>
    <row r="34" spans="1:9" s="192" customFormat="1" ht="12" customHeight="1" thickBot="1" x14ac:dyDescent="0.25">
      <c r="A34" s="17" t="s">
        <v>139</v>
      </c>
      <c r="B34" s="18" t="s">
        <v>656</v>
      </c>
      <c r="C34" s="117">
        <f t="shared" si="0"/>
        <v>503000000</v>
      </c>
      <c r="D34" s="285">
        <f>+D35+D39+D40+D41</f>
        <v>503000000</v>
      </c>
      <c r="E34" s="122">
        <f>+E35+E39+E40+E41</f>
        <v>0</v>
      </c>
      <c r="F34" s="122">
        <f>+F35+F39+F40+F41</f>
        <v>0</v>
      </c>
      <c r="H34" s="384">
        <f>'1.2.sz.mell. '!C34+'1.3.sz.mell.'!C34+'1.4.sz.mell. '!C34+'1.5.sz.mell.'!C34</f>
        <v>503000000</v>
      </c>
      <c r="I34" s="384">
        <f t="shared" si="1"/>
        <v>0</v>
      </c>
    </row>
    <row r="35" spans="1:9" s="192" customFormat="1" ht="12" customHeight="1" thickBot="1" x14ac:dyDescent="0.25">
      <c r="A35" s="12" t="s">
        <v>211</v>
      </c>
      <c r="B35" s="193" t="s">
        <v>652</v>
      </c>
      <c r="C35" s="475">
        <f t="shared" ref="C35:C40" si="2">SUM(D35:F35)</f>
        <v>486000000</v>
      </c>
      <c r="D35" s="299">
        <f>SUM(D36:D37)</f>
        <v>486000000</v>
      </c>
      <c r="E35" s="299">
        <f>SUM(E36:E37)</f>
        <v>0</v>
      </c>
      <c r="F35" s="299">
        <f>SUM(F36:F37)</f>
        <v>0</v>
      </c>
      <c r="H35" s="384">
        <f>'1.2.sz.mell. '!C35+'1.3.sz.mell.'!C35+'1.4.sz.mell. '!C35+'1.5.sz.mell.'!C35</f>
        <v>486000000</v>
      </c>
      <c r="I35" s="385">
        <f t="shared" si="1"/>
        <v>0</v>
      </c>
    </row>
    <row r="36" spans="1:9" s="192" customFormat="1" ht="12" customHeight="1" thickBot="1" x14ac:dyDescent="0.25">
      <c r="A36" s="11" t="s">
        <v>212</v>
      </c>
      <c r="B36" s="194" t="s">
        <v>217</v>
      </c>
      <c r="C36" s="305">
        <f t="shared" si="2"/>
        <v>86000000</v>
      </c>
      <c r="D36" s="106">
        <f>80000000+6000000</f>
        <v>86000000</v>
      </c>
      <c r="E36" s="118"/>
      <c r="F36" s="118"/>
      <c r="H36" s="384">
        <f>'1.2.sz.mell. '!C36+'1.3.sz.mell.'!C36+'1.4.sz.mell. '!C36+'1.5.sz.mell.'!C36</f>
        <v>86000000</v>
      </c>
      <c r="I36" s="386">
        <f t="shared" si="1"/>
        <v>0</v>
      </c>
    </row>
    <row r="37" spans="1:9" s="192" customFormat="1" ht="12" customHeight="1" thickBot="1" x14ac:dyDescent="0.25">
      <c r="A37" s="11" t="s">
        <v>213</v>
      </c>
      <c r="B37" s="251" t="s">
        <v>651</v>
      </c>
      <c r="C37" s="304">
        <f t="shared" si="2"/>
        <v>400000000</v>
      </c>
      <c r="D37" s="106">
        <f>400000000</f>
        <v>400000000</v>
      </c>
      <c r="E37" s="118"/>
      <c r="F37" s="118"/>
      <c r="H37" s="384">
        <f>'1.2.sz.mell. '!C37+'1.3.sz.mell.'!C37+'1.4.sz.mell. '!C37+'1.5.sz.mell.'!C37</f>
        <v>400000000</v>
      </c>
      <c r="I37" s="386">
        <f t="shared" si="1"/>
        <v>0</v>
      </c>
    </row>
    <row r="38" spans="1:9" s="192" customFormat="1" ht="12" customHeight="1" thickBot="1" x14ac:dyDescent="0.25">
      <c r="A38" s="11" t="s">
        <v>214</v>
      </c>
      <c r="B38" s="194" t="s">
        <v>538</v>
      </c>
      <c r="C38" s="304">
        <f t="shared" si="2"/>
        <v>0</v>
      </c>
      <c r="D38" s="267"/>
      <c r="E38" s="121"/>
      <c r="F38" s="121"/>
      <c r="H38" s="384">
        <f>'1.2.sz.mell. '!C38+'1.3.sz.mell.'!C38+'1.4.sz.mell. '!C38+'1.5.sz.mell.'!C38</f>
        <v>0</v>
      </c>
      <c r="I38" s="386">
        <f t="shared" si="1"/>
        <v>0</v>
      </c>
    </row>
    <row r="39" spans="1:9" s="192" customFormat="1" ht="12" customHeight="1" thickBot="1" x14ac:dyDescent="0.25">
      <c r="A39" s="11" t="s">
        <v>539</v>
      </c>
      <c r="B39" s="194" t="s">
        <v>218</v>
      </c>
      <c r="C39" s="304">
        <f t="shared" si="2"/>
        <v>0</v>
      </c>
      <c r="D39" s="106">
        <f>35000000-35000000</f>
        <v>0</v>
      </c>
      <c r="E39" s="118"/>
      <c r="F39" s="118"/>
      <c r="H39" s="384">
        <f>'1.2.sz.mell. '!C39+'1.3.sz.mell.'!C39+'1.4.sz.mell. '!C39+'1.5.sz.mell.'!C39</f>
        <v>0</v>
      </c>
      <c r="I39" s="386">
        <f t="shared" si="1"/>
        <v>0</v>
      </c>
    </row>
    <row r="40" spans="1:9" s="192" customFormat="1" ht="12" customHeight="1" thickBot="1" x14ac:dyDescent="0.25">
      <c r="A40" s="11" t="s">
        <v>216</v>
      </c>
      <c r="B40" s="194" t="s">
        <v>219</v>
      </c>
      <c r="C40" s="304">
        <f t="shared" si="2"/>
        <v>1000000</v>
      </c>
      <c r="D40" s="106">
        <f>1000000</f>
        <v>1000000</v>
      </c>
      <c r="E40" s="118"/>
      <c r="F40" s="118"/>
      <c r="H40" s="384">
        <f>'1.2.sz.mell. '!C40+'1.3.sz.mell.'!C40+'1.4.sz.mell. '!C40+'1.5.sz.mell.'!C40</f>
        <v>1000000</v>
      </c>
      <c r="I40" s="386">
        <f t="shared" si="1"/>
        <v>0</v>
      </c>
    </row>
    <row r="41" spans="1:9" s="192" customFormat="1" ht="12" customHeight="1" thickBot="1" x14ac:dyDescent="0.25">
      <c r="A41" s="13" t="s">
        <v>540</v>
      </c>
      <c r="B41" s="195" t="s">
        <v>220</v>
      </c>
      <c r="C41" s="476">
        <f t="shared" si="0"/>
        <v>16000000</v>
      </c>
      <c r="D41" s="271">
        <v>16000000</v>
      </c>
      <c r="E41" s="182"/>
      <c r="F41" s="182"/>
      <c r="H41" s="384">
        <f>'1.2.sz.mell. '!C41+'1.3.sz.mell.'!C41+'1.4.sz.mell. '!C41+'1.5.sz.mell.'!C41</f>
        <v>16000000</v>
      </c>
      <c r="I41" s="387">
        <f t="shared" si="1"/>
        <v>0</v>
      </c>
    </row>
    <row r="42" spans="1:9" s="192" customFormat="1" ht="12" customHeight="1" thickBot="1" x14ac:dyDescent="0.25">
      <c r="A42" s="17" t="s">
        <v>25</v>
      </c>
      <c r="B42" s="18" t="s">
        <v>452</v>
      </c>
      <c r="C42" s="117">
        <f t="shared" si="0"/>
        <v>339351277</v>
      </c>
      <c r="D42" s="282">
        <f>SUM(D43:D53)</f>
        <v>49249817</v>
      </c>
      <c r="E42" s="117">
        <f>SUM(E43:E53)</f>
        <v>10182614</v>
      </c>
      <c r="F42" s="117">
        <f>SUM(F43:F53)</f>
        <v>279918846</v>
      </c>
      <c r="H42" s="384">
        <f>'1.2.sz.mell. '!C42+'1.3.sz.mell.'!C42+'1.4.sz.mell. '!C42+'1.5.sz.mell.'!C42</f>
        <v>339351277</v>
      </c>
      <c r="I42" s="384">
        <f t="shared" si="1"/>
        <v>0</v>
      </c>
    </row>
    <row r="43" spans="1:9" s="192" customFormat="1" ht="12" customHeight="1" thickBot="1" x14ac:dyDescent="0.25">
      <c r="A43" s="12" t="s">
        <v>93</v>
      </c>
      <c r="B43" s="193" t="s">
        <v>223</v>
      </c>
      <c r="C43" s="475">
        <f t="shared" si="0"/>
        <v>8195576</v>
      </c>
      <c r="D43" s="286">
        <v>8175576</v>
      </c>
      <c r="E43" s="231"/>
      <c r="F43" s="231">
        <f>20000</f>
        <v>20000</v>
      </c>
      <c r="H43" s="384">
        <f>'1.2.sz.mell. '!C43+'1.3.sz.mell.'!C43+'1.4.sz.mell. '!C43+'1.5.sz.mell.'!C43</f>
        <v>8195576</v>
      </c>
      <c r="I43" s="385">
        <f t="shared" si="1"/>
        <v>0</v>
      </c>
    </row>
    <row r="44" spans="1:9" s="192" customFormat="1" ht="12.75" customHeight="1" thickBot="1" x14ac:dyDescent="0.25">
      <c r="A44" s="11" t="s">
        <v>94</v>
      </c>
      <c r="B44" s="194" t="s">
        <v>224</v>
      </c>
      <c r="C44" s="305">
        <f t="shared" si="0"/>
        <v>76622525</v>
      </c>
      <c r="D44" s="267">
        <f>18821599-47244</f>
        <v>18774355</v>
      </c>
      <c r="E44" s="121">
        <f>5000000+2132550+432500</f>
        <v>7565050</v>
      </c>
      <c r="F44" s="231">
        <f>600000+11297400+27518165+10867555</f>
        <v>50283120</v>
      </c>
      <c r="H44" s="384">
        <f>'1.2.sz.mell. '!C44+'1.3.sz.mell.'!C44+'1.4.sz.mell. '!C44+'1.5.sz.mell.'!C44</f>
        <v>76622525</v>
      </c>
      <c r="I44" s="386">
        <f t="shared" si="1"/>
        <v>0</v>
      </c>
    </row>
    <row r="45" spans="1:9" s="192" customFormat="1" ht="12" customHeight="1" thickBot="1" x14ac:dyDescent="0.25">
      <c r="A45" s="11" t="s">
        <v>95</v>
      </c>
      <c r="B45" s="194" t="s">
        <v>225</v>
      </c>
      <c r="C45" s="1140">
        <f t="shared" ref="C45:C95" si="3">SUM(D45:F45)</f>
        <v>28929469</v>
      </c>
      <c r="D45" s="267">
        <f>8868669+808800+200000</f>
        <v>9877469</v>
      </c>
      <c r="E45" s="121">
        <f>200000</f>
        <v>200000</v>
      </c>
      <c r="F45" s="231">
        <f>4600000+5000+1547000+12700000</f>
        <v>18852000</v>
      </c>
      <c r="H45" s="384">
        <f>'1.2.sz.mell. '!C45+'1.3.sz.mell.'!C45+'1.4.sz.mell. '!C45+'1.5.sz.mell.'!C45</f>
        <v>28929469</v>
      </c>
      <c r="I45" s="386">
        <f t="shared" si="1"/>
        <v>0</v>
      </c>
    </row>
    <row r="46" spans="1:9" s="192" customFormat="1" ht="12" customHeight="1" thickBot="1" x14ac:dyDescent="0.25">
      <c r="A46" s="11" t="s">
        <v>141</v>
      </c>
      <c r="B46" s="194" t="s">
        <v>226</v>
      </c>
      <c r="C46" s="305">
        <f t="shared" si="3"/>
        <v>1006560</v>
      </c>
      <c r="D46" s="267">
        <v>1006560</v>
      </c>
      <c r="E46" s="121"/>
      <c r="F46" s="231"/>
      <c r="H46" s="384">
        <f>'1.2.sz.mell. '!C46+'1.3.sz.mell.'!C46+'1.4.sz.mell. '!C46+'1.5.sz.mell.'!C46</f>
        <v>1006560</v>
      </c>
      <c r="I46" s="386">
        <f t="shared" si="1"/>
        <v>0</v>
      </c>
    </row>
    <row r="47" spans="1:9" s="192" customFormat="1" ht="12" customHeight="1" thickBot="1" x14ac:dyDescent="0.25">
      <c r="A47" s="11" t="s">
        <v>142</v>
      </c>
      <c r="B47" s="194" t="s">
        <v>227</v>
      </c>
      <c r="C47" s="305">
        <f t="shared" si="3"/>
        <v>190404778</v>
      </c>
      <c r="D47" s="267"/>
      <c r="E47" s="121"/>
      <c r="F47" s="231">
        <f>1472860+20383499+173575135+1382012-6408728</f>
        <v>190404778</v>
      </c>
      <c r="H47" s="384">
        <f>'1.2.sz.mell. '!C47+'1.3.sz.mell.'!C47+'1.4.sz.mell. '!C47+'1.5.sz.mell.'!C47</f>
        <v>190404778</v>
      </c>
      <c r="I47" s="386">
        <f t="shared" si="1"/>
        <v>0</v>
      </c>
    </row>
    <row r="48" spans="1:9" s="192" customFormat="1" ht="12" customHeight="1" thickBot="1" x14ac:dyDescent="0.25">
      <c r="A48" s="11" t="s">
        <v>143</v>
      </c>
      <c r="B48" s="194" t="s">
        <v>228</v>
      </c>
      <c r="C48" s="1140">
        <f t="shared" si="3"/>
        <v>22131977</v>
      </c>
      <c r="D48" s="267">
        <f>8330221-12756+54000</f>
        <v>8371465</v>
      </c>
      <c r="E48" s="121">
        <f>1485000+575789+116775</f>
        <v>2177564</v>
      </c>
      <c r="F48" s="231">
        <f>1801672+1526150+5641812+4090830-1477516</f>
        <v>11582948</v>
      </c>
      <c r="H48" s="384">
        <f>'1.2.sz.mell. '!C48+'1.3.sz.mell.'!C48+'1.4.sz.mell. '!C48+'1.5.sz.mell.'!C48</f>
        <v>22131977</v>
      </c>
      <c r="I48" s="386">
        <f t="shared" si="1"/>
        <v>0</v>
      </c>
    </row>
    <row r="49" spans="1:9" s="192" customFormat="1" ht="12" customHeight="1" thickBot="1" x14ac:dyDescent="0.25">
      <c r="A49" s="11" t="s">
        <v>144</v>
      </c>
      <c r="B49" s="194" t="s">
        <v>229</v>
      </c>
      <c r="C49" s="305">
        <f t="shared" si="3"/>
        <v>8775000</v>
      </c>
      <c r="D49" s="267"/>
      <c r="E49" s="121"/>
      <c r="F49" s="231">
        <f>366000+680000+7729000</f>
        <v>8775000</v>
      </c>
      <c r="H49" s="384">
        <f>'1.2.sz.mell. '!C49+'1.3.sz.mell.'!C49+'1.4.sz.mell. '!C49+'1.5.sz.mell.'!C49</f>
        <v>8775000</v>
      </c>
      <c r="I49" s="386">
        <f t="shared" si="1"/>
        <v>0</v>
      </c>
    </row>
    <row r="50" spans="1:9" s="192" customFormat="1" ht="12" customHeight="1" thickBot="1" x14ac:dyDescent="0.25">
      <c r="A50" s="11" t="s">
        <v>145</v>
      </c>
      <c r="B50" s="194" t="s">
        <v>544</v>
      </c>
      <c r="C50" s="305">
        <f t="shared" si="3"/>
        <v>0</v>
      </c>
      <c r="D50" s="267"/>
      <c r="E50" s="121"/>
      <c r="F50" s="231"/>
      <c r="H50" s="384">
        <f>'1.2.sz.mell. '!C50+'1.3.sz.mell.'!C50+'1.4.sz.mell. '!C50+'1.5.sz.mell.'!C50</f>
        <v>0</v>
      </c>
      <c r="I50" s="386">
        <f t="shared" si="1"/>
        <v>0</v>
      </c>
    </row>
    <row r="51" spans="1:9" s="192" customFormat="1" ht="12" customHeight="1" thickBot="1" x14ac:dyDescent="0.25">
      <c r="A51" s="11" t="s">
        <v>221</v>
      </c>
      <c r="B51" s="194" t="s">
        <v>231</v>
      </c>
      <c r="C51" s="305">
        <f t="shared" si="3"/>
        <v>0</v>
      </c>
      <c r="D51" s="267"/>
      <c r="E51" s="121"/>
      <c r="F51" s="231"/>
      <c r="H51" s="384">
        <f>'1.2.sz.mell. '!C51+'1.3.sz.mell.'!C51+'1.4.sz.mell. '!C51+'1.5.sz.mell.'!C51</f>
        <v>0</v>
      </c>
      <c r="I51" s="386">
        <f t="shared" si="1"/>
        <v>0</v>
      </c>
    </row>
    <row r="52" spans="1:9" s="192" customFormat="1" ht="12" customHeight="1" thickBot="1" x14ac:dyDescent="0.25">
      <c r="A52" s="13" t="s">
        <v>222</v>
      </c>
      <c r="B52" s="195" t="s">
        <v>453</v>
      </c>
      <c r="C52" s="305">
        <f t="shared" si="3"/>
        <v>1000000</v>
      </c>
      <c r="D52" s="271">
        <v>1000000</v>
      </c>
      <c r="E52" s="182"/>
      <c r="F52" s="231"/>
      <c r="H52" s="384">
        <f>'1.2.sz.mell. '!C52+'1.3.sz.mell.'!C52+'1.4.sz.mell. '!C52+'1.5.sz.mell.'!C52</f>
        <v>1000000</v>
      </c>
      <c r="I52" s="386">
        <f t="shared" si="1"/>
        <v>0</v>
      </c>
    </row>
    <row r="53" spans="1:9" s="192" customFormat="1" ht="12" customHeight="1" thickBot="1" x14ac:dyDescent="0.25">
      <c r="A53" s="13" t="s">
        <v>454</v>
      </c>
      <c r="B53" s="114" t="s">
        <v>232</v>
      </c>
      <c r="C53" s="476">
        <f t="shared" si="3"/>
        <v>2285392</v>
      </c>
      <c r="D53" s="271">
        <f>1087601+956791</f>
        <v>2044392</v>
      </c>
      <c r="E53" s="182">
        <f>240000</f>
        <v>240000</v>
      </c>
      <c r="F53" s="231">
        <f>1000</f>
        <v>1000</v>
      </c>
      <c r="H53" s="384">
        <f>'1.2.sz.mell. '!C53+'1.3.sz.mell.'!C53+'1.4.sz.mell. '!C53+'1.5.sz.mell.'!C53</f>
        <v>2285392</v>
      </c>
      <c r="I53" s="387">
        <f t="shared" si="1"/>
        <v>0</v>
      </c>
    </row>
    <row r="54" spans="1:9" s="192" customFormat="1" ht="12" customHeight="1" thickBot="1" x14ac:dyDescent="0.25">
      <c r="A54" s="17" t="s">
        <v>26</v>
      </c>
      <c r="B54" s="18" t="s">
        <v>233</v>
      </c>
      <c r="C54" s="117">
        <f t="shared" si="3"/>
        <v>44604508</v>
      </c>
      <c r="D54" s="282">
        <f>SUM(D55:D59)</f>
        <v>44304508</v>
      </c>
      <c r="E54" s="117">
        <f>SUM(E55:E59)</f>
        <v>300000</v>
      </c>
      <c r="F54" s="117">
        <f>SUM(F55:F59)</f>
        <v>0</v>
      </c>
      <c r="H54" s="384">
        <f>'1.2.sz.mell. '!C54+'1.3.sz.mell.'!C54+'1.4.sz.mell. '!C54+'1.5.sz.mell.'!C54</f>
        <v>44604508</v>
      </c>
      <c r="I54" s="384">
        <f t="shared" si="1"/>
        <v>0</v>
      </c>
    </row>
    <row r="55" spans="1:9" s="192" customFormat="1" ht="12" customHeight="1" thickBot="1" x14ac:dyDescent="0.25">
      <c r="A55" s="12" t="s">
        <v>96</v>
      </c>
      <c r="B55" s="193" t="s">
        <v>237</v>
      </c>
      <c r="C55" s="477">
        <f t="shared" si="3"/>
        <v>0</v>
      </c>
      <c r="D55" s="286"/>
      <c r="E55" s="231"/>
      <c r="F55" s="231"/>
      <c r="H55" s="384">
        <f>'1.2.sz.mell. '!C55+'1.3.sz.mell.'!C55+'1.4.sz.mell. '!C55+'1.5.sz.mell.'!C55</f>
        <v>0</v>
      </c>
      <c r="I55" s="385">
        <f t="shared" si="1"/>
        <v>0</v>
      </c>
    </row>
    <row r="56" spans="1:9" s="192" customFormat="1" ht="12" customHeight="1" thickBot="1" x14ac:dyDescent="0.25">
      <c r="A56" s="11" t="s">
        <v>97</v>
      </c>
      <c r="B56" s="194" t="s">
        <v>238</v>
      </c>
      <c r="C56" s="305">
        <f t="shared" si="3"/>
        <v>44304508</v>
      </c>
      <c r="D56" s="267">
        <v>44304508</v>
      </c>
      <c r="E56" s="121"/>
      <c r="F56" s="121"/>
      <c r="H56" s="384">
        <f>'1.2.sz.mell. '!C56+'1.3.sz.mell.'!C56+'1.4.sz.mell. '!C56+'1.5.sz.mell.'!C56</f>
        <v>44304508</v>
      </c>
      <c r="I56" s="386">
        <f t="shared" si="1"/>
        <v>0</v>
      </c>
    </row>
    <row r="57" spans="1:9" s="192" customFormat="1" ht="12" customHeight="1" thickBot="1" x14ac:dyDescent="0.25">
      <c r="A57" s="11" t="s">
        <v>234</v>
      </c>
      <c r="B57" s="194" t="s">
        <v>239</v>
      </c>
      <c r="C57" s="305">
        <f t="shared" si="3"/>
        <v>300000</v>
      </c>
      <c r="D57" s="267"/>
      <c r="E57" s="121">
        <v>300000</v>
      </c>
      <c r="F57" s="121"/>
      <c r="H57" s="384">
        <f>'1.2.sz.mell. '!C57+'1.3.sz.mell.'!C57+'1.4.sz.mell. '!C57+'1.5.sz.mell.'!C57</f>
        <v>300000</v>
      </c>
      <c r="I57" s="386">
        <f t="shared" si="1"/>
        <v>0</v>
      </c>
    </row>
    <row r="58" spans="1:9" s="192" customFormat="1" ht="12" customHeight="1" thickBot="1" x14ac:dyDescent="0.25">
      <c r="A58" s="11" t="s">
        <v>235</v>
      </c>
      <c r="B58" s="194" t="s">
        <v>240</v>
      </c>
      <c r="C58" s="305">
        <f t="shared" si="3"/>
        <v>0</v>
      </c>
      <c r="D58" s="267"/>
      <c r="E58" s="121"/>
      <c r="F58" s="121"/>
      <c r="H58" s="384">
        <f>'1.2.sz.mell. '!C58+'1.3.sz.mell.'!C58+'1.4.sz.mell. '!C58+'1.5.sz.mell.'!C58</f>
        <v>0</v>
      </c>
      <c r="I58" s="386">
        <f t="shared" si="1"/>
        <v>0</v>
      </c>
    </row>
    <row r="59" spans="1:9" s="192" customFormat="1" ht="12" customHeight="1" thickBot="1" x14ac:dyDescent="0.25">
      <c r="A59" s="13" t="s">
        <v>236</v>
      </c>
      <c r="B59" s="114" t="s">
        <v>241</v>
      </c>
      <c r="C59" s="479">
        <f t="shared" si="3"/>
        <v>0</v>
      </c>
      <c r="D59" s="271"/>
      <c r="E59" s="182"/>
      <c r="F59" s="182"/>
      <c r="H59" s="384">
        <f>'1.2.sz.mell. '!C59+'1.3.sz.mell.'!C59+'1.4.sz.mell. '!C59+'1.5.sz.mell.'!C59</f>
        <v>0</v>
      </c>
      <c r="I59" s="387">
        <f t="shared" si="1"/>
        <v>0</v>
      </c>
    </row>
    <row r="60" spans="1:9" s="192" customFormat="1" ht="12" customHeight="1" thickBot="1" x14ac:dyDescent="0.25">
      <c r="A60" s="17" t="s">
        <v>146</v>
      </c>
      <c r="B60" s="454" t="s">
        <v>242</v>
      </c>
      <c r="C60" s="295">
        <f t="shared" si="3"/>
        <v>2539075</v>
      </c>
      <c r="D60" s="282">
        <f>SUM(D61:D63)</f>
        <v>2539075</v>
      </c>
      <c r="E60" s="117">
        <f>SUM(E61:E63)</f>
        <v>0</v>
      </c>
      <c r="F60" s="117">
        <f>SUM(F61:F63)</f>
        <v>0</v>
      </c>
      <c r="H60" s="384">
        <f>'1.2.sz.mell. '!C60+'1.3.sz.mell.'!C60+'1.4.sz.mell. '!C60+'1.5.sz.mell.'!C60</f>
        <v>2539075</v>
      </c>
      <c r="I60" s="384">
        <f t="shared" si="1"/>
        <v>0</v>
      </c>
    </row>
    <row r="61" spans="1:9" s="192" customFormat="1" ht="12" customHeight="1" thickBot="1" x14ac:dyDescent="0.25">
      <c r="A61" s="12" t="s">
        <v>98</v>
      </c>
      <c r="B61" s="193" t="s">
        <v>243</v>
      </c>
      <c r="C61" s="480">
        <f t="shared" si="3"/>
        <v>0</v>
      </c>
      <c r="D61" s="284"/>
      <c r="E61" s="119"/>
      <c r="F61" s="119"/>
      <c r="H61" s="384">
        <f>'1.2.sz.mell. '!C61+'1.3.sz.mell.'!C61+'1.4.sz.mell. '!C61+'1.5.sz.mell.'!C61</f>
        <v>0</v>
      </c>
      <c r="I61" s="385">
        <f t="shared" si="1"/>
        <v>0</v>
      </c>
    </row>
    <row r="62" spans="1:9" s="192" customFormat="1" ht="12" customHeight="1" thickBot="1" x14ac:dyDescent="0.25">
      <c r="A62" s="11" t="s">
        <v>99</v>
      </c>
      <c r="B62" s="194" t="s">
        <v>374</v>
      </c>
      <c r="C62" s="305">
        <f t="shared" si="3"/>
        <v>600000</v>
      </c>
      <c r="D62" s="267">
        <f>200000+400000</f>
        <v>600000</v>
      </c>
      <c r="E62" s="121"/>
      <c r="F62" s="121"/>
      <c r="H62" s="384">
        <f>'1.2.sz.mell. '!C62+'1.3.sz.mell.'!C62+'1.4.sz.mell. '!C62+'1.5.sz.mell.'!C62</f>
        <v>600000</v>
      </c>
      <c r="I62" s="386">
        <f t="shared" si="1"/>
        <v>0</v>
      </c>
    </row>
    <row r="63" spans="1:9" s="192" customFormat="1" ht="12" customHeight="1" thickBot="1" x14ac:dyDescent="0.25">
      <c r="A63" s="11" t="s">
        <v>246</v>
      </c>
      <c r="B63" s="194" t="s">
        <v>244</v>
      </c>
      <c r="C63" s="305">
        <f t="shared" si="3"/>
        <v>1939075</v>
      </c>
      <c r="D63" s="267">
        <f>675000+900000+34000+330075</f>
        <v>1939075</v>
      </c>
      <c r="E63" s="121"/>
      <c r="F63" s="121"/>
      <c r="H63" s="384">
        <f>'1.2.sz.mell. '!C63+'1.3.sz.mell.'!C63+'1.4.sz.mell. '!C63+'1.5.sz.mell.'!C63</f>
        <v>1939075</v>
      </c>
      <c r="I63" s="386">
        <f t="shared" si="1"/>
        <v>0</v>
      </c>
    </row>
    <row r="64" spans="1:9" s="192" customFormat="1" ht="12" customHeight="1" thickBot="1" x14ac:dyDescent="0.25">
      <c r="A64" s="13" t="s">
        <v>247</v>
      </c>
      <c r="B64" s="114" t="s">
        <v>245</v>
      </c>
      <c r="C64" s="476">
        <f t="shared" si="3"/>
        <v>0</v>
      </c>
      <c r="D64" s="107"/>
      <c r="E64" s="120"/>
      <c r="F64" s="120"/>
      <c r="H64" s="384">
        <f>'1.2.sz.mell. '!C64+'1.3.sz.mell.'!C64+'1.4.sz.mell. '!C64+'1.5.sz.mell.'!C64</f>
        <v>0</v>
      </c>
      <c r="I64" s="387">
        <f t="shared" si="1"/>
        <v>0</v>
      </c>
    </row>
    <row r="65" spans="1:9" s="192" customFormat="1" ht="12" customHeight="1" thickBot="1" x14ac:dyDescent="0.25">
      <c r="A65" s="17" t="s">
        <v>28</v>
      </c>
      <c r="B65" s="112" t="s">
        <v>248</v>
      </c>
      <c r="C65" s="117">
        <f t="shared" si="3"/>
        <v>6000000</v>
      </c>
      <c r="D65" s="282">
        <f>SUM(D66:D68)</f>
        <v>6000000</v>
      </c>
      <c r="E65" s="117">
        <f>SUM(E66:E68)</f>
        <v>0</v>
      </c>
      <c r="F65" s="117">
        <f>SUM(F66:F68)</f>
        <v>0</v>
      </c>
      <c r="H65" s="384">
        <f>'1.2.sz.mell. '!C65+'1.3.sz.mell.'!C65+'1.4.sz.mell. '!C65+'1.5.sz.mell.'!C65</f>
        <v>6000000</v>
      </c>
      <c r="I65" s="384">
        <f t="shared" si="1"/>
        <v>0</v>
      </c>
    </row>
    <row r="66" spans="1:9" s="192" customFormat="1" ht="12" customHeight="1" thickBot="1" x14ac:dyDescent="0.25">
      <c r="A66" s="12" t="s">
        <v>147</v>
      </c>
      <c r="B66" s="193" t="s">
        <v>250</v>
      </c>
      <c r="C66" s="477">
        <f t="shared" si="3"/>
        <v>0</v>
      </c>
      <c r="D66" s="267"/>
      <c r="E66" s="121"/>
      <c r="F66" s="121"/>
      <c r="H66" s="384">
        <f>'1.2.sz.mell. '!C66+'1.3.sz.mell.'!C66+'1.4.sz.mell. '!C66+'1.5.sz.mell.'!C66</f>
        <v>0</v>
      </c>
      <c r="I66" s="385">
        <f t="shared" si="1"/>
        <v>0</v>
      </c>
    </row>
    <row r="67" spans="1:9" s="192" customFormat="1" ht="12" customHeight="1" thickBot="1" x14ac:dyDescent="0.25">
      <c r="A67" s="11" t="s">
        <v>148</v>
      </c>
      <c r="B67" s="194" t="s">
        <v>375</v>
      </c>
      <c r="C67" s="478">
        <f t="shared" si="3"/>
        <v>0</v>
      </c>
      <c r="D67" s="267"/>
      <c r="E67" s="121"/>
      <c r="F67" s="121"/>
      <c r="H67" s="384">
        <f>'1.2.sz.mell. '!C67+'1.3.sz.mell.'!C67+'1.4.sz.mell. '!C67+'1.5.sz.mell.'!C67</f>
        <v>0</v>
      </c>
      <c r="I67" s="386">
        <f t="shared" si="1"/>
        <v>0</v>
      </c>
    </row>
    <row r="68" spans="1:9" s="192" customFormat="1" ht="12" customHeight="1" thickBot="1" x14ac:dyDescent="0.25">
      <c r="A68" s="11" t="s">
        <v>174</v>
      </c>
      <c r="B68" s="194" t="s">
        <v>251</v>
      </c>
      <c r="C68" s="305">
        <f t="shared" si="3"/>
        <v>6000000</v>
      </c>
      <c r="D68" s="267">
        <f>6000000</f>
        <v>6000000</v>
      </c>
      <c r="E68" s="121"/>
      <c r="F68" s="121"/>
      <c r="H68" s="384">
        <f>'1.2.sz.mell. '!C68+'1.3.sz.mell.'!C68+'1.4.sz.mell. '!C68+'1.5.sz.mell.'!C68</f>
        <v>6000000</v>
      </c>
      <c r="I68" s="386">
        <f t="shared" si="1"/>
        <v>0</v>
      </c>
    </row>
    <row r="69" spans="1:9" s="192" customFormat="1" ht="12" customHeight="1" thickBot="1" x14ac:dyDescent="0.25">
      <c r="A69" s="13" t="s">
        <v>249</v>
      </c>
      <c r="B69" s="114" t="s">
        <v>252</v>
      </c>
      <c r="C69" s="476">
        <f t="shared" si="3"/>
        <v>6000000</v>
      </c>
      <c r="D69" s="267">
        <f>6000000</f>
        <v>6000000</v>
      </c>
      <c r="E69" s="121"/>
      <c r="F69" s="121"/>
      <c r="H69" s="384">
        <f>'1.2.sz.mell. '!C69+'1.3.sz.mell.'!C69+'1.4.sz.mell. '!C69+'1.5.sz.mell.'!C69</f>
        <v>6000000</v>
      </c>
      <c r="I69" s="387">
        <f t="shared" si="1"/>
        <v>0</v>
      </c>
    </row>
    <row r="70" spans="1:9" s="192" customFormat="1" ht="12" customHeight="1" thickBot="1" x14ac:dyDescent="0.25">
      <c r="A70" s="252" t="s">
        <v>455</v>
      </c>
      <c r="B70" s="18" t="s">
        <v>253</v>
      </c>
      <c r="C70" s="117">
        <f t="shared" si="3"/>
        <v>2776685371</v>
      </c>
      <c r="D70" s="285">
        <f>+D11+D20+D27+D34+D42+D54+D60+D65</f>
        <v>2367191782</v>
      </c>
      <c r="E70" s="122">
        <f>+E11+E20+E27+E34+E42+E54+E60+E65</f>
        <v>10482614</v>
      </c>
      <c r="F70" s="122">
        <f>+F11+F20+F27+F34+F42+F54+F60+F65</f>
        <v>399010975</v>
      </c>
      <c r="H70" s="384">
        <f>'1.2.sz.mell. '!C70+'1.3.sz.mell.'!C70+'1.4.sz.mell. '!C70+'1.5.sz.mell.'!C70</f>
        <v>2776685371</v>
      </c>
      <c r="I70" s="384">
        <f t="shared" si="1"/>
        <v>0</v>
      </c>
    </row>
    <row r="71" spans="1:9" s="192" customFormat="1" ht="12" customHeight="1" thickBot="1" x14ac:dyDescent="0.25">
      <c r="A71" s="253" t="s">
        <v>254</v>
      </c>
      <c r="B71" s="112" t="s">
        <v>255</v>
      </c>
      <c r="C71" s="117">
        <f t="shared" si="3"/>
        <v>733570614</v>
      </c>
      <c r="D71" s="282">
        <f>SUM(D72:D74)</f>
        <v>733570614</v>
      </c>
      <c r="E71" s="117">
        <f>SUM(E72:E74)</f>
        <v>0</v>
      </c>
      <c r="F71" s="117">
        <f>SUM(F72:F74)</f>
        <v>0</v>
      </c>
      <c r="H71" s="384">
        <f>'1.2.sz.mell. '!C71+'1.3.sz.mell.'!C71+'1.4.sz.mell. '!C71+'1.5.sz.mell.'!C71</f>
        <v>733570614</v>
      </c>
      <c r="I71" s="384">
        <f t="shared" si="1"/>
        <v>0</v>
      </c>
    </row>
    <row r="72" spans="1:9" s="192" customFormat="1" ht="12" customHeight="1" thickBot="1" x14ac:dyDescent="0.25">
      <c r="A72" s="12" t="s">
        <v>286</v>
      </c>
      <c r="B72" s="193" t="s">
        <v>256</v>
      </c>
      <c r="C72" s="1145">
        <f t="shared" si="3"/>
        <v>33570614</v>
      </c>
      <c r="D72" s="267">
        <f>44951899-2540000-8841285</f>
        <v>33570614</v>
      </c>
      <c r="E72" s="121"/>
      <c r="F72" s="121"/>
      <c r="H72" s="384">
        <f>'1.2.sz.mell. '!C72+'1.3.sz.mell.'!C72+'1.4.sz.mell. '!C72+'1.5.sz.mell.'!C72</f>
        <v>33570614</v>
      </c>
      <c r="I72" s="385">
        <f t="shared" si="1"/>
        <v>0</v>
      </c>
    </row>
    <row r="73" spans="1:9" s="192" customFormat="1" ht="12" customHeight="1" thickBot="1" x14ac:dyDescent="0.25">
      <c r="A73" s="11" t="s">
        <v>295</v>
      </c>
      <c r="B73" s="194" t="s">
        <v>257</v>
      </c>
      <c r="C73" s="305">
        <f t="shared" si="3"/>
        <v>700000000</v>
      </c>
      <c r="D73" s="267">
        <v>700000000</v>
      </c>
      <c r="E73" s="121"/>
      <c r="F73" s="121"/>
      <c r="H73" s="384">
        <f>'1.2.sz.mell. '!C73+'1.3.sz.mell.'!C73+'1.4.sz.mell. '!C73+'1.5.sz.mell.'!C73</f>
        <v>700000000</v>
      </c>
      <c r="I73" s="386">
        <f t="shared" si="1"/>
        <v>0</v>
      </c>
    </row>
    <row r="74" spans="1:9" s="192" customFormat="1" ht="12" customHeight="1" thickBot="1" x14ac:dyDescent="0.25">
      <c r="A74" s="13" t="s">
        <v>296</v>
      </c>
      <c r="B74" s="254" t="s">
        <v>456</v>
      </c>
      <c r="C74" s="479">
        <f t="shared" si="3"/>
        <v>0</v>
      </c>
      <c r="D74" s="267"/>
      <c r="E74" s="121"/>
      <c r="F74" s="121"/>
      <c r="H74" s="384">
        <f>'1.2.sz.mell. '!C74+'1.3.sz.mell.'!C74+'1.4.sz.mell. '!C74+'1.5.sz.mell.'!C74</f>
        <v>0</v>
      </c>
      <c r="I74" s="387">
        <f t="shared" si="1"/>
        <v>0</v>
      </c>
    </row>
    <row r="75" spans="1:9" s="192" customFormat="1" ht="12" customHeight="1" thickBot="1" x14ac:dyDescent="0.25">
      <c r="A75" s="253" t="s">
        <v>259</v>
      </c>
      <c r="B75" s="112" t="s">
        <v>260</v>
      </c>
      <c r="C75" s="117">
        <f t="shared" si="3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  <c r="H75" s="384">
        <f>'1.2.sz.mell. '!C75+'1.3.sz.mell.'!C75+'1.4.sz.mell. '!C75+'1.5.sz.mell.'!C75</f>
        <v>0</v>
      </c>
      <c r="I75" s="384">
        <f t="shared" si="1"/>
        <v>0</v>
      </c>
    </row>
    <row r="76" spans="1:9" s="192" customFormat="1" ht="12" customHeight="1" thickBot="1" x14ac:dyDescent="0.25">
      <c r="A76" s="12" t="s">
        <v>127</v>
      </c>
      <c r="B76" s="193" t="s">
        <v>261</v>
      </c>
      <c r="C76" s="477">
        <f t="shared" si="3"/>
        <v>0</v>
      </c>
      <c r="D76" s="267"/>
      <c r="E76" s="121"/>
      <c r="F76" s="121"/>
      <c r="H76" s="384">
        <f>'1.2.sz.mell. '!C76+'1.3.sz.mell.'!C76+'1.4.sz.mell. '!C76+'1.5.sz.mell.'!C76</f>
        <v>0</v>
      </c>
      <c r="I76" s="385">
        <f t="shared" si="1"/>
        <v>0</v>
      </c>
    </row>
    <row r="77" spans="1:9" s="192" customFormat="1" ht="12" customHeight="1" thickBot="1" x14ac:dyDescent="0.25">
      <c r="A77" s="11" t="s">
        <v>128</v>
      </c>
      <c r="B77" s="194" t="s">
        <v>262</v>
      </c>
      <c r="C77" s="478">
        <f t="shared" si="3"/>
        <v>0</v>
      </c>
      <c r="D77" s="267"/>
      <c r="E77" s="121"/>
      <c r="F77" s="121"/>
      <c r="H77" s="384">
        <f>'1.2.sz.mell. '!C77+'1.3.sz.mell.'!C77+'1.4.sz.mell. '!C77+'1.5.sz.mell.'!C77</f>
        <v>0</v>
      </c>
      <c r="I77" s="386">
        <f t="shared" ref="I77:I95" si="4">C77-H77</f>
        <v>0</v>
      </c>
    </row>
    <row r="78" spans="1:9" s="192" customFormat="1" ht="12" customHeight="1" thickBot="1" x14ac:dyDescent="0.25">
      <c r="A78" s="11" t="s">
        <v>287</v>
      </c>
      <c r="B78" s="194" t="s">
        <v>263</v>
      </c>
      <c r="C78" s="478">
        <f t="shared" si="3"/>
        <v>0</v>
      </c>
      <c r="D78" s="267"/>
      <c r="E78" s="121"/>
      <c r="F78" s="121"/>
      <c r="H78" s="384">
        <f>'1.2.sz.mell. '!C78+'1.3.sz.mell.'!C78+'1.4.sz.mell. '!C78+'1.5.sz.mell.'!C78</f>
        <v>0</v>
      </c>
      <c r="I78" s="386">
        <f t="shared" si="4"/>
        <v>0</v>
      </c>
    </row>
    <row r="79" spans="1:9" s="192" customFormat="1" ht="12" customHeight="1" thickBot="1" x14ac:dyDescent="0.25">
      <c r="A79" s="13" t="s">
        <v>288</v>
      </c>
      <c r="B79" s="114" t="s">
        <v>264</v>
      </c>
      <c r="C79" s="479">
        <f t="shared" si="3"/>
        <v>0</v>
      </c>
      <c r="D79" s="267"/>
      <c r="E79" s="121"/>
      <c r="F79" s="121"/>
      <c r="H79" s="384">
        <f>'1.2.sz.mell. '!C79+'1.3.sz.mell.'!C79+'1.4.sz.mell. '!C79+'1.5.sz.mell.'!C79</f>
        <v>0</v>
      </c>
      <c r="I79" s="387">
        <f t="shared" si="4"/>
        <v>0</v>
      </c>
    </row>
    <row r="80" spans="1:9" s="192" customFormat="1" ht="12" customHeight="1" thickBot="1" x14ac:dyDescent="0.25">
      <c r="A80" s="253" t="s">
        <v>265</v>
      </c>
      <c r="B80" s="112" t="s">
        <v>266</v>
      </c>
      <c r="C80" s="117">
        <f t="shared" si="3"/>
        <v>964635284</v>
      </c>
      <c r="D80" s="282">
        <f>SUM(D81:D82)</f>
        <v>938240635</v>
      </c>
      <c r="E80" s="117">
        <f>SUM(E81:E82)</f>
        <v>327465</v>
      </c>
      <c r="F80" s="117">
        <f>SUM(F81:F82)</f>
        <v>26067184</v>
      </c>
      <c r="H80" s="384">
        <f>'1.2.sz.mell. '!C80+'1.3.sz.mell.'!C80+'1.4.sz.mell. '!C80+'1.5.sz.mell.'!C80</f>
        <v>964635284</v>
      </c>
      <c r="I80" s="384">
        <f t="shared" si="4"/>
        <v>0</v>
      </c>
    </row>
    <row r="81" spans="1:9" s="192" customFormat="1" ht="12" customHeight="1" thickBot="1" x14ac:dyDescent="0.25">
      <c r="A81" s="12" t="s">
        <v>289</v>
      </c>
      <c r="B81" s="193" t="s">
        <v>267</v>
      </c>
      <c r="C81" s="475">
        <f t="shared" si="3"/>
        <v>964635284</v>
      </c>
      <c r="D81" s="267">
        <f>941573826-3333191</f>
        <v>938240635</v>
      </c>
      <c r="E81" s="121">
        <f>327465</f>
        <v>327465</v>
      </c>
      <c r="F81" s="121">
        <f>20521695+3481566+752726+490516+820681</f>
        <v>26067184</v>
      </c>
      <c r="H81" s="384">
        <f>'1.2.sz.mell. '!C81+'1.3.sz.mell.'!C81+'1.4.sz.mell. '!C81+'1.5.sz.mell.'!C81</f>
        <v>964635284</v>
      </c>
      <c r="I81" s="385">
        <f t="shared" si="4"/>
        <v>0</v>
      </c>
    </row>
    <row r="82" spans="1:9" s="192" customFormat="1" ht="12" customHeight="1" thickBot="1" x14ac:dyDescent="0.25">
      <c r="A82" s="13" t="s">
        <v>290</v>
      </c>
      <c r="B82" s="114" t="s">
        <v>268</v>
      </c>
      <c r="C82" s="479">
        <f t="shared" si="3"/>
        <v>0</v>
      </c>
      <c r="D82" s="267"/>
      <c r="E82" s="121"/>
      <c r="F82" s="121"/>
      <c r="H82" s="384">
        <f>'1.2.sz.mell. '!C82+'1.3.sz.mell.'!C82+'1.4.sz.mell. '!C82+'1.5.sz.mell.'!C82</f>
        <v>0</v>
      </c>
      <c r="I82" s="387">
        <f t="shared" si="4"/>
        <v>0</v>
      </c>
    </row>
    <row r="83" spans="1:9" s="192" customFormat="1" ht="12" customHeight="1" thickBot="1" x14ac:dyDescent="0.25">
      <c r="A83" s="253" t="s">
        <v>269</v>
      </c>
      <c r="B83" s="112" t="s">
        <v>270</v>
      </c>
      <c r="C83" s="117">
        <f t="shared" si="3"/>
        <v>45672254</v>
      </c>
      <c r="D83" s="282">
        <f>SUM(D84:D86)</f>
        <v>45672254</v>
      </c>
      <c r="E83" s="117">
        <f>SUM(E84:E86)</f>
        <v>0</v>
      </c>
      <c r="F83" s="117">
        <f>SUM(F84:F86)</f>
        <v>0</v>
      </c>
      <c r="H83" s="384">
        <f>'1.2.sz.mell. '!C83+'1.3.sz.mell.'!C83+'1.4.sz.mell. '!C83+'1.5.sz.mell.'!C83</f>
        <v>45672254</v>
      </c>
      <c r="I83" s="384">
        <f t="shared" si="4"/>
        <v>0</v>
      </c>
    </row>
    <row r="84" spans="1:9" s="192" customFormat="1" ht="12" customHeight="1" thickBot="1" x14ac:dyDescent="0.25">
      <c r="A84" s="12" t="s">
        <v>291</v>
      </c>
      <c r="B84" s="193" t="s">
        <v>271</v>
      </c>
      <c r="C84" s="475">
        <f t="shared" si="3"/>
        <v>45672254</v>
      </c>
      <c r="D84" s="267">
        <f>45672254</f>
        <v>45672254</v>
      </c>
      <c r="E84" s="121"/>
      <c r="F84" s="121"/>
      <c r="H84" s="384">
        <f>'1.2.sz.mell. '!C84+'1.3.sz.mell.'!C84+'1.4.sz.mell. '!C84+'1.5.sz.mell.'!C84</f>
        <v>45672254</v>
      </c>
      <c r="I84" s="385">
        <f t="shared" si="4"/>
        <v>0</v>
      </c>
    </row>
    <row r="85" spans="1:9" s="192" customFormat="1" ht="12" customHeight="1" thickBot="1" x14ac:dyDescent="0.25">
      <c r="A85" s="11" t="s">
        <v>292</v>
      </c>
      <c r="B85" s="194" t="s">
        <v>272</v>
      </c>
      <c r="C85" s="478">
        <f t="shared" si="3"/>
        <v>0</v>
      </c>
      <c r="D85" s="267"/>
      <c r="E85" s="121"/>
      <c r="F85" s="121"/>
      <c r="H85" s="384">
        <f>'1.2.sz.mell. '!C85+'1.3.sz.mell.'!C85+'1.4.sz.mell. '!C85+'1.5.sz.mell.'!C85</f>
        <v>0</v>
      </c>
      <c r="I85" s="386">
        <f t="shared" si="4"/>
        <v>0</v>
      </c>
    </row>
    <row r="86" spans="1:9" s="192" customFormat="1" ht="12" customHeight="1" thickBot="1" x14ac:dyDescent="0.25">
      <c r="A86" s="13" t="s">
        <v>293</v>
      </c>
      <c r="B86" s="114" t="s">
        <v>273</v>
      </c>
      <c r="C86" s="479">
        <f t="shared" si="3"/>
        <v>0</v>
      </c>
      <c r="D86" s="267"/>
      <c r="E86" s="121"/>
      <c r="F86" s="121"/>
      <c r="H86" s="384">
        <f>'1.2.sz.mell. '!C86+'1.3.sz.mell.'!C86+'1.4.sz.mell. '!C86+'1.5.sz.mell.'!C86</f>
        <v>0</v>
      </c>
      <c r="I86" s="387">
        <f t="shared" si="4"/>
        <v>0</v>
      </c>
    </row>
    <row r="87" spans="1:9" s="192" customFormat="1" ht="12" customHeight="1" thickBot="1" x14ac:dyDescent="0.25">
      <c r="A87" s="253" t="s">
        <v>274</v>
      </c>
      <c r="B87" s="112" t="s">
        <v>294</v>
      </c>
      <c r="C87" s="117">
        <f t="shared" si="3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  <c r="H87" s="384">
        <f>'1.2.sz.mell. '!C87+'1.3.sz.mell.'!C87+'1.4.sz.mell. '!C87+'1.5.sz.mell.'!C87</f>
        <v>0</v>
      </c>
      <c r="I87" s="384">
        <f t="shared" si="4"/>
        <v>0</v>
      </c>
    </row>
    <row r="88" spans="1:9" s="192" customFormat="1" ht="12" customHeight="1" thickBot="1" x14ac:dyDescent="0.25">
      <c r="A88" s="197" t="s">
        <v>275</v>
      </c>
      <c r="B88" s="193" t="s">
        <v>276</v>
      </c>
      <c r="C88" s="477">
        <f t="shared" si="3"/>
        <v>0</v>
      </c>
      <c r="D88" s="267"/>
      <c r="E88" s="121"/>
      <c r="F88" s="121"/>
      <c r="H88" s="384">
        <f>'1.2.sz.mell. '!C88+'1.3.sz.mell.'!C88+'1.4.sz.mell. '!C88+'1.5.sz.mell.'!C88</f>
        <v>0</v>
      </c>
      <c r="I88" s="385">
        <f t="shared" si="4"/>
        <v>0</v>
      </c>
    </row>
    <row r="89" spans="1:9" s="192" customFormat="1" ht="12" customHeight="1" thickBot="1" x14ac:dyDescent="0.25">
      <c r="A89" s="198" t="s">
        <v>277</v>
      </c>
      <c r="B89" s="194" t="s">
        <v>278</v>
      </c>
      <c r="C89" s="478">
        <f t="shared" si="3"/>
        <v>0</v>
      </c>
      <c r="D89" s="267"/>
      <c r="E89" s="121"/>
      <c r="F89" s="121"/>
      <c r="H89" s="384">
        <f>'1.2.sz.mell. '!C89+'1.3.sz.mell.'!C89+'1.4.sz.mell. '!C89+'1.5.sz.mell.'!C89</f>
        <v>0</v>
      </c>
      <c r="I89" s="386">
        <f t="shared" si="4"/>
        <v>0</v>
      </c>
    </row>
    <row r="90" spans="1:9" s="192" customFormat="1" ht="12" customHeight="1" thickBot="1" x14ac:dyDescent="0.25">
      <c r="A90" s="198" t="s">
        <v>279</v>
      </c>
      <c r="B90" s="194" t="s">
        <v>280</v>
      </c>
      <c r="C90" s="478">
        <f t="shared" si="3"/>
        <v>0</v>
      </c>
      <c r="D90" s="267"/>
      <c r="E90" s="121"/>
      <c r="F90" s="121"/>
      <c r="H90" s="384">
        <f>'1.2.sz.mell. '!C90+'1.3.sz.mell.'!C90+'1.4.sz.mell. '!C90+'1.5.sz.mell.'!C90</f>
        <v>0</v>
      </c>
      <c r="I90" s="386">
        <f t="shared" si="4"/>
        <v>0</v>
      </c>
    </row>
    <row r="91" spans="1:9" s="192" customFormat="1" ht="12" customHeight="1" thickBot="1" x14ac:dyDescent="0.25">
      <c r="A91" s="199" t="s">
        <v>281</v>
      </c>
      <c r="B91" s="114" t="s">
        <v>282</v>
      </c>
      <c r="C91" s="479">
        <f t="shared" si="3"/>
        <v>0</v>
      </c>
      <c r="D91" s="267"/>
      <c r="E91" s="121"/>
      <c r="F91" s="121"/>
      <c r="H91" s="384">
        <f>'1.2.sz.mell. '!C91+'1.3.sz.mell.'!C91+'1.4.sz.mell. '!C91+'1.5.sz.mell.'!C91</f>
        <v>0</v>
      </c>
      <c r="I91" s="387">
        <f t="shared" si="4"/>
        <v>0</v>
      </c>
    </row>
    <row r="92" spans="1:9" s="192" customFormat="1" ht="12" customHeight="1" thickBot="1" x14ac:dyDescent="0.25">
      <c r="A92" s="253" t="s">
        <v>283</v>
      </c>
      <c r="B92" s="112" t="s">
        <v>457</v>
      </c>
      <c r="C92" s="117">
        <f t="shared" si="3"/>
        <v>0</v>
      </c>
      <c r="D92" s="287"/>
      <c r="E92" s="232"/>
      <c r="F92" s="232"/>
      <c r="H92" s="384">
        <f>'1.2.sz.mell. '!C92+'1.3.sz.mell.'!C92+'1.4.sz.mell. '!C92+'1.5.sz.mell.'!C92</f>
        <v>0</v>
      </c>
      <c r="I92" s="384">
        <f t="shared" si="4"/>
        <v>0</v>
      </c>
    </row>
    <row r="93" spans="1:9" s="192" customFormat="1" ht="13.5" customHeight="1" thickBot="1" x14ac:dyDescent="0.25">
      <c r="A93" s="253" t="s">
        <v>285</v>
      </c>
      <c r="B93" s="112" t="s">
        <v>284</v>
      </c>
      <c r="C93" s="117">
        <f t="shared" si="3"/>
        <v>0</v>
      </c>
      <c r="D93" s="287"/>
      <c r="E93" s="232"/>
      <c r="F93" s="232"/>
      <c r="H93" s="384">
        <f>'1.2.sz.mell. '!C93+'1.3.sz.mell.'!C93+'1.4.sz.mell. '!C93+'1.5.sz.mell.'!C93</f>
        <v>0</v>
      </c>
      <c r="I93" s="384">
        <f t="shared" si="4"/>
        <v>0</v>
      </c>
    </row>
    <row r="94" spans="1:9" s="192" customFormat="1" ht="15.75" customHeight="1" thickBot="1" x14ac:dyDescent="0.25">
      <c r="A94" s="253" t="s">
        <v>297</v>
      </c>
      <c r="B94" s="200" t="s">
        <v>458</v>
      </c>
      <c r="C94" s="117">
        <f t="shared" si="3"/>
        <v>1743878152</v>
      </c>
      <c r="D94" s="285">
        <f>+D71+D75+D80+D83+D87+D93+D92</f>
        <v>1717483503</v>
      </c>
      <c r="E94" s="122">
        <f>+E71+E75+E80+E83+E87+E93+E92</f>
        <v>327465</v>
      </c>
      <c r="F94" s="122">
        <f>+F71+F75+F80+F83+F87+F93+F92</f>
        <v>26067184</v>
      </c>
      <c r="H94" s="384">
        <f>'1.2.sz.mell. '!C94+'1.3.sz.mell.'!C94+'1.4.sz.mell. '!C94+'1.5.sz.mell.'!C94</f>
        <v>1743878152</v>
      </c>
      <c r="I94" s="384">
        <f t="shared" si="4"/>
        <v>0</v>
      </c>
    </row>
    <row r="95" spans="1:9" s="192" customFormat="1" ht="16.5" customHeight="1" thickBot="1" x14ac:dyDescent="0.25">
      <c r="A95" s="255" t="s">
        <v>459</v>
      </c>
      <c r="B95" s="201" t="s">
        <v>460</v>
      </c>
      <c r="C95" s="117">
        <f t="shared" si="3"/>
        <v>4520563523</v>
      </c>
      <c r="D95" s="285">
        <f>+D70+D94</f>
        <v>4084675285</v>
      </c>
      <c r="E95" s="122">
        <f>+E70+E94</f>
        <v>10810079</v>
      </c>
      <c r="F95" s="122">
        <f>+F70+F94</f>
        <v>425078159</v>
      </c>
      <c r="H95" s="384">
        <f>'1.2.sz.mell. '!C95+'1.3.sz.mell.'!C95+'1.4.sz.mell. '!C95+'1.5.sz.mell.'!C95</f>
        <v>4520563523</v>
      </c>
      <c r="I95" s="384">
        <f t="shared" si="4"/>
        <v>0</v>
      </c>
    </row>
    <row r="96" spans="1:9" s="192" customFormat="1" ht="54" customHeight="1" thickBot="1" x14ac:dyDescent="0.25">
      <c r="A96" s="2"/>
      <c r="B96" s="3"/>
      <c r="C96" s="123"/>
      <c r="H96" s="384">
        <f>'1.2.sz.mell. '!C96+'1.3.sz.mell.'!C96+'1.4.sz.mell. '!C96+'1.5.sz.mell.'!C96</f>
        <v>0</v>
      </c>
      <c r="I96" s="382"/>
    </row>
    <row r="97" spans="1:9" ht="16.5" customHeight="1" thickBot="1" x14ac:dyDescent="0.3">
      <c r="A97" s="1445" t="s">
        <v>49</v>
      </c>
      <c r="B97" s="1445"/>
      <c r="C97" s="1445"/>
      <c r="D97" s="673"/>
      <c r="H97" s="384">
        <f>'1.2.sz.mell. '!C97+'1.3.sz.mell.'!C97+'1.4.sz.mell. '!C97+'1.5.sz.mell.'!C97</f>
        <v>0</v>
      </c>
      <c r="I97" s="382"/>
    </row>
    <row r="98" spans="1:9" s="591" customFormat="1" ht="16.5" customHeight="1" thickBot="1" x14ac:dyDescent="0.3">
      <c r="A98" s="1446" t="s">
        <v>130</v>
      </c>
      <c r="B98" s="1446"/>
      <c r="C98" s="59" t="s">
        <v>555</v>
      </c>
      <c r="H98" s="384" t="e">
        <f>'1.2.sz.mell. '!C98+'1.3.sz.mell.'!C98+'1.4.sz.mell. '!C98+'1.5.sz.mell.'!C98</f>
        <v>#VALUE!</v>
      </c>
      <c r="I98" s="382"/>
    </row>
    <row r="99" spans="1:9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  <c r="D99" s="179" t="s">
        <v>561</v>
      </c>
      <c r="E99" s="179" t="s">
        <v>562</v>
      </c>
      <c r="F99" s="179" t="s">
        <v>563</v>
      </c>
      <c r="H99" s="384" t="e">
        <f>'1.2.sz.mell. '!C99+'1.3.sz.mell.'!C99+'1.4.sz.mell. '!C99+'1.5.sz.mell.'!C99</f>
        <v>#VALUE!</v>
      </c>
      <c r="I99" s="382"/>
    </row>
    <row r="100" spans="1:9" s="191" customFormat="1" ht="12" customHeight="1" thickBot="1" x14ac:dyDescent="0.25">
      <c r="A100" s="25" t="s">
        <v>447</v>
      </c>
      <c r="B100" s="26" t="s">
        <v>448</v>
      </c>
      <c r="C100" s="187" t="s">
        <v>449</v>
      </c>
      <c r="H100" s="384" t="e">
        <f>'1.2.sz.mell. '!C100+'1.3.sz.mell.'!C100+'1.4.sz.mell. '!C100+'1.5.sz.mell.'!C100</f>
        <v>#VALUE!</v>
      </c>
      <c r="I100" s="382"/>
    </row>
    <row r="101" spans="1:9" ht="12" customHeight="1" thickBot="1" x14ac:dyDescent="0.3">
      <c r="A101" s="19" t="s">
        <v>21</v>
      </c>
      <c r="B101" s="23" t="s">
        <v>498</v>
      </c>
      <c r="C101" s="311">
        <f t="shared" ref="C101:C162" si="5">SUM(D101:F101)</f>
        <v>2799568746</v>
      </c>
      <c r="D101" s="290">
        <f>+D102+D103+D104+D105+D106+D119</f>
        <v>865455189</v>
      </c>
      <c r="E101" s="116">
        <f>+E102+E103+E104+E105+E106+E119</f>
        <v>238584857</v>
      </c>
      <c r="F101" s="295">
        <f>F102+F103+F104+F105+F106+F119</f>
        <v>1695528700</v>
      </c>
      <c r="H101" s="384">
        <f>'1.2.sz.mell. '!C101+'1.3.sz.mell.'!C101+'1.4.sz.mell. '!C101+'1.5.sz.mell.'!C101</f>
        <v>2799568746</v>
      </c>
      <c r="I101" s="384">
        <f t="shared" ref="I101:I162" si="6">C101-H101</f>
        <v>0</v>
      </c>
    </row>
    <row r="102" spans="1:9" ht="12" customHeight="1" thickBot="1" x14ac:dyDescent="0.3">
      <c r="A102" s="14" t="s">
        <v>100</v>
      </c>
      <c r="B102" s="7" t="s">
        <v>51</v>
      </c>
      <c r="C102" s="1141">
        <f t="shared" si="5"/>
        <v>1218059814</v>
      </c>
      <c r="D102" s="300">
        <f>58286055-89237+1931315-1861930+14491229+483000-2941921</f>
        <v>70298511</v>
      </c>
      <c r="E102" s="275">
        <v>164405869</v>
      </c>
      <c r="F102" s="275">
        <f>559242888+69090783+200165718+55350452+71236352+28269241</f>
        <v>983355434</v>
      </c>
      <c r="H102" s="384">
        <f>'1.2.sz.mell. '!C102+'1.3.sz.mell.'!C102+'1.4.sz.mell. '!C102+'1.5.sz.mell.'!C102</f>
        <v>1218059814</v>
      </c>
      <c r="I102" s="385">
        <f t="shared" si="6"/>
        <v>0</v>
      </c>
    </row>
    <row r="103" spans="1:9" ht="12" customHeight="1" thickBot="1" x14ac:dyDescent="0.3">
      <c r="A103" s="11" t="s">
        <v>101</v>
      </c>
      <c r="B103" s="5" t="s">
        <v>149</v>
      </c>
      <c r="C103" s="1141">
        <f t="shared" si="5"/>
        <v>228887290</v>
      </c>
      <c r="D103" s="267">
        <f>10325339-97868+389279+42840+1430690+74865-2007052</f>
        <v>10158093</v>
      </c>
      <c r="E103" s="121">
        <v>32731163</v>
      </c>
      <c r="F103" s="121">
        <f>105298280+12885750+40236890+9898597+12731399+4947118</f>
        <v>185998034</v>
      </c>
      <c r="H103" s="384">
        <f>'1.2.sz.mell. '!C103+'1.3.sz.mell.'!C103+'1.4.sz.mell. '!C103+'1.5.sz.mell.'!C103</f>
        <v>228887290</v>
      </c>
      <c r="I103" s="386">
        <f t="shared" si="6"/>
        <v>0</v>
      </c>
    </row>
    <row r="104" spans="1:9" ht="12" customHeight="1" thickBot="1" x14ac:dyDescent="0.3">
      <c r="A104" s="11" t="s">
        <v>102</v>
      </c>
      <c r="B104" s="5" t="s">
        <v>125</v>
      </c>
      <c r="C104" s="1141">
        <f>SUM(D104:F104)</f>
        <v>922434867</v>
      </c>
      <c r="D104" s="271">
        <f>370342378+308-649147+854937+18509-31253130+488+20617402+32000-5149435</f>
        <v>354814310</v>
      </c>
      <c r="E104" s="182">
        <v>41447825</v>
      </c>
      <c r="F104" s="121">
        <f>211087063+155755158+92726933+50681034+15922544</f>
        <v>526172732</v>
      </c>
      <c r="H104" s="384">
        <f>'1.2.sz.mell. '!C104+'1.3.sz.mell.'!C104+'1.4.sz.mell. '!C104+'1.5.sz.mell.'!C104</f>
        <v>922434867</v>
      </c>
      <c r="I104" s="386">
        <f t="shared" si="6"/>
        <v>0</v>
      </c>
    </row>
    <row r="105" spans="1:9" ht="12" customHeight="1" thickBot="1" x14ac:dyDescent="0.3">
      <c r="A105" s="11" t="s">
        <v>103</v>
      </c>
      <c r="B105" s="5" t="s">
        <v>150</v>
      </c>
      <c r="C105" s="430">
        <f t="shared" ref="C105:C121" si="7">SUM(D105:F105)</f>
        <v>61300000</v>
      </c>
      <c r="D105" s="271">
        <v>61300000</v>
      </c>
      <c r="E105" s="182"/>
      <c r="F105" s="182"/>
      <c r="H105" s="384">
        <f>'1.2.sz.mell. '!C105+'1.3.sz.mell.'!C105+'1.4.sz.mell. '!C105+'1.5.sz.mell.'!C105</f>
        <v>61300000</v>
      </c>
      <c r="I105" s="386">
        <f t="shared" si="6"/>
        <v>0</v>
      </c>
    </row>
    <row r="106" spans="1:9" ht="12" customHeight="1" thickBot="1" x14ac:dyDescent="0.3">
      <c r="A106" s="11" t="s">
        <v>114</v>
      </c>
      <c r="B106" s="4" t="s">
        <v>151</v>
      </c>
      <c r="C106" s="430">
        <f t="shared" si="7"/>
        <v>214672293</v>
      </c>
      <c r="D106" s="271">
        <f>SUM(D107:D118)</f>
        <v>214669793</v>
      </c>
      <c r="E106" s="271">
        <f>SUM(E107:E118)</f>
        <v>0</v>
      </c>
      <c r="F106" s="271">
        <f>SUM(F107:F118)</f>
        <v>2500</v>
      </c>
      <c r="H106" s="384">
        <f>'1.2.sz.mell. '!C106+'1.3.sz.mell.'!C106+'1.4.sz.mell. '!C106+'1.5.sz.mell.'!C106</f>
        <v>214672293</v>
      </c>
      <c r="I106" s="386">
        <f t="shared" si="6"/>
        <v>0</v>
      </c>
    </row>
    <row r="107" spans="1:9" ht="12" customHeight="1" thickBot="1" x14ac:dyDescent="0.3">
      <c r="A107" s="11" t="s">
        <v>104</v>
      </c>
      <c r="B107" s="5" t="s">
        <v>461</v>
      </c>
      <c r="C107" s="430">
        <f t="shared" si="7"/>
        <v>794676</v>
      </c>
      <c r="D107" s="271">
        <v>792176</v>
      </c>
      <c r="E107" s="182"/>
      <c r="F107" s="182">
        <v>2500</v>
      </c>
      <c r="H107" s="384">
        <f>'1.2.sz.mell. '!C107+'1.3.sz.mell.'!C107+'1.4.sz.mell. '!C107+'1.5.sz.mell.'!C107</f>
        <v>794676</v>
      </c>
      <c r="I107" s="386">
        <f t="shared" si="6"/>
        <v>0</v>
      </c>
    </row>
    <row r="108" spans="1:9" ht="12" customHeight="1" thickBot="1" x14ac:dyDescent="0.3">
      <c r="A108" s="11" t="s">
        <v>105</v>
      </c>
      <c r="B108" s="63" t="s">
        <v>462</v>
      </c>
      <c r="C108" s="430">
        <f t="shared" si="7"/>
        <v>0</v>
      </c>
      <c r="D108" s="271"/>
      <c r="E108" s="182"/>
      <c r="F108" s="182"/>
      <c r="H108" s="384">
        <f>'1.2.sz.mell. '!C108+'1.3.sz.mell.'!C108+'1.4.sz.mell. '!C108+'1.5.sz.mell.'!C108</f>
        <v>0</v>
      </c>
      <c r="I108" s="386">
        <f t="shared" si="6"/>
        <v>0</v>
      </c>
    </row>
    <row r="109" spans="1:9" ht="12" customHeight="1" thickBot="1" x14ac:dyDescent="0.3">
      <c r="A109" s="11" t="s">
        <v>115</v>
      </c>
      <c r="B109" s="63" t="s">
        <v>463</v>
      </c>
      <c r="C109" s="430">
        <f t="shared" si="7"/>
        <v>0</v>
      </c>
      <c r="D109" s="271"/>
      <c r="E109" s="182"/>
      <c r="F109" s="182"/>
      <c r="H109" s="384">
        <f>'1.2.sz.mell. '!C109+'1.3.sz.mell.'!C109+'1.4.sz.mell. '!C109+'1.5.sz.mell.'!C109</f>
        <v>0</v>
      </c>
      <c r="I109" s="386">
        <f t="shared" si="6"/>
        <v>0</v>
      </c>
    </row>
    <row r="110" spans="1:9" ht="12" customHeight="1" thickBot="1" x14ac:dyDescent="0.3">
      <c r="A110" s="11" t="s">
        <v>116</v>
      </c>
      <c r="B110" s="61" t="s">
        <v>300</v>
      </c>
      <c r="C110" s="430">
        <f t="shared" si="7"/>
        <v>0</v>
      </c>
      <c r="D110" s="271"/>
      <c r="E110" s="182"/>
      <c r="F110" s="182"/>
      <c r="H110" s="384">
        <f>'1.2.sz.mell. '!C110+'1.3.sz.mell.'!C110+'1.4.sz.mell. '!C110+'1.5.sz.mell.'!C110</f>
        <v>0</v>
      </c>
      <c r="I110" s="386">
        <f t="shared" si="6"/>
        <v>0</v>
      </c>
    </row>
    <row r="111" spans="1:9" ht="12" customHeight="1" thickBot="1" x14ac:dyDescent="0.3">
      <c r="A111" s="11" t="s">
        <v>117</v>
      </c>
      <c r="B111" s="62" t="s">
        <v>301</v>
      </c>
      <c r="C111" s="430">
        <f t="shared" si="7"/>
        <v>0</v>
      </c>
      <c r="D111" s="271"/>
      <c r="E111" s="182"/>
      <c r="F111" s="182"/>
      <c r="H111" s="384">
        <f>'1.2.sz.mell. '!C111+'1.3.sz.mell.'!C111+'1.4.sz.mell. '!C111+'1.5.sz.mell.'!C111</f>
        <v>0</v>
      </c>
      <c r="I111" s="386">
        <f t="shared" si="6"/>
        <v>0</v>
      </c>
    </row>
    <row r="112" spans="1:9" ht="12" customHeight="1" thickBot="1" x14ac:dyDescent="0.3">
      <c r="A112" s="11" t="s">
        <v>118</v>
      </c>
      <c r="B112" s="62" t="s">
        <v>302</v>
      </c>
      <c r="C112" s="430">
        <f t="shared" si="7"/>
        <v>0</v>
      </c>
      <c r="D112" s="271"/>
      <c r="E112" s="182"/>
      <c r="F112" s="182"/>
      <c r="H112" s="384">
        <f>'1.2.sz.mell. '!C112+'1.3.sz.mell.'!C112+'1.4.sz.mell. '!C112+'1.5.sz.mell.'!C112</f>
        <v>0</v>
      </c>
      <c r="I112" s="386">
        <f t="shared" si="6"/>
        <v>0</v>
      </c>
    </row>
    <row r="113" spans="1:11" ht="12" customHeight="1" thickBot="1" x14ac:dyDescent="0.3">
      <c r="A113" s="11" t="s">
        <v>120</v>
      </c>
      <c r="B113" s="61" t="s">
        <v>303</v>
      </c>
      <c r="C113" s="430">
        <f t="shared" si="7"/>
        <v>1461000</v>
      </c>
      <c r="D113" s="271">
        <f>526000+935000</f>
        <v>1461000</v>
      </c>
      <c r="E113" s="182"/>
      <c r="F113" s="182"/>
      <c r="H113" s="384">
        <f>'1.2.sz.mell. '!C113+'1.3.sz.mell.'!C113+'1.4.sz.mell. '!C113+'1.5.sz.mell.'!C113</f>
        <v>1461000</v>
      </c>
      <c r="I113" s="386">
        <f t="shared" si="6"/>
        <v>0</v>
      </c>
    </row>
    <row r="114" spans="1:11" ht="12" customHeight="1" thickBot="1" x14ac:dyDescent="0.3">
      <c r="A114" s="11" t="s">
        <v>152</v>
      </c>
      <c r="B114" s="61" t="s">
        <v>304</v>
      </c>
      <c r="C114" s="430">
        <f t="shared" si="7"/>
        <v>0</v>
      </c>
      <c r="D114" s="271"/>
      <c r="E114" s="182"/>
      <c r="F114" s="182"/>
      <c r="H114" s="384">
        <f>'1.2.sz.mell. '!C114+'1.3.sz.mell.'!C114+'1.4.sz.mell. '!C114+'1.5.sz.mell.'!C114</f>
        <v>0</v>
      </c>
      <c r="I114" s="386">
        <f t="shared" si="6"/>
        <v>0</v>
      </c>
    </row>
    <row r="115" spans="1:11" ht="12" customHeight="1" thickBot="1" x14ac:dyDescent="0.3">
      <c r="A115" s="11" t="s">
        <v>298</v>
      </c>
      <c r="B115" s="62" t="s">
        <v>305</v>
      </c>
      <c r="C115" s="430">
        <f t="shared" si="7"/>
        <v>0</v>
      </c>
      <c r="D115" s="271"/>
      <c r="E115" s="182"/>
      <c r="F115" s="182"/>
      <c r="H115" s="384">
        <f>'1.2.sz.mell. '!C115+'1.3.sz.mell.'!C115+'1.4.sz.mell. '!C115+'1.5.sz.mell.'!C115</f>
        <v>0</v>
      </c>
      <c r="I115" s="386">
        <f t="shared" si="6"/>
        <v>0</v>
      </c>
    </row>
    <row r="116" spans="1:11" ht="12" customHeight="1" thickBot="1" x14ac:dyDescent="0.3">
      <c r="A116" s="10" t="s">
        <v>299</v>
      </c>
      <c r="B116" s="63" t="s">
        <v>306</v>
      </c>
      <c r="C116" s="430">
        <f t="shared" si="7"/>
        <v>0</v>
      </c>
      <c r="D116" s="271"/>
      <c r="E116" s="182"/>
      <c r="F116" s="182"/>
      <c r="H116" s="384">
        <f>'1.2.sz.mell. '!C116+'1.3.sz.mell.'!C116+'1.4.sz.mell. '!C116+'1.5.sz.mell.'!C116</f>
        <v>0</v>
      </c>
      <c r="I116" s="386">
        <f t="shared" si="6"/>
        <v>0</v>
      </c>
    </row>
    <row r="117" spans="1:11" ht="12" customHeight="1" thickBot="1" x14ac:dyDescent="0.3">
      <c r="A117" s="11" t="s">
        <v>464</v>
      </c>
      <c r="B117" s="63" t="s">
        <v>307</v>
      </c>
      <c r="C117" s="430">
        <f t="shared" si="7"/>
        <v>0</v>
      </c>
      <c r="D117" s="271"/>
      <c r="E117" s="182"/>
      <c r="F117" s="182"/>
      <c r="H117" s="384">
        <f>'1.2.sz.mell. '!C117+'1.3.sz.mell.'!C117+'1.4.sz.mell. '!C117+'1.5.sz.mell.'!C117</f>
        <v>0</v>
      </c>
      <c r="I117" s="386">
        <f t="shared" si="6"/>
        <v>0</v>
      </c>
    </row>
    <row r="118" spans="1:11" ht="12" customHeight="1" thickBot="1" x14ac:dyDescent="0.3">
      <c r="A118" s="13" t="s">
        <v>465</v>
      </c>
      <c r="B118" s="63" t="s">
        <v>308</v>
      </c>
      <c r="C118" s="430">
        <f t="shared" si="7"/>
        <v>212416617</v>
      </c>
      <c r="D118" s="267">
        <f>209809461-3+1620969+986190</f>
        <v>212416617</v>
      </c>
      <c r="E118" s="121"/>
      <c r="F118" s="182"/>
      <c r="H118" s="384">
        <f>'1.2.sz.mell. '!C118+'1.3.sz.mell.'!C118+'1.4.sz.mell. '!C118+'1.5.sz.mell.'!C118</f>
        <v>212416617</v>
      </c>
      <c r="I118" s="386">
        <f t="shared" si="6"/>
        <v>0</v>
      </c>
    </row>
    <row r="119" spans="1:11" ht="12" customHeight="1" thickBot="1" x14ac:dyDescent="0.3">
      <c r="A119" s="11" t="s">
        <v>466</v>
      </c>
      <c r="B119" s="5" t="s">
        <v>52</v>
      </c>
      <c r="C119" s="430">
        <f t="shared" si="7"/>
        <v>154214482</v>
      </c>
      <c r="D119" s="267">
        <f>SUM(D120:D121)</f>
        <v>154214482</v>
      </c>
      <c r="E119" s="267">
        <f>SUM(E120:E121)</f>
        <v>0</v>
      </c>
      <c r="F119" s="267">
        <f>SUM(F120:F121)</f>
        <v>0</v>
      </c>
      <c r="H119" s="384">
        <f>'1.2.sz.mell. '!C119+'1.3.sz.mell.'!C119+'1.4.sz.mell. '!C119+'1.5.sz.mell.'!C119</f>
        <v>154214482</v>
      </c>
      <c r="I119" s="386">
        <f t="shared" si="6"/>
        <v>0</v>
      </c>
    </row>
    <row r="120" spans="1:11" ht="12" customHeight="1" thickBot="1" x14ac:dyDescent="0.3">
      <c r="A120" s="11" t="s">
        <v>467</v>
      </c>
      <c r="B120" s="5" t="s">
        <v>468</v>
      </c>
      <c r="C120" s="1141">
        <f t="shared" si="7"/>
        <v>47256369</v>
      </c>
      <c r="D120" s="271">
        <f>20000000+10207308-13229384-322815+29863551-32000+769709</f>
        <v>47256369</v>
      </c>
      <c r="E120" s="182"/>
      <c r="F120" s="121"/>
      <c r="H120" s="384">
        <f>'1.2.sz.mell. '!C120+'1.3.sz.mell.'!C120+'1.4.sz.mell. '!C120+'1.5.sz.mell.'!C120</f>
        <v>47256369</v>
      </c>
      <c r="I120" s="386">
        <f t="shared" si="6"/>
        <v>0</v>
      </c>
    </row>
    <row r="121" spans="1:11" ht="12" customHeight="1" thickBot="1" x14ac:dyDescent="0.3">
      <c r="A121" s="15" t="s">
        <v>469</v>
      </c>
      <c r="B121" s="256" t="s">
        <v>470</v>
      </c>
      <c r="C121" s="1141">
        <f t="shared" si="7"/>
        <v>106958113</v>
      </c>
      <c r="D121" s="301">
        <f>113540838-300000-1722008-810685-253737-15000000+11503705</f>
        <v>106958113</v>
      </c>
      <c r="E121" s="280"/>
      <c r="F121" s="280"/>
      <c r="H121" s="384">
        <f>'1.2.sz.mell. '!C121+'1.3.sz.mell.'!C121+'1.4.sz.mell. '!C121+'1.5.sz.mell.'!C121</f>
        <v>106958113</v>
      </c>
      <c r="I121" s="387">
        <f t="shared" si="6"/>
        <v>0</v>
      </c>
    </row>
    <row r="122" spans="1:11" ht="12" customHeight="1" thickBot="1" x14ac:dyDescent="0.3">
      <c r="A122" s="257" t="s">
        <v>22</v>
      </c>
      <c r="B122" s="432" t="s">
        <v>309</v>
      </c>
      <c r="C122" s="435">
        <f t="shared" si="5"/>
        <v>949284089</v>
      </c>
      <c r="D122" s="282">
        <f>+D123+D125+D127</f>
        <v>919552683</v>
      </c>
      <c r="E122" s="117">
        <f>+E123+E125+E127</f>
        <v>5047400</v>
      </c>
      <c r="F122" s="259">
        <f>+F123+F125+F127</f>
        <v>24684006</v>
      </c>
      <c r="H122" s="384">
        <f>'1.2.sz.mell. '!C122+'1.3.sz.mell.'!C122+'1.4.sz.mell. '!C122+'1.5.sz.mell.'!C122</f>
        <v>949284089</v>
      </c>
      <c r="I122" s="384">
        <f t="shared" si="6"/>
        <v>0</v>
      </c>
    </row>
    <row r="123" spans="1:11" ht="15" customHeight="1" thickBot="1" x14ac:dyDescent="0.3">
      <c r="A123" s="12" t="s">
        <v>106</v>
      </c>
      <c r="B123" s="5" t="s">
        <v>173</v>
      </c>
      <c r="C123" s="1141">
        <f t="shared" si="5"/>
        <v>675635643</v>
      </c>
      <c r="D123" s="286">
        <f>654610183+580+530-539760-98930-2000000+109147+6000000+1901312-488+3102460-15870867</f>
        <v>647214167</v>
      </c>
      <c r="E123" s="231">
        <v>5047400</v>
      </c>
      <c r="F123" s="231">
        <f>18023451+2527155+1500000+712620+610850</f>
        <v>23374076</v>
      </c>
      <c r="H123" s="384">
        <f>'1.2.sz.mell. '!C123+'1.3.sz.mell.'!C123+'1.4.sz.mell. '!C123+'1.5.sz.mell.'!C123</f>
        <v>675635643</v>
      </c>
      <c r="I123" s="385">
        <f t="shared" si="6"/>
        <v>0</v>
      </c>
      <c r="K123" s="1380"/>
    </row>
    <row r="124" spans="1:11" ht="12" customHeight="1" thickBot="1" x14ac:dyDescent="0.3">
      <c r="A124" s="12" t="s">
        <v>107</v>
      </c>
      <c r="B124" s="9" t="s">
        <v>313</v>
      </c>
      <c r="C124" s="1141">
        <f t="shared" si="5"/>
        <v>579035813</v>
      </c>
      <c r="D124" s="286">
        <f>31657596+61528400+19658504+13625846+9456548+14205118+15000000+675000+329670+4957172+59144+2074800+560196+16680000+320746696+1060000+4926102+81921456+4258963+1149920+544803+147097+580+530-539760-98930-30209788+6000000-2432050</f>
        <v>577943613</v>
      </c>
      <c r="E124" s="231"/>
      <c r="F124" s="231">
        <f>1092200</f>
        <v>1092200</v>
      </c>
      <c r="H124" s="384">
        <f>'1.2.sz.mell. '!C124+'1.3.sz.mell.'!C124+'1.4.sz.mell. '!C124+'1.5.sz.mell.'!C124</f>
        <v>579035813</v>
      </c>
      <c r="I124" s="386">
        <f t="shared" si="6"/>
        <v>0</v>
      </c>
    </row>
    <row r="125" spans="1:11" ht="12" customHeight="1" thickBot="1" x14ac:dyDescent="0.3">
      <c r="A125" s="12" t="s">
        <v>108</v>
      </c>
      <c r="B125" s="9" t="s">
        <v>153</v>
      </c>
      <c r="C125" s="430">
        <f t="shared" si="5"/>
        <v>266769726</v>
      </c>
      <c r="D125" s="267">
        <f>262142296-949999-256501+677185+322815+3524000</f>
        <v>265459796</v>
      </c>
      <c r="E125" s="121"/>
      <c r="F125" s="121">
        <f>600000+709930</f>
        <v>1309930</v>
      </c>
      <c r="H125" s="384">
        <f>'1.2.sz.mell. '!C125+'1.3.sz.mell.'!C125+'1.4.sz.mell. '!C125+'1.5.sz.mell.'!C125</f>
        <v>266769726</v>
      </c>
      <c r="I125" s="386">
        <f t="shared" si="6"/>
        <v>0</v>
      </c>
    </row>
    <row r="126" spans="1:11" ht="12" customHeight="1" thickBot="1" x14ac:dyDescent="0.3">
      <c r="A126" s="12" t="s">
        <v>109</v>
      </c>
      <c r="B126" s="9" t="s">
        <v>314</v>
      </c>
      <c r="C126" s="430">
        <f t="shared" si="5"/>
        <v>92353398</v>
      </c>
      <c r="D126" s="267">
        <f>63080502+17031736+10588708+2858952-949999-256501</f>
        <v>92353398</v>
      </c>
      <c r="E126" s="590"/>
      <c r="F126" s="267"/>
      <c r="H126" s="384">
        <f>'1.2.sz.mell. '!C126+'1.3.sz.mell.'!C126+'1.4.sz.mell. '!C126+'1.5.sz.mell.'!C126</f>
        <v>92353398</v>
      </c>
      <c r="I126" s="386">
        <f t="shared" si="6"/>
        <v>0</v>
      </c>
    </row>
    <row r="127" spans="1:11" ht="12" customHeight="1" thickBot="1" x14ac:dyDescent="0.3">
      <c r="A127" s="12" t="s">
        <v>110</v>
      </c>
      <c r="B127" s="114" t="s">
        <v>175</v>
      </c>
      <c r="C127" s="1141">
        <f t="shared" si="5"/>
        <v>6878720</v>
      </c>
      <c r="D127" s="267">
        <f>SUM(D128:D135)</f>
        <v>6878720</v>
      </c>
      <c r="E127" s="267">
        <f>SUM(E128:E135)</f>
        <v>0</v>
      </c>
      <c r="F127" s="267">
        <f>SUM(F128:F135)</f>
        <v>0</v>
      </c>
      <c r="H127" s="384">
        <f>'1.2.sz.mell. '!C127+'1.3.sz.mell.'!C127+'1.4.sz.mell. '!C127+'1.5.sz.mell.'!C127</f>
        <v>6878720</v>
      </c>
      <c r="I127" s="386">
        <f t="shared" si="6"/>
        <v>0</v>
      </c>
    </row>
    <row r="128" spans="1:11" ht="12" customHeight="1" thickBot="1" x14ac:dyDescent="0.3">
      <c r="A128" s="12" t="s">
        <v>119</v>
      </c>
      <c r="B128" s="113" t="s">
        <v>376</v>
      </c>
      <c r="C128" s="430">
        <f t="shared" si="5"/>
        <v>0</v>
      </c>
      <c r="D128" s="106"/>
      <c r="E128" s="106"/>
      <c r="F128" s="267"/>
      <c r="H128" s="384">
        <f>'1.2.sz.mell. '!C128+'1.3.sz.mell.'!C128+'1.4.sz.mell. '!C128+'1.5.sz.mell.'!C128</f>
        <v>0</v>
      </c>
      <c r="I128" s="386">
        <f t="shared" si="6"/>
        <v>0</v>
      </c>
    </row>
    <row r="129" spans="1:9" ht="12" customHeight="1" thickBot="1" x14ac:dyDescent="0.3">
      <c r="A129" s="12" t="s">
        <v>121</v>
      </c>
      <c r="B129" s="189" t="s">
        <v>319</v>
      </c>
      <c r="C129" s="430">
        <f t="shared" si="5"/>
        <v>0</v>
      </c>
      <c r="D129" s="106"/>
      <c r="E129" s="106"/>
      <c r="F129" s="267"/>
      <c r="H129" s="384">
        <f>'1.2.sz.mell. '!C129+'1.3.sz.mell.'!C129+'1.4.sz.mell. '!C129+'1.5.sz.mell.'!C129</f>
        <v>0</v>
      </c>
      <c r="I129" s="386">
        <f t="shared" si="6"/>
        <v>0</v>
      </c>
    </row>
    <row r="130" spans="1:9" ht="16.5" thickBot="1" x14ac:dyDescent="0.3">
      <c r="A130" s="12" t="s">
        <v>154</v>
      </c>
      <c r="B130" s="62" t="s">
        <v>302</v>
      </c>
      <c r="C130" s="430">
        <f t="shared" si="5"/>
        <v>0</v>
      </c>
      <c r="D130" s="106"/>
      <c r="E130" s="106"/>
      <c r="F130" s="267"/>
      <c r="H130" s="384">
        <f>'1.2.sz.mell. '!C130+'1.3.sz.mell.'!C130+'1.4.sz.mell. '!C130+'1.5.sz.mell.'!C130</f>
        <v>0</v>
      </c>
      <c r="I130" s="386">
        <f t="shared" si="6"/>
        <v>0</v>
      </c>
    </row>
    <row r="131" spans="1:9" ht="12" customHeight="1" thickBot="1" x14ac:dyDescent="0.3">
      <c r="A131" s="12" t="s">
        <v>155</v>
      </c>
      <c r="B131" s="62" t="s">
        <v>318</v>
      </c>
      <c r="C131" s="430">
        <f t="shared" si="5"/>
        <v>0</v>
      </c>
      <c r="D131" s="106"/>
      <c r="E131" s="106"/>
      <c r="F131" s="267"/>
      <c r="H131" s="384">
        <f>'1.2.sz.mell. '!C131+'1.3.sz.mell.'!C131+'1.4.sz.mell. '!C131+'1.5.sz.mell.'!C131</f>
        <v>0</v>
      </c>
      <c r="I131" s="386">
        <f t="shared" si="6"/>
        <v>0</v>
      </c>
    </row>
    <row r="132" spans="1:9" ht="12" customHeight="1" thickBot="1" x14ac:dyDescent="0.3">
      <c r="A132" s="12" t="s">
        <v>156</v>
      </c>
      <c r="B132" s="62" t="s">
        <v>317</v>
      </c>
      <c r="C132" s="430">
        <f t="shared" si="5"/>
        <v>0</v>
      </c>
      <c r="D132" s="106"/>
      <c r="E132" s="106"/>
      <c r="F132" s="267"/>
      <c r="H132" s="384">
        <f>'1.2.sz.mell. '!C132+'1.3.sz.mell.'!C132+'1.4.sz.mell. '!C132+'1.5.sz.mell.'!C132</f>
        <v>0</v>
      </c>
      <c r="I132" s="386">
        <f t="shared" si="6"/>
        <v>0</v>
      </c>
    </row>
    <row r="133" spans="1:9" ht="12" customHeight="1" thickBot="1" x14ac:dyDescent="0.3">
      <c r="A133" s="12" t="s">
        <v>310</v>
      </c>
      <c r="B133" s="62" t="s">
        <v>305</v>
      </c>
      <c r="C133" s="430">
        <f t="shared" si="5"/>
        <v>0</v>
      </c>
      <c r="D133" s="106"/>
      <c r="E133" s="106"/>
      <c r="F133" s="267"/>
      <c r="H133" s="384">
        <f>'1.2.sz.mell. '!C133+'1.3.sz.mell.'!C133+'1.4.sz.mell. '!C133+'1.5.sz.mell.'!C133</f>
        <v>0</v>
      </c>
      <c r="I133" s="386">
        <f t="shared" si="6"/>
        <v>0</v>
      </c>
    </row>
    <row r="134" spans="1:9" ht="12" customHeight="1" thickBot="1" x14ac:dyDescent="0.3">
      <c r="A134" s="12" t="s">
        <v>311</v>
      </c>
      <c r="B134" s="62" t="s">
        <v>316</v>
      </c>
      <c r="C134" s="430">
        <f t="shared" si="5"/>
        <v>0</v>
      </c>
      <c r="D134" s="106"/>
      <c r="E134" s="106"/>
      <c r="F134" s="267"/>
      <c r="H134" s="384">
        <f>'1.2.sz.mell. '!C134+'1.3.sz.mell.'!C134+'1.4.sz.mell. '!C134+'1.5.sz.mell.'!C134</f>
        <v>0</v>
      </c>
      <c r="I134" s="386">
        <f t="shared" si="6"/>
        <v>0</v>
      </c>
    </row>
    <row r="135" spans="1:9" ht="16.5" thickBot="1" x14ac:dyDescent="0.3">
      <c r="A135" s="10" t="s">
        <v>312</v>
      </c>
      <c r="B135" s="62" t="s">
        <v>315</v>
      </c>
      <c r="C135" s="1141">
        <f t="shared" si="5"/>
        <v>6878720</v>
      </c>
      <c r="D135" s="271">
        <f>7001899+900000-1023179</f>
        <v>6878720</v>
      </c>
      <c r="E135" s="271"/>
      <c r="F135" s="271"/>
      <c r="H135" s="384">
        <f>'1.2.sz.mell. '!C135+'1.3.sz.mell.'!C135+'1.4.sz.mell. '!C135+'1.5.sz.mell.'!C135</f>
        <v>6878720</v>
      </c>
      <c r="I135" s="387">
        <f t="shared" si="6"/>
        <v>0</v>
      </c>
    </row>
    <row r="136" spans="1:9" ht="12" customHeight="1" thickBot="1" x14ac:dyDescent="0.3">
      <c r="A136" s="17" t="s">
        <v>23</v>
      </c>
      <c r="B136" s="433" t="s">
        <v>471</v>
      </c>
      <c r="C136" s="435">
        <f t="shared" si="5"/>
        <v>3748852835</v>
      </c>
      <c r="D136" s="282">
        <f>+D101+D122</f>
        <v>1785007872</v>
      </c>
      <c r="E136" s="117">
        <f>+E101+E122</f>
        <v>243632257</v>
      </c>
      <c r="F136" s="117">
        <f>+F101+F122</f>
        <v>1720212706</v>
      </c>
      <c r="H136" s="384">
        <f>'1.2.sz.mell. '!C136+'1.3.sz.mell.'!C136+'1.4.sz.mell. '!C136+'1.5.sz.mell.'!C136</f>
        <v>3748852835</v>
      </c>
      <c r="I136" s="384">
        <f t="shared" si="6"/>
        <v>0</v>
      </c>
    </row>
    <row r="137" spans="1:9" ht="12" customHeight="1" thickBot="1" x14ac:dyDescent="0.3">
      <c r="A137" s="17" t="s">
        <v>24</v>
      </c>
      <c r="B137" s="433" t="s">
        <v>472</v>
      </c>
      <c r="C137" s="435">
        <f>SUM(D137:F137)</f>
        <v>726038434</v>
      </c>
      <c r="D137" s="282">
        <f>+D138+D139+D140</f>
        <v>726038434</v>
      </c>
      <c r="E137" s="117">
        <f>+E138+E139+E140</f>
        <v>0</v>
      </c>
      <c r="F137" s="117">
        <f>+F138+F139+F140</f>
        <v>0</v>
      </c>
      <c r="H137" s="384">
        <f>'1.2.sz.mell. '!C137+'1.3.sz.mell.'!C137+'1.4.sz.mell. '!C137+'1.5.sz.mell.'!C137</f>
        <v>726038434</v>
      </c>
      <c r="I137" s="384">
        <f t="shared" si="6"/>
        <v>0</v>
      </c>
    </row>
    <row r="138" spans="1:9" ht="12" customHeight="1" thickBot="1" x14ac:dyDescent="0.3">
      <c r="A138" s="12" t="s">
        <v>211</v>
      </c>
      <c r="B138" s="9" t="s">
        <v>473</v>
      </c>
      <c r="C138" s="430">
        <f>SUM(D138:F138)</f>
        <v>26038434</v>
      </c>
      <c r="D138" s="267">
        <v>26038434</v>
      </c>
      <c r="E138" s="267"/>
      <c r="F138" s="267"/>
      <c r="H138" s="384">
        <f>'1.2.sz.mell. '!C138+'1.3.sz.mell.'!C138+'1.4.sz.mell. '!C138+'1.5.sz.mell.'!C138</f>
        <v>26038434</v>
      </c>
      <c r="I138" s="385">
        <f t="shared" si="6"/>
        <v>0</v>
      </c>
    </row>
    <row r="139" spans="1:9" ht="12" customHeight="1" thickBot="1" x14ac:dyDescent="0.3">
      <c r="A139" s="12" t="s">
        <v>214</v>
      </c>
      <c r="B139" s="9" t="s">
        <v>474</v>
      </c>
      <c r="C139" s="430">
        <f>SUM(D139:F139)</f>
        <v>700000000</v>
      </c>
      <c r="D139" s="106">
        <v>700000000</v>
      </c>
      <c r="E139" s="106"/>
      <c r="F139" s="106"/>
      <c r="H139" s="384">
        <f>'1.2.sz.mell. '!C139+'1.3.sz.mell.'!C139+'1.4.sz.mell. '!C139+'1.5.sz.mell.'!C139</f>
        <v>700000000</v>
      </c>
      <c r="I139" s="386">
        <f t="shared" si="6"/>
        <v>0</v>
      </c>
    </row>
    <row r="140" spans="1:9" ht="12" customHeight="1" thickBot="1" x14ac:dyDescent="0.3">
      <c r="A140" s="10" t="s">
        <v>215</v>
      </c>
      <c r="B140" s="9" t="s">
        <v>475</v>
      </c>
      <c r="C140" s="500">
        <f t="shared" si="5"/>
        <v>0</v>
      </c>
      <c r="D140" s="106"/>
      <c r="E140" s="106"/>
      <c r="F140" s="106"/>
      <c r="H140" s="384">
        <f>'1.2.sz.mell. '!C140+'1.3.sz.mell.'!C140+'1.4.sz.mell. '!C140+'1.5.sz.mell.'!C140</f>
        <v>0</v>
      </c>
      <c r="I140" s="387">
        <f t="shared" si="6"/>
        <v>0</v>
      </c>
    </row>
    <row r="141" spans="1:9" ht="12" customHeight="1" thickBot="1" x14ac:dyDescent="0.3">
      <c r="A141" s="17" t="s">
        <v>25</v>
      </c>
      <c r="B141" s="433" t="s">
        <v>476</v>
      </c>
      <c r="C141" s="435">
        <f t="shared" si="5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  <c r="H141" s="384">
        <f>'1.2.sz.mell. '!C141+'1.3.sz.mell.'!C141+'1.4.sz.mell. '!C141+'1.5.sz.mell.'!C141</f>
        <v>0</v>
      </c>
      <c r="I141" s="384">
        <f t="shared" si="6"/>
        <v>0</v>
      </c>
    </row>
    <row r="142" spans="1:9" ht="12" customHeight="1" thickBot="1" x14ac:dyDescent="0.3">
      <c r="A142" s="12" t="s">
        <v>93</v>
      </c>
      <c r="B142" s="6" t="s">
        <v>477</v>
      </c>
      <c r="C142" s="430">
        <f t="shared" si="5"/>
        <v>0</v>
      </c>
      <c r="D142" s="106"/>
      <c r="E142" s="106"/>
      <c r="F142" s="106"/>
      <c r="H142" s="384">
        <f>'1.2.sz.mell. '!C142+'1.3.sz.mell.'!C142+'1.4.sz.mell. '!C142+'1.5.sz.mell.'!C142</f>
        <v>0</v>
      </c>
      <c r="I142" s="385">
        <f t="shared" si="6"/>
        <v>0</v>
      </c>
    </row>
    <row r="143" spans="1:9" ht="12" customHeight="1" thickBot="1" x14ac:dyDescent="0.3">
      <c r="A143" s="12" t="s">
        <v>94</v>
      </c>
      <c r="B143" s="6" t="s">
        <v>478</v>
      </c>
      <c r="C143" s="430">
        <f t="shared" si="5"/>
        <v>0</v>
      </c>
      <c r="D143" s="106"/>
      <c r="E143" s="106"/>
      <c r="F143" s="106"/>
      <c r="H143" s="384">
        <f>'1.2.sz.mell. '!C143+'1.3.sz.mell.'!C143+'1.4.sz.mell. '!C143+'1.5.sz.mell.'!C143</f>
        <v>0</v>
      </c>
      <c r="I143" s="386">
        <f t="shared" si="6"/>
        <v>0</v>
      </c>
    </row>
    <row r="144" spans="1:9" ht="12" customHeight="1" thickBot="1" x14ac:dyDescent="0.3">
      <c r="A144" s="12" t="s">
        <v>95</v>
      </c>
      <c r="B144" s="6" t="s">
        <v>479</v>
      </c>
      <c r="C144" s="430">
        <f t="shared" si="5"/>
        <v>0</v>
      </c>
      <c r="D144" s="106"/>
      <c r="E144" s="106"/>
      <c r="F144" s="106"/>
      <c r="H144" s="384">
        <f>'1.2.sz.mell. '!C144+'1.3.sz.mell.'!C144+'1.4.sz.mell. '!C144+'1.5.sz.mell.'!C144</f>
        <v>0</v>
      </c>
      <c r="I144" s="386">
        <f t="shared" si="6"/>
        <v>0</v>
      </c>
    </row>
    <row r="145" spans="1:9" ht="12" customHeight="1" thickBot="1" x14ac:dyDescent="0.3">
      <c r="A145" s="12" t="s">
        <v>141</v>
      </c>
      <c r="B145" s="6" t="s">
        <v>480</v>
      </c>
      <c r="C145" s="430">
        <f t="shared" si="5"/>
        <v>0</v>
      </c>
      <c r="D145" s="106"/>
      <c r="E145" s="106"/>
      <c r="F145" s="106"/>
      <c r="H145" s="384">
        <f>'1.2.sz.mell. '!C145+'1.3.sz.mell.'!C145+'1.4.sz.mell. '!C145+'1.5.sz.mell.'!C145</f>
        <v>0</v>
      </c>
      <c r="I145" s="386">
        <f t="shared" si="6"/>
        <v>0</v>
      </c>
    </row>
    <row r="146" spans="1:9" ht="12" customHeight="1" thickBot="1" x14ac:dyDescent="0.3">
      <c r="A146" s="12" t="s">
        <v>142</v>
      </c>
      <c r="B146" s="6" t="s">
        <v>481</v>
      </c>
      <c r="C146" s="430">
        <f t="shared" si="5"/>
        <v>0</v>
      </c>
      <c r="D146" s="106"/>
      <c r="E146" s="106"/>
      <c r="F146" s="106"/>
      <c r="H146" s="384">
        <f>'1.2.sz.mell. '!C146+'1.3.sz.mell.'!C146+'1.4.sz.mell. '!C146+'1.5.sz.mell.'!C146</f>
        <v>0</v>
      </c>
      <c r="I146" s="386">
        <f t="shared" si="6"/>
        <v>0</v>
      </c>
    </row>
    <row r="147" spans="1:9" ht="12" customHeight="1" thickBot="1" x14ac:dyDescent="0.3">
      <c r="A147" s="10" t="s">
        <v>143</v>
      </c>
      <c r="B147" s="6" t="s">
        <v>482</v>
      </c>
      <c r="C147" s="500">
        <f t="shared" si="5"/>
        <v>0</v>
      </c>
      <c r="D147" s="106"/>
      <c r="E147" s="106"/>
      <c r="F147" s="106"/>
      <c r="H147" s="384">
        <f>'1.2.sz.mell. '!C147+'1.3.sz.mell.'!C147+'1.4.sz.mell. '!C147+'1.5.sz.mell.'!C147</f>
        <v>0</v>
      </c>
      <c r="I147" s="387">
        <f t="shared" si="6"/>
        <v>0</v>
      </c>
    </row>
    <row r="148" spans="1:9" ht="12" customHeight="1" thickBot="1" x14ac:dyDescent="0.3">
      <c r="A148" s="17" t="s">
        <v>26</v>
      </c>
      <c r="B148" s="433" t="s">
        <v>483</v>
      </c>
      <c r="C148" s="435">
        <f t="shared" si="5"/>
        <v>45672254</v>
      </c>
      <c r="D148" s="285">
        <f>+D149+D150+D151+D152</f>
        <v>45672254</v>
      </c>
      <c r="E148" s="122">
        <f>+E149+E150+E151+E152</f>
        <v>0</v>
      </c>
      <c r="F148" s="122">
        <f>+F149+F150+F151+F152</f>
        <v>0</v>
      </c>
      <c r="H148" s="384">
        <f>'1.2.sz.mell. '!C148+'1.3.sz.mell.'!C148+'1.4.sz.mell. '!C148+'1.5.sz.mell.'!C148</f>
        <v>45672254</v>
      </c>
      <c r="I148" s="384">
        <f t="shared" si="6"/>
        <v>0</v>
      </c>
    </row>
    <row r="149" spans="1:9" ht="12" customHeight="1" thickBot="1" x14ac:dyDescent="0.3">
      <c r="A149" s="12" t="s">
        <v>96</v>
      </c>
      <c r="B149" s="6" t="s">
        <v>320</v>
      </c>
      <c r="C149" s="431">
        <f t="shared" si="5"/>
        <v>0</v>
      </c>
      <c r="D149" s="106"/>
      <c r="E149" s="106"/>
      <c r="F149" s="106"/>
      <c r="H149" s="384">
        <f>'1.2.sz.mell. '!C149+'1.3.sz.mell.'!C149+'1.4.sz.mell. '!C149+'1.5.sz.mell.'!C149</f>
        <v>0</v>
      </c>
      <c r="I149" s="385">
        <f t="shared" si="6"/>
        <v>0</v>
      </c>
    </row>
    <row r="150" spans="1:9" ht="12" customHeight="1" thickBot="1" x14ac:dyDescent="0.3">
      <c r="A150" s="12" t="s">
        <v>97</v>
      </c>
      <c r="B150" s="6" t="s">
        <v>321</v>
      </c>
      <c r="C150" s="430">
        <f t="shared" si="5"/>
        <v>45672254</v>
      </c>
      <c r="D150" s="106">
        <v>45672254</v>
      </c>
      <c r="E150" s="106"/>
      <c r="F150" s="106"/>
      <c r="H150" s="384">
        <f>'1.2.sz.mell. '!C150+'1.3.sz.mell.'!C150+'1.4.sz.mell. '!C150+'1.5.sz.mell.'!C150</f>
        <v>45672254</v>
      </c>
      <c r="I150" s="386">
        <f t="shared" si="6"/>
        <v>0</v>
      </c>
    </row>
    <row r="151" spans="1:9" ht="12" customHeight="1" thickBot="1" x14ac:dyDescent="0.3">
      <c r="A151" s="12" t="s">
        <v>234</v>
      </c>
      <c r="B151" s="6" t="s">
        <v>484</v>
      </c>
      <c r="C151" s="431">
        <f t="shared" si="5"/>
        <v>0</v>
      </c>
      <c r="D151" s="106"/>
      <c r="E151" s="106"/>
      <c r="F151" s="106"/>
      <c r="H151" s="384">
        <f>'1.2.sz.mell. '!C151+'1.3.sz.mell.'!C151+'1.4.sz.mell. '!C151+'1.5.sz.mell.'!C151</f>
        <v>0</v>
      </c>
      <c r="I151" s="386">
        <f t="shared" si="6"/>
        <v>0</v>
      </c>
    </row>
    <row r="152" spans="1:9" ht="12" customHeight="1" thickBot="1" x14ac:dyDescent="0.3">
      <c r="A152" s="10" t="s">
        <v>235</v>
      </c>
      <c r="B152" s="4" t="s">
        <v>339</v>
      </c>
      <c r="C152" s="434">
        <f t="shared" si="5"/>
        <v>0</v>
      </c>
      <c r="D152" s="106"/>
      <c r="E152" s="106"/>
      <c r="F152" s="106"/>
      <c r="H152" s="384">
        <f>'1.2.sz.mell. '!C152+'1.3.sz.mell.'!C152+'1.4.sz.mell. '!C152+'1.5.sz.mell.'!C152</f>
        <v>0</v>
      </c>
      <c r="I152" s="387">
        <f t="shared" si="6"/>
        <v>0</v>
      </c>
    </row>
    <row r="153" spans="1:9" ht="12" customHeight="1" thickBot="1" x14ac:dyDescent="0.3">
      <c r="A153" s="17" t="s">
        <v>27</v>
      </c>
      <c r="B153" s="433" t="s">
        <v>485</v>
      </c>
      <c r="C153" s="435">
        <f t="shared" si="5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  <c r="H153" s="384">
        <f>'1.2.sz.mell. '!C153+'1.3.sz.mell.'!C153+'1.4.sz.mell. '!C153+'1.5.sz.mell.'!C153</f>
        <v>0</v>
      </c>
      <c r="I153" s="384">
        <f t="shared" si="6"/>
        <v>0</v>
      </c>
    </row>
    <row r="154" spans="1:9" ht="12" customHeight="1" thickBot="1" x14ac:dyDescent="0.3">
      <c r="A154" s="12" t="s">
        <v>98</v>
      </c>
      <c r="B154" s="6" t="s">
        <v>486</v>
      </c>
      <c r="C154" s="431">
        <f t="shared" si="5"/>
        <v>0</v>
      </c>
      <c r="D154" s="106"/>
      <c r="E154" s="106"/>
      <c r="F154" s="106"/>
      <c r="H154" s="384">
        <f>'1.2.sz.mell. '!C154+'1.3.sz.mell.'!C154+'1.4.sz.mell. '!C154+'1.5.sz.mell.'!C154</f>
        <v>0</v>
      </c>
      <c r="I154" s="385">
        <f t="shared" si="6"/>
        <v>0</v>
      </c>
    </row>
    <row r="155" spans="1:9" ht="12" customHeight="1" thickBot="1" x14ac:dyDescent="0.3">
      <c r="A155" s="12" t="s">
        <v>99</v>
      </c>
      <c r="B155" s="6" t="s">
        <v>487</v>
      </c>
      <c r="C155" s="431">
        <f t="shared" si="5"/>
        <v>0</v>
      </c>
      <c r="D155" s="106"/>
      <c r="E155" s="106"/>
      <c r="F155" s="106"/>
      <c r="H155" s="384">
        <f>'1.2.sz.mell. '!C155+'1.3.sz.mell.'!C155+'1.4.sz.mell. '!C155+'1.5.sz.mell.'!C155</f>
        <v>0</v>
      </c>
      <c r="I155" s="386">
        <f t="shared" si="6"/>
        <v>0</v>
      </c>
    </row>
    <row r="156" spans="1:9" ht="12" customHeight="1" thickBot="1" x14ac:dyDescent="0.3">
      <c r="A156" s="12" t="s">
        <v>246</v>
      </c>
      <c r="B156" s="6" t="s">
        <v>488</v>
      </c>
      <c r="C156" s="431">
        <f t="shared" si="5"/>
        <v>0</v>
      </c>
      <c r="D156" s="106"/>
      <c r="E156" s="106"/>
      <c r="F156" s="106"/>
      <c r="H156" s="384">
        <f>'1.2.sz.mell. '!C156+'1.3.sz.mell.'!C156+'1.4.sz.mell. '!C156+'1.5.sz.mell.'!C156</f>
        <v>0</v>
      </c>
      <c r="I156" s="386">
        <f t="shared" si="6"/>
        <v>0</v>
      </c>
    </row>
    <row r="157" spans="1:9" ht="12" customHeight="1" thickBot="1" x14ac:dyDescent="0.3">
      <c r="A157" s="12" t="s">
        <v>247</v>
      </c>
      <c r="B157" s="6" t="s">
        <v>489</v>
      </c>
      <c r="C157" s="431">
        <f t="shared" si="5"/>
        <v>0</v>
      </c>
      <c r="D157" s="106"/>
      <c r="E157" s="106"/>
      <c r="F157" s="106"/>
      <c r="H157" s="384">
        <f>'1.2.sz.mell. '!C157+'1.3.sz.mell.'!C157+'1.4.sz.mell. '!C157+'1.5.sz.mell.'!C157</f>
        <v>0</v>
      </c>
      <c r="I157" s="386">
        <f t="shared" si="6"/>
        <v>0</v>
      </c>
    </row>
    <row r="158" spans="1:9" ht="12" customHeight="1" thickBot="1" x14ac:dyDescent="0.3">
      <c r="A158" s="12" t="s">
        <v>490</v>
      </c>
      <c r="B158" s="6" t="s">
        <v>491</v>
      </c>
      <c r="C158" s="434">
        <f t="shared" si="5"/>
        <v>0</v>
      </c>
      <c r="D158" s="107"/>
      <c r="E158" s="107"/>
      <c r="F158" s="106"/>
      <c r="H158" s="384">
        <f>'1.2.sz.mell. '!C158+'1.3.sz.mell.'!C158+'1.4.sz.mell. '!C158+'1.5.sz.mell.'!C158</f>
        <v>0</v>
      </c>
      <c r="I158" s="387">
        <f t="shared" si="6"/>
        <v>0</v>
      </c>
    </row>
    <row r="159" spans="1:9" ht="12" customHeight="1" thickBot="1" x14ac:dyDescent="0.3">
      <c r="A159" s="17" t="s">
        <v>28</v>
      </c>
      <c r="B159" s="433" t="s">
        <v>492</v>
      </c>
      <c r="C159" s="435">
        <f t="shared" si="5"/>
        <v>0</v>
      </c>
      <c r="D159" s="292"/>
      <c r="E159" s="125"/>
      <c r="F159" s="260"/>
      <c r="H159" s="384">
        <f>'1.2.sz.mell. '!C159+'1.3.sz.mell.'!C159+'1.4.sz.mell. '!C159+'1.5.sz.mell.'!C159</f>
        <v>0</v>
      </c>
      <c r="I159" s="384">
        <f t="shared" si="6"/>
        <v>0</v>
      </c>
    </row>
    <row r="160" spans="1:9" ht="12" customHeight="1" thickBot="1" x14ac:dyDescent="0.3">
      <c r="A160" s="17" t="s">
        <v>29</v>
      </c>
      <c r="B160" s="433" t="s">
        <v>493</v>
      </c>
      <c r="C160" s="435">
        <f t="shared" si="5"/>
        <v>0</v>
      </c>
      <c r="D160" s="292"/>
      <c r="E160" s="125"/>
      <c r="F160" s="260"/>
      <c r="H160" s="384">
        <f>'1.2.sz.mell. '!C160+'1.3.sz.mell.'!C160+'1.4.sz.mell. '!C160+'1.5.sz.mell.'!C160</f>
        <v>0</v>
      </c>
      <c r="I160" s="384">
        <f t="shared" si="6"/>
        <v>0</v>
      </c>
    </row>
    <row r="161" spans="1:9" ht="15" customHeight="1" thickBot="1" x14ac:dyDescent="0.3">
      <c r="A161" s="17" t="s">
        <v>30</v>
      </c>
      <c r="B161" s="433" t="s">
        <v>494</v>
      </c>
      <c r="C161" s="435">
        <f t="shared" si="5"/>
        <v>771710688</v>
      </c>
      <c r="D161" s="293">
        <f>+D137+D141+D148+D153+D159+D160</f>
        <v>771710688</v>
      </c>
      <c r="E161" s="203">
        <f>+E137+E141+E148+E153+E159+E160</f>
        <v>0</v>
      </c>
      <c r="F161" s="203">
        <f>+F137+F141+F148+F153+F159+F160</f>
        <v>0</v>
      </c>
      <c r="G161" s="204"/>
      <c r="H161" s="384">
        <f>'1.2.sz.mell. '!C161+'1.3.sz.mell.'!C161+'1.4.sz.mell. '!C161+'1.5.sz.mell.'!C161</f>
        <v>771710688</v>
      </c>
      <c r="I161" s="384">
        <f t="shared" si="6"/>
        <v>0</v>
      </c>
    </row>
    <row r="162" spans="1:9" s="192" customFormat="1" ht="12.95" customHeight="1" thickBot="1" x14ac:dyDescent="0.25">
      <c r="A162" s="115" t="s">
        <v>31</v>
      </c>
      <c r="B162" s="436" t="s">
        <v>495</v>
      </c>
      <c r="C162" s="435">
        <f t="shared" si="5"/>
        <v>4520563523</v>
      </c>
      <c r="D162" s="293">
        <f>+D136+D161</f>
        <v>2556718560</v>
      </c>
      <c r="E162" s="203">
        <f>+E136+E161</f>
        <v>243632257</v>
      </c>
      <c r="F162" s="203">
        <f>+F136+F161</f>
        <v>1720212706</v>
      </c>
      <c r="H162" s="384">
        <f>'1.2.sz.mell. '!C162+'1.3.sz.mell.'!C162+'1.4.sz.mell. '!C162+'1.5.sz.mell.'!C162</f>
        <v>4520563523</v>
      </c>
      <c r="I162" s="384">
        <f t="shared" si="6"/>
        <v>0</v>
      </c>
    </row>
    <row r="163" spans="1:9" ht="7.5" customHeight="1" x14ac:dyDescent="0.25">
      <c r="C163" s="180"/>
    </row>
    <row r="164" spans="1:9" x14ac:dyDescent="0.25">
      <c r="A164" s="1442" t="s">
        <v>322</v>
      </c>
      <c r="B164" s="1442"/>
      <c r="C164" s="1442"/>
    </row>
    <row r="165" spans="1:9" ht="15" customHeight="1" thickBot="1" x14ac:dyDescent="0.3">
      <c r="A165" s="1444" t="s">
        <v>131</v>
      </c>
      <c r="B165" s="1444"/>
      <c r="C165" s="126" t="s">
        <v>555</v>
      </c>
    </row>
    <row r="166" spans="1:9" ht="13.5" customHeight="1" thickBot="1" x14ac:dyDescent="0.3">
      <c r="A166" s="17">
        <v>1</v>
      </c>
      <c r="B166" s="22" t="s">
        <v>496</v>
      </c>
      <c r="C166" s="117">
        <f>+C70-C136</f>
        <v>-972167464</v>
      </c>
      <c r="D166" s="673"/>
    </row>
    <row r="167" spans="1:9" ht="15" customHeight="1" thickBot="1" x14ac:dyDescent="0.3">
      <c r="A167" s="17" t="s">
        <v>22</v>
      </c>
      <c r="B167" s="22" t="s">
        <v>992</v>
      </c>
      <c r="C167" s="117">
        <f>+C94-C161</f>
        <v>972167464</v>
      </c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F46"/>
  <sheetViews>
    <sheetView zoomScaleSheetLayoutView="85" workbookViewId="0">
      <selection activeCell="I43" sqref="I43"/>
    </sheetView>
  </sheetViews>
  <sheetFormatPr defaultColWidth="9.33203125" defaultRowHeight="12.75" x14ac:dyDescent="0.2"/>
  <cols>
    <col min="1" max="1" width="38.6640625" style="1114" customWidth="1"/>
    <col min="2" max="5" width="13.83203125" style="1114" customWidth="1"/>
    <col min="6" max="16384" width="9.33203125" style="1114"/>
  </cols>
  <sheetData>
    <row r="1" spans="1:6" x14ac:dyDescent="0.2">
      <c r="A1" s="1481" t="str">
        <f>CONCATENATE("9. melléklet ",[2]ALAPADATOK!A7," ",[2]ALAPADATOK!B7," ",[2]ALAPADATOK!C7," ",[2]ALAPADATOK!D7," ",[2]ALAPADATOK!E7," ",[2]ALAPADATOK!F7," ",[2]ALAPADATOK!G7," ",[2]ALAPADATOK!H7)</f>
        <v>9. melléklet a 14. / 2020. ( V.28. ) önkormányzati rendelethez</v>
      </c>
      <c r="B1" s="1481"/>
      <c r="C1" s="1481"/>
      <c r="D1" s="1481"/>
      <c r="E1" s="1481"/>
    </row>
    <row r="2" spans="1:6" x14ac:dyDescent="0.2">
      <c r="A2" s="1113"/>
      <c r="B2" s="1113"/>
      <c r="C2" s="1113"/>
      <c r="D2" s="1113"/>
      <c r="E2" s="1113"/>
    </row>
    <row r="3" spans="1:6" ht="74.25" customHeight="1" x14ac:dyDescent="0.25">
      <c r="A3" s="1484" t="s">
        <v>995</v>
      </c>
      <c r="B3" s="1484"/>
      <c r="C3" s="1484"/>
      <c r="D3" s="1484"/>
      <c r="E3" s="1484"/>
      <c r="F3" s="1115"/>
    </row>
    <row r="4" spans="1:6" ht="14.25" thickBot="1" x14ac:dyDescent="0.3">
      <c r="A4" s="1116"/>
      <c r="B4" s="1116"/>
      <c r="C4" s="1116"/>
      <c r="D4" s="1485" t="s">
        <v>564</v>
      </c>
      <c r="E4" s="1485"/>
      <c r="F4" s="1115"/>
    </row>
    <row r="5" spans="1:6" ht="15" customHeight="1" thickBot="1" x14ac:dyDescent="0.25">
      <c r="A5" s="1117" t="s">
        <v>604</v>
      </c>
      <c r="B5" s="1118" t="s">
        <v>876</v>
      </c>
      <c r="C5" s="1118" t="s">
        <v>813</v>
      </c>
      <c r="D5" s="1118" t="s">
        <v>877</v>
      </c>
      <c r="E5" s="1119" t="s">
        <v>53</v>
      </c>
      <c r="F5" s="1115"/>
    </row>
    <row r="6" spans="1:6" x14ac:dyDescent="0.2">
      <c r="A6" s="1120" t="s">
        <v>605</v>
      </c>
      <c r="B6" s="1121">
        <v>9291638</v>
      </c>
      <c r="C6" s="1121">
        <v>-8393400</v>
      </c>
      <c r="D6" s="1121"/>
      <c r="E6" s="1122">
        <v>898238</v>
      </c>
      <c r="F6" s="1115"/>
    </row>
    <row r="7" spans="1:6" x14ac:dyDescent="0.2">
      <c r="A7" s="1123" t="s">
        <v>606</v>
      </c>
      <c r="B7" s="1124"/>
      <c r="C7" s="1124"/>
      <c r="D7" s="1124"/>
      <c r="E7" s="1125">
        <v>0</v>
      </c>
      <c r="F7" s="1115"/>
    </row>
    <row r="8" spans="1:6" x14ac:dyDescent="0.2">
      <c r="A8" s="1126" t="s">
        <v>607</v>
      </c>
      <c r="B8" s="1127"/>
      <c r="C8" s="1128">
        <v>8393400</v>
      </c>
      <c r="D8" s="1127"/>
      <c r="E8" s="1129">
        <v>8393400</v>
      </c>
      <c r="F8" s="1115"/>
    </row>
    <row r="9" spans="1:6" x14ac:dyDescent="0.2">
      <c r="A9" s="1126" t="s">
        <v>608</v>
      </c>
      <c r="B9" s="1127"/>
      <c r="C9" s="1127"/>
      <c r="D9" s="1127"/>
      <c r="E9" s="1129">
        <v>0</v>
      </c>
      <c r="F9" s="1115"/>
    </row>
    <row r="10" spans="1:6" x14ac:dyDescent="0.2">
      <c r="A10" s="1126" t="s">
        <v>124</v>
      </c>
      <c r="B10" s="1127"/>
      <c r="C10" s="1127"/>
      <c r="D10" s="1127"/>
      <c r="E10" s="1129">
        <v>0</v>
      </c>
      <c r="F10" s="1115"/>
    </row>
    <row r="11" spans="1:6" x14ac:dyDescent="0.2">
      <c r="A11" s="1126" t="s">
        <v>609</v>
      </c>
      <c r="B11" s="1127"/>
      <c r="C11" s="1127"/>
      <c r="D11" s="1127"/>
      <c r="E11" s="1129">
        <v>0</v>
      </c>
      <c r="F11" s="1115"/>
    </row>
    <row r="12" spans="1:6" ht="13.5" thickBot="1" x14ac:dyDescent="0.25">
      <c r="A12" s="1130"/>
      <c r="B12" s="1131"/>
      <c r="C12" s="1131"/>
      <c r="D12" s="1131"/>
      <c r="E12" s="1129">
        <v>0</v>
      </c>
      <c r="F12" s="1115"/>
    </row>
    <row r="13" spans="1:6" ht="13.5" thickBot="1" x14ac:dyDescent="0.25">
      <c r="A13" s="1132" t="s">
        <v>610</v>
      </c>
      <c r="B13" s="1133">
        <v>9291638</v>
      </c>
      <c r="C13" s="1133">
        <v>0</v>
      </c>
      <c r="D13" s="1133">
        <v>0</v>
      </c>
      <c r="E13" s="1134">
        <v>9291638</v>
      </c>
      <c r="F13" s="1115"/>
    </row>
    <row r="14" spans="1:6" ht="13.5" thickBot="1" x14ac:dyDescent="0.25">
      <c r="A14" s="1135"/>
      <c r="B14" s="1135"/>
      <c r="C14" s="1135"/>
      <c r="D14" s="1135"/>
      <c r="E14" s="1135"/>
      <c r="F14" s="1115"/>
    </row>
    <row r="15" spans="1:6" ht="15" customHeight="1" thickBot="1" x14ac:dyDescent="0.25">
      <c r="A15" s="1117" t="s">
        <v>611</v>
      </c>
      <c r="B15" s="1118" t="s">
        <v>876</v>
      </c>
      <c r="C15" s="1118" t="s">
        <v>813</v>
      </c>
      <c r="D15" s="1118" t="s">
        <v>877</v>
      </c>
      <c r="E15" s="1119" t="s">
        <v>53</v>
      </c>
      <c r="F15" s="1115"/>
    </row>
    <row r="16" spans="1:6" x14ac:dyDescent="0.2">
      <c r="A16" s="1120" t="s">
        <v>612</v>
      </c>
      <c r="B16" s="1121">
        <v>110000</v>
      </c>
      <c r="C16" s="1136"/>
      <c r="D16" s="1121"/>
      <c r="E16" s="1122">
        <v>110000</v>
      </c>
      <c r="F16" s="1115"/>
    </row>
    <row r="17" spans="1:6" x14ac:dyDescent="0.2">
      <c r="A17" s="1137" t="s">
        <v>613</v>
      </c>
      <c r="B17" s="1127"/>
      <c r="C17" s="1128"/>
      <c r="D17" s="1127"/>
      <c r="E17" s="1129">
        <v>0</v>
      </c>
      <c r="F17" s="1115"/>
    </row>
    <row r="18" spans="1:6" x14ac:dyDescent="0.2">
      <c r="A18" s="1126" t="s">
        <v>614</v>
      </c>
      <c r="B18" s="1127">
        <v>9181638</v>
      </c>
      <c r="C18" s="1128"/>
      <c r="D18" s="1127"/>
      <c r="E18" s="1129">
        <v>9181638</v>
      </c>
      <c r="F18" s="1115"/>
    </row>
    <row r="19" spans="1:6" x14ac:dyDescent="0.2">
      <c r="A19" s="1126" t="s">
        <v>615</v>
      </c>
      <c r="B19" s="1127"/>
      <c r="C19" s="1127"/>
      <c r="D19" s="1127"/>
      <c r="E19" s="1129">
        <v>0</v>
      </c>
      <c r="F19" s="1115"/>
    </row>
    <row r="20" spans="1:6" x14ac:dyDescent="0.2">
      <c r="A20" s="1138" t="s">
        <v>616</v>
      </c>
      <c r="B20" s="1127"/>
      <c r="C20" s="1127"/>
      <c r="D20" s="1127"/>
      <c r="E20" s="1129">
        <v>0</v>
      </c>
      <c r="F20" s="1115"/>
    </row>
    <row r="21" spans="1:6" x14ac:dyDescent="0.2">
      <c r="A21" s="1138" t="s">
        <v>617</v>
      </c>
      <c r="B21" s="1127"/>
      <c r="C21" s="1127"/>
      <c r="D21" s="1127"/>
      <c r="E21" s="1129">
        <v>0</v>
      </c>
      <c r="F21" s="1115"/>
    </row>
    <row r="22" spans="1:6" ht="13.5" thickBot="1" x14ac:dyDescent="0.25">
      <c r="A22" s="1130"/>
      <c r="B22" s="1131"/>
      <c r="C22" s="1131"/>
      <c r="D22" s="1131"/>
      <c r="E22" s="1129">
        <v>0</v>
      </c>
      <c r="F22" s="1115"/>
    </row>
    <row r="23" spans="1:6" ht="13.5" thickBot="1" x14ac:dyDescent="0.25">
      <c r="A23" s="1132" t="s">
        <v>54</v>
      </c>
      <c r="B23" s="1133">
        <v>9291638</v>
      </c>
      <c r="C23" s="1133">
        <v>0</v>
      </c>
      <c r="D23" s="1133">
        <v>0</v>
      </c>
      <c r="E23" s="1134">
        <v>9291638</v>
      </c>
      <c r="F23" s="1115"/>
    </row>
    <row r="24" spans="1:6" x14ac:dyDescent="0.2">
      <c r="A24" s="1113"/>
      <c r="B24" s="1113"/>
      <c r="C24" s="1113"/>
      <c r="D24" s="1113"/>
      <c r="E24" s="1113"/>
    </row>
    <row r="25" spans="1:6" ht="48.75" customHeight="1" x14ac:dyDescent="0.2">
      <c r="A25" s="1487" t="s">
        <v>1003</v>
      </c>
      <c r="B25" s="1487"/>
      <c r="C25" s="1487"/>
      <c r="D25" s="1487"/>
      <c r="E25" s="1487"/>
    </row>
    <row r="26" spans="1:6" ht="14.25" thickBot="1" x14ac:dyDescent="0.3">
      <c r="A26" s="1147"/>
      <c r="B26" s="1147"/>
      <c r="C26" s="1147"/>
      <c r="D26" s="1488" t="s">
        <v>564</v>
      </c>
      <c r="E26" s="1488"/>
    </row>
    <row r="27" spans="1:6" ht="13.5" thickBot="1" x14ac:dyDescent="0.25">
      <c r="A27" s="1148" t="s">
        <v>604</v>
      </c>
      <c r="B27" s="1149" t="s">
        <v>876</v>
      </c>
      <c r="C27" s="1149" t="s">
        <v>813</v>
      </c>
      <c r="D27" s="1149" t="s">
        <v>877</v>
      </c>
      <c r="E27" s="1150" t="s">
        <v>53</v>
      </c>
    </row>
    <row r="28" spans="1:6" x14ac:dyDescent="0.2">
      <c r="A28" s="1151" t="s">
        <v>605</v>
      </c>
      <c r="B28" s="1152"/>
      <c r="C28" s="1152"/>
      <c r="D28" s="1152"/>
      <c r="E28" s="1153">
        <f>SUM(B28:D28)</f>
        <v>0</v>
      </c>
    </row>
    <row r="29" spans="1:6" x14ac:dyDescent="0.2">
      <c r="A29" s="1154" t="s">
        <v>606</v>
      </c>
      <c r="B29" s="1155"/>
      <c r="C29" s="1155"/>
      <c r="D29" s="1155"/>
      <c r="E29" s="1156">
        <f t="shared" ref="E29:E34" si="0">SUM(B29:D29)</f>
        <v>0</v>
      </c>
    </row>
    <row r="30" spans="1:6" x14ac:dyDescent="0.2">
      <c r="A30" s="1157" t="s">
        <v>607</v>
      </c>
      <c r="B30" s="525"/>
      <c r="C30" s="525">
        <v>6000000</v>
      </c>
      <c r="D30" s="525"/>
      <c r="E30" s="1158">
        <f t="shared" si="0"/>
        <v>6000000</v>
      </c>
    </row>
    <row r="31" spans="1:6" x14ac:dyDescent="0.2">
      <c r="A31" s="1157" t="s">
        <v>608</v>
      </c>
      <c r="B31" s="525"/>
      <c r="C31" s="525"/>
      <c r="D31" s="525"/>
      <c r="E31" s="1158">
        <f t="shared" si="0"/>
        <v>0</v>
      </c>
    </row>
    <row r="32" spans="1:6" x14ac:dyDescent="0.2">
      <c r="A32" s="1157" t="s">
        <v>124</v>
      </c>
      <c r="B32" s="525"/>
      <c r="C32" s="525"/>
      <c r="D32" s="525"/>
      <c r="E32" s="1158">
        <f t="shared" si="0"/>
        <v>0</v>
      </c>
    </row>
    <row r="33" spans="1:5" x14ac:dyDescent="0.2">
      <c r="A33" s="1157" t="s">
        <v>609</v>
      </c>
      <c r="B33" s="525"/>
      <c r="C33" s="525"/>
      <c r="D33" s="525"/>
      <c r="E33" s="1158">
        <f t="shared" si="0"/>
        <v>0</v>
      </c>
    </row>
    <row r="34" spans="1:5" ht="13.5" thickBot="1" x14ac:dyDescent="0.25">
      <c r="A34" s="1159"/>
      <c r="B34" s="1160"/>
      <c r="C34" s="1160"/>
      <c r="D34" s="1160"/>
      <c r="E34" s="1158">
        <f t="shared" si="0"/>
        <v>0</v>
      </c>
    </row>
    <row r="35" spans="1:5" ht="13.5" thickBot="1" x14ac:dyDescent="0.25">
      <c r="A35" s="1161" t="s">
        <v>610</v>
      </c>
      <c r="B35" s="1162">
        <f>SUM(B28:B34)</f>
        <v>0</v>
      </c>
      <c r="C35" s="1162">
        <f>SUM(C28:C34)</f>
        <v>6000000</v>
      </c>
      <c r="D35" s="1162">
        <f>SUM(D28:D34)</f>
        <v>0</v>
      </c>
      <c r="E35" s="1163">
        <f>SUM(E28:E34)</f>
        <v>6000000</v>
      </c>
    </row>
    <row r="36" spans="1:5" ht="13.5" thickBot="1" x14ac:dyDescent="0.25">
      <c r="A36" s="1164"/>
      <c r="B36" s="1164"/>
      <c r="C36" s="1164"/>
      <c r="D36" s="1164"/>
      <c r="E36" s="1164"/>
    </row>
    <row r="37" spans="1:5" ht="13.5" thickBot="1" x14ac:dyDescent="0.25">
      <c r="A37" s="1148" t="s">
        <v>611</v>
      </c>
      <c r="B37" s="1149" t="s">
        <v>876</v>
      </c>
      <c r="C37" s="1149" t="s">
        <v>813</v>
      </c>
      <c r="D37" s="1149" t="s">
        <v>877</v>
      </c>
      <c r="E37" s="1150" t="s">
        <v>53</v>
      </c>
    </row>
    <row r="38" spans="1:5" x14ac:dyDescent="0.2">
      <c r="A38" s="1151" t="s">
        <v>612</v>
      </c>
      <c r="B38" s="1152"/>
      <c r="C38" s="1152"/>
      <c r="D38" s="1152"/>
      <c r="E38" s="1153">
        <f>SUM(B38:D38)</f>
        <v>0</v>
      </c>
    </row>
    <row r="39" spans="1:5" x14ac:dyDescent="0.2">
      <c r="A39" s="1165" t="s">
        <v>613</v>
      </c>
      <c r="B39" s="525"/>
      <c r="C39" s="525">
        <v>6000000</v>
      </c>
      <c r="D39" s="525"/>
      <c r="E39" s="1158">
        <f t="shared" ref="E39:E44" si="1">SUM(B39:D39)</f>
        <v>6000000</v>
      </c>
    </row>
    <row r="40" spans="1:5" x14ac:dyDescent="0.2">
      <c r="A40" s="1157" t="s">
        <v>614</v>
      </c>
      <c r="B40" s="525"/>
      <c r="C40" s="525"/>
      <c r="D40" s="525"/>
      <c r="E40" s="1158">
        <f t="shared" si="1"/>
        <v>0</v>
      </c>
    </row>
    <row r="41" spans="1:5" x14ac:dyDescent="0.2">
      <c r="A41" s="1157" t="s">
        <v>615</v>
      </c>
      <c r="B41" s="525"/>
      <c r="C41" s="525"/>
      <c r="D41" s="525"/>
      <c r="E41" s="1158">
        <f t="shared" si="1"/>
        <v>0</v>
      </c>
    </row>
    <row r="42" spans="1:5" x14ac:dyDescent="0.2">
      <c r="A42" s="1166" t="s">
        <v>616</v>
      </c>
      <c r="B42" s="525"/>
      <c r="C42" s="525"/>
      <c r="D42" s="525"/>
      <c r="E42" s="1158">
        <f t="shared" si="1"/>
        <v>0</v>
      </c>
    </row>
    <row r="43" spans="1:5" x14ac:dyDescent="0.2">
      <c r="A43" s="1166" t="s">
        <v>617</v>
      </c>
      <c r="B43" s="525"/>
      <c r="C43" s="525"/>
      <c r="D43" s="525"/>
      <c r="E43" s="1158">
        <f t="shared" si="1"/>
        <v>0</v>
      </c>
    </row>
    <row r="44" spans="1:5" ht="13.5" thickBot="1" x14ac:dyDescent="0.25">
      <c r="A44" s="1159"/>
      <c r="B44" s="1160"/>
      <c r="C44" s="1160"/>
      <c r="D44" s="1160"/>
      <c r="E44" s="1158">
        <f t="shared" si="1"/>
        <v>0</v>
      </c>
    </row>
    <row r="45" spans="1:5" ht="13.5" thickBot="1" x14ac:dyDescent="0.25">
      <c r="A45" s="1161" t="s">
        <v>54</v>
      </c>
      <c r="B45" s="1162">
        <f>SUM(B38:B44)</f>
        <v>0</v>
      </c>
      <c r="C45" s="1162">
        <f>SUM(C38:C44)</f>
        <v>6000000</v>
      </c>
      <c r="D45" s="1162">
        <f>SUM(D38:D44)</f>
        <v>0</v>
      </c>
      <c r="E45" s="1163">
        <f>SUM(E38:E44)</f>
        <v>6000000</v>
      </c>
    </row>
    <row r="46" spans="1:5" x14ac:dyDescent="0.2">
      <c r="A46" s="1113"/>
      <c r="B46" s="1113"/>
      <c r="C46" s="1113"/>
      <c r="D46" s="1113"/>
      <c r="E46" s="1113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2" priority="2" stopIfTrue="1" operator="equal">
      <formula>0</formula>
    </cfRule>
  </conditionalFormatting>
  <conditionalFormatting sqref="E28:E35 B45:E45 E38:E44 B35:D35">
    <cfRule type="cellIs" dxfId="1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zoomScale="115" zoomScaleNormal="115" zoomScaleSheetLayoutView="85" workbookViewId="0">
      <selection sqref="A1:C1"/>
    </sheetView>
  </sheetViews>
  <sheetFormatPr defaultRowHeight="12.75" x14ac:dyDescent="0.2"/>
  <cols>
    <col min="1" max="1" width="19.5" style="1170" customWidth="1"/>
    <col min="2" max="2" width="72" style="398" customWidth="1"/>
    <col min="3" max="3" width="25" style="364" customWidth="1"/>
    <col min="4" max="4" width="16.6640625" style="1018" hidden="1" customWidth="1"/>
    <col min="5" max="5" width="11.83203125" style="1018" hidden="1" customWidth="1"/>
    <col min="6" max="6" width="11.83203125" style="1017" hidden="1" customWidth="1"/>
    <col min="7" max="16384" width="9.33203125" style="1006"/>
  </cols>
  <sheetData>
    <row r="1" spans="1:6" x14ac:dyDescent="0.2">
      <c r="A1" s="1489" t="str">
        <f>CONCATENATE("12. melléklet"," ",ALAPADATOK!A7," ",ALAPADATOK!B7," ",ALAPADATOK!C7," ",ALAPADATOK!D7," ",ALAPADATOK!E7," ",ALAPADATOK!F7," ",ALAPADATOK!G7," ",ALAPADATOK!H7)</f>
        <v>12. melléklet a 21 / 2020. ( IX.25. ) önkormányzati rendelethez</v>
      </c>
      <c r="B1" s="1489"/>
      <c r="C1" s="1489"/>
    </row>
    <row r="2" spans="1:6" s="1" customFormat="1" ht="16.5" customHeight="1" thickBot="1" x14ac:dyDescent="0.25">
      <c r="A2" s="1167"/>
      <c r="B2" s="82"/>
      <c r="C2" s="104"/>
      <c r="D2" s="1018"/>
      <c r="E2" s="1018"/>
      <c r="F2" s="1017"/>
    </row>
    <row r="3" spans="1:6" s="39" customFormat="1" ht="21" customHeight="1" x14ac:dyDescent="0.2">
      <c r="A3" s="183" t="s">
        <v>64</v>
      </c>
      <c r="B3" s="162" t="s">
        <v>170</v>
      </c>
      <c r="C3" s="164" t="s">
        <v>55</v>
      </c>
      <c r="D3" s="390"/>
      <c r="E3" s="390"/>
      <c r="F3" s="389"/>
    </row>
    <row r="4" spans="1:6" s="39" customFormat="1" ht="16.5" thickBot="1" x14ac:dyDescent="0.25">
      <c r="A4" s="1168" t="s">
        <v>166</v>
      </c>
      <c r="B4" s="163" t="s">
        <v>347</v>
      </c>
      <c r="C4" s="263" t="s">
        <v>55</v>
      </c>
      <c r="D4" s="390"/>
      <c r="E4" s="390"/>
      <c r="F4" s="389"/>
    </row>
    <row r="5" spans="1:6" s="40" customFormat="1" ht="15.95" customHeight="1" thickBot="1" x14ac:dyDescent="0.3">
      <c r="A5" s="1169"/>
      <c r="B5" s="84"/>
      <c r="C5" s="85" t="s">
        <v>555</v>
      </c>
      <c r="D5" s="390"/>
      <c r="E5" s="390"/>
      <c r="F5" s="389"/>
    </row>
    <row r="6" spans="1:6" ht="13.5" thickBot="1" x14ac:dyDescent="0.25">
      <c r="A6" s="184" t="s">
        <v>168</v>
      </c>
      <c r="B6" s="86" t="s">
        <v>56</v>
      </c>
      <c r="C6" s="165" t="s">
        <v>57</v>
      </c>
    </row>
    <row r="7" spans="1:6" s="33" customFormat="1" ht="12.95" customHeight="1" thickBot="1" x14ac:dyDescent="0.25">
      <c r="A7" s="74" t="s">
        <v>447</v>
      </c>
      <c r="B7" s="75" t="s">
        <v>448</v>
      </c>
      <c r="C7" s="76" t="s">
        <v>449</v>
      </c>
      <c r="D7" s="1018"/>
      <c r="E7" s="1018"/>
      <c r="F7" s="391"/>
    </row>
    <row r="8" spans="1:6" s="33" customFormat="1" ht="15.95" customHeight="1" thickBot="1" x14ac:dyDescent="0.25">
      <c r="A8" s="88"/>
      <c r="B8" s="89" t="s">
        <v>58</v>
      </c>
      <c r="C8" s="166"/>
      <c r="D8" s="1018"/>
      <c r="E8" s="1018"/>
      <c r="F8" s="391"/>
    </row>
    <row r="9" spans="1:6" s="33" customFormat="1" ht="12" customHeight="1" thickBot="1" x14ac:dyDescent="0.25">
      <c r="A9" s="25" t="s">
        <v>21</v>
      </c>
      <c r="B9" s="18" t="s">
        <v>195</v>
      </c>
      <c r="C9" s="282">
        <f>C10+C11+C12+C15+C16+C17</f>
        <v>1492762052</v>
      </c>
      <c r="D9" s="392">
        <f>'9.1.1. sz. mell. '!C9+'9.1.2. sz. mell.'!C9</f>
        <v>1492762052</v>
      </c>
      <c r="E9" s="392">
        <f t="shared" ref="E9:E74" si="0">C9-D9</f>
        <v>0</v>
      </c>
      <c r="F9" s="391">
        <f>C9-D9</f>
        <v>0</v>
      </c>
    </row>
    <row r="10" spans="1:6" s="41" customFormat="1" ht="12" customHeight="1" thickBot="1" x14ac:dyDescent="0.25">
      <c r="A10" s="207" t="s">
        <v>100</v>
      </c>
      <c r="B10" s="193" t="s">
        <v>196</v>
      </c>
      <c r="C10" s="231">
        <f>229318994+27629700+809750</f>
        <v>257758444</v>
      </c>
      <c r="D10" s="392">
        <f>'9.1.1. sz. mell. '!C10+'9.1.2. sz. mell.'!C10</f>
        <v>257758444</v>
      </c>
      <c r="E10" s="393">
        <f t="shared" si="0"/>
        <v>0</v>
      </c>
      <c r="F10" s="391">
        <f t="shared" ref="F10:F75" si="1">C10-D10</f>
        <v>0</v>
      </c>
    </row>
    <row r="11" spans="1:6" s="42" customFormat="1" ht="12" customHeight="1" thickBot="1" x14ac:dyDescent="0.25">
      <c r="A11" s="208" t="s">
        <v>101</v>
      </c>
      <c r="B11" s="194" t="s">
        <v>197</v>
      </c>
      <c r="C11" s="1206">
        <f>229603230+17312349</f>
        <v>246915579</v>
      </c>
      <c r="D11" s="392">
        <f>'9.1.1. sz. mell. '!C11+'9.1.2. sz. mell.'!C11</f>
        <v>246915579</v>
      </c>
      <c r="E11" s="394">
        <f t="shared" si="0"/>
        <v>0</v>
      </c>
      <c r="F11" s="391">
        <f t="shared" si="1"/>
        <v>0</v>
      </c>
    </row>
    <row r="12" spans="1:6" s="42" customFormat="1" ht="12" customHeight="1" thickBot="1" x14ac:dyDescent="0.25">
      <c r="A12" s="208" t="s">
        <v>102</v>
      </c>
      <c r="B12" s="194" t="s">
        <v>999</v>
      </c>
      <c r="C12" s="1206">
        <f>SUM(C13:C14)</f>
        <v>815989004</v>
      </c>
      <c r="D12" s="392">
        <f>'9.1.1. sz. mell. '!C12+'9.1.2. sz. mell.'!C12</f>
        <v>815989004</v>
      </c>
      <c r="E12" s="394">
        <f t="shared" si="0"/>
        <v>0</v>
      </c>
      <c r="F12" s="391">
        <f t="shared" si="1"/>
        <v>0</v>
      </c>
    </row>
    <row r="13" spans="1:6" s="42" customFormat="1" ht="12" customHeight="1" thickBot="1" x14ac:dyDescent="0.25">
      <c r="A13" s="208" t="s">
        <v>997</v>
      </c>
      <c r="B13" s="194" t="s">
        <v>1000</v>
      </c>
      <c r="C13" s="1213">
        <f>599025462+22559700+4495800</f>
        <v>626080962</v>
      </c>
      <c r="D13" s="392">
        <f>'9.1.1. sz. mell. '!C13+'9.1.2. sz. mell.'!C13</f>
        <v>626080962</v>
      </c>
      <c r="E13" s="394">
        <f t="shared" si="0"/>
        <v>0</v>
      </c>
      <c r="F13" s="391">
        <f t="shared" si="1"/>
        <v>0</v>
      </c>
    </row>
    <row r="14" spans="1:6" s="42" customFormat="1" ht="12" customHeight="1" thickBot="1" x14ac:dyDescent="0.25">
      <c r="A14" s="208" t="s">
        <v>998</v>
      </c>
      <c r="B14" s="194" t="s">
        <v>1001</v>
      </c>
      <c r="C14" s="1206">
        <f>186127562+3780480</f>
        <v>189908042</v>
      </c>
      <c r="D14" s="392">
        <f>'9.1.1. sz. mell. '!C14+'9.1.2. sz. mell.'!C14</f>
        <v>189908042</v>
      </c>
      <c r="E14" s="394">
        <f t="shared" si="0"/>
        <v>0</v>
      </c>
      <c r="F14" s="391">
        <f t="shared" si="1"/>
        <v>0</v>
      </c>
    </row>
    <row r="15" spans="1:6" s="42" customFormat="1" ht="12" customHeight="1" thickBot="1" x14ac:dyDescent="0.25">
      <c r="A15" s="208" t="s">
        <v>103</v>
      </c>
      <c r="B15" s="194" t="s">
        <v>199</v>
      </c>
      <c r="C15" s="1206">
        <f>20802409+12622000+477000+5649340</f>
        <v>39550749</v>
      </c>
      <c r="D15" s="392">
        <f>'9.1.1. sz. mell. '!C15+'9.1.2. sz. mell.'!C15</f>
        <v>39550749</v>
      </c>
      <c r="E15" s="394">
        <f t="shared" si="0"/>
        <v>0</v>
      </c>
      <c r="F15" s="391">
        <f t="shared" si="1"/>
        <v>0</v>
      </c>
    </row>
    <row r="16" spans="1:6" s="42" customFormat="1" ht="12" customHeight="1" thickBot="1" x14ac:dyDescent="0.25">
      <c r="A16" s="208" t="s">
        <v>126</v>
      </c>
      <c r="B16" s="194" t="s">
        <v>508</v>
      </c>
      <c r="C16" s="1206">
        <f>159215979+899997-27567700</f>
        <v>132548276</v>
      </c>
      <c r="D16" s="392">
        <f>'9.1.1. sz. mell. '!C16+'9.1.2. sz. mell.'!C16</f>
        <v>132548276</v>
      </c>
      <c r="E16" s="394">
        <f t="shared" si="0"/>
        <v>0</v>
      </c>
      <c r="F16" s="391">
        <f t="shared" si="1"/>
        <v>0</v>
      </c>
    </row>
    <row r="17" spans="1:6" s="41" customFormat="1" ht="12" customHeight="1" thickBot="1" x14ac:dyDescent="0.25">
      <c r="A17" s="209" t="s">
        <v>104</v>
      </c>
      <c r="B17" s="195" t="s">
        <v>451</v>
      </c>
      <c r="C17" s="106"/>
      <c r="D17" s="392">
        <f>'9.1.1. sz. mell. '!C17+'9.1.2. sz. mell.'!C17</f>
        <v>0</v>
      </c>
      <c r="E17" s="395">
        <f t="shared" si="0"/>
        <v>0</v>
      </c>
      <c r="F17" s="391">
        <f t="shared" si="1"/>
        <v>0</v>
      </c>
    </row>
    <row r="18" spans="1:6" s="41" customFormat="1" ht="12" customHeight="1" thickBot="1" x14ac:dyDescent="0.25">
      <c r="A18" s="25" t="s">
        <v>22</v>
      </c>
      <c r="B18" s="112" t="s">
        <v>200</v>
      </c>
      <c r="C18" s="282">
        <f>+C19+C20+C21+C22+C23</f>
        <v>223283065</v>
      </c>
      <c r="D18" s="392">
        <f>'9.1.1. sz. mell. '!C18+'9.1.2. sz. mell.'!C18</f>
        <v>223283065</v>
      </c>
      <c r="E18" s="392">
        <f t="shared" si="0"/>
        <v>0</v>
      </c>
      <c r="F18" s="391">
        <f t="shared" si="1"/>
        <v>0</v>
      </c>
    </row>
    <row r="19" spans="1:6" s="41" customFormat="1" ht="12" customHeight="1" thickBot="1" x14ac:dyDescent="0.25">
      <c r="A19" s="207" t="s">
        <v>106</v>
      </c>
      <c r="B19" s="193" t="s">
        <v>201</v>
      </c>
      <c r="C19" s="284"/>
      <c r="D19" s="392">
        <f>'9.1.1. sz. mell. '!C19+'9.1.2. sz. mell.'!C19</f>
        <v>0</v>
      </c>
      <c r="E19" s="393">
        <f t="shared" si="0"/>
        <v>0</v>
      </c>
      <c r="F19" s="391">
        <f t="shared" si="1"/>
        <v>0</v>
      </c>
    </row>
    <row r="20" spans="1:6" s="41" customFormat="1" ht="12" customHeight="1" thickBot="1" x14ac:dyDescent="0.25">
      <c r="A20" s="208" t="s">
        <v>107</v>
      </c>
      <c r="B20" s="194" t="s">
        <v>202</v>
      </c>
      <c r="C20" s="106"/>
      <c r="D20" s="392">
        <f>'9.1.1. sz. mell. '!C20+'9.1.2. sz. mell.'!C20</f>
        <v>0</v>
      </c>
      <c r="E20" s="394">
        <f t="shared" si="0"/>
        <v>0</v>
      </c>
      <c r="F20" s="391">
        <f t="shared" si="1"/>
        <v>0</v>
      </c>
    </row>
    <row r="21" spans="1:6" s="41" customFormat="1" ht="12" customHeight="1" thickBot="1" x14ac:dyDescent="0.25">
      <c r="A21" s="208" t="s">
        <v>108</v>
      </c>
      <c r="B21" s="194" t="s">
        <v>370</v>
      </c>
      <c r="C21" s="106"/>
      <c r="D21" s="392">
        <f>'9.1.1. sz. mell. '!C21+'9.1.2. sz. mell.'!C21</f>
        <v>0</v>
      </c>
      <c r="E21" s="394">
        <f t="shared" si="0"/>
        <v>0</v>
      </c>
      <c r="F21" s="391">
        <f t="shared" si="1"/>
        <v>0</v>
      </c>
    </row>
    <row r="22" spans="1:6" s="41" customFormat="1" ht="12" customHeight="1" thickBot="1" x14ac:dyDescent="0.25">
      <c r="A22" s="208" t="s">
        <v>109</v>
      </c>
      <c r="B22" s="194" t="s">
        <v>371</v>
      </c>
      <c r="C22" s="106"/>
      <c r="D22" s="392">
        <f>'9.1.1. sz. mell. '!C22+'9.1.2. sz. mell.'!C22</f>
        <v>0</v>
      </c>
      <c r="E22" s="394">
        <f t="shared" si="0"/>
        <v>0</v>
      </c>
      <c r="F22" s="391">
        <f t="shared" si="1"/>
        <v>0</v>
      </c>
    </row>
    <row r="23" spans="1:6" s="41" customFormat="1" ht="12" customHeight="1" thickBot="1" x14ac:dyDescent="0.25">
      <c r="A23" s="208" t="s">
        <v>110</v>
      </c>
      <c r="B23" s="194" t="s">
        <v>203</v>
      </c>
      <c r="C23" s="1214">
        <f>232919558+3068252+557865-13262610</f>
        <v>223283065</v>
      </c>
      <c r="D23" s="392">
        <f>'9.1.1. sz. mell. '!C23+'9.1.2. sz. mell.'!C23</f>
        <v>223283065</v>
      </c>
      <c r="E23" s="394">
        <f t="shared" si="0"/>
        <v>0</v>
      </c>
      <c r="F23" s="391">
        <f t="shared" si="1"/>
        <v>0</v>
      </c>
    </row>
    <row r="24" spans="1:6" s="42" customFormat="1" ht="12" customHeight="1" thickBot="1" x14ac:dyDescent="0.25">
      <c r="A24" s="209" t="s">
        <v>119</v>
      </c>
      <c r="B24" s="195" t="s">
        <v>204</v>
      </c>
      <c r="C24" s="1217">
        <f>16392698+36497760+62436432-13262610</f>
        <v>102064280</v>
      </c>
      <c r="D24" s="392">
        <f>'9.1.1. sz. mell. '!C24+'9.1.2. sz. mell.'!C24</f>
        <v>102064280</v>
      </c>
      <c r="E24" s="395">
        <f t="shared" si="0"/>
        <v>0</v>
      </c>
      <c r="F24" s="391">
        <f t="shared" si="1"/>
        <v>0</v>
      </c>
    </row>
    <row r="25" spans="1:6" s="42" customFormat="1" ht="12" customHeight="1" thickBot="1" x14ac:dyDescent="0.25">
      <c r="A25" s="25" t="s">
        <v>23</v>
      </c>
      <c r="B25" s="18" t="s">
        <v>205</v>
      </c>
      <c r="C25" s="282">
        <f>+C26+C27+C28+C29+C30</f>
        <v>39643984</v>
      </c>
      <c r="D25" s="392">
        <f>'9.1.1. sz. mell. '!C25+'9.1.2. sz. mell.'!C25</f>
        <v>39643984</v>
      </c>
      <c r="E25" s="392">
        <f t="shared" si="0"/>
        <v>0</v>
      </c>
      <c r="F25" s="391">
        <f t="shared" si="1"/>
        <v>0</v>
      </c>
    </row>
    <row r="26" spans="1:6" s="42" customFormat="1" ht="12" customHeight="1" thickBot="1" x14ac:dyDescent="0.25">
      <c r="A26" s="207" t="s">
        <v>89</v>
      </c>
      <c r="B26" s="193" t="s">
        <v>206</v>
      </c>
      <c r="C26" s="1209"/>
      <c r="D26" s="392">
        <f>'9.1.1. sz. mell. '!C26+'9.1.2. sz. mell.'!C26</f>
        <v>0</v>
      </c>
      <c r="E26" s="393">
        <f t="shared" si="0"/>
        <v>0</v>
      </c>
      <c r="F26" s="391">
        <f t="shared" si="1"/>
        <v>0</v>
      </c>
    </row>
    <row r="27" spans="1:6" s="41" customFormat="1" ht="12" customHeight="1" thickBot="1" x14ac:dyDescent="0.25">
      <c r="A27" s="208" t="s">
        <v>90</v>
      </c>
      <c r="B27" s="194" t="s">
        <v>207</v>
      </c>
      <c r="C27" s="1207"/>
      <c r="D27" s="392">
        <f>'9.1.1. sz. mell. '!C27+'9.1.2. sz. mell.'!C27</f>
        <v>0</v>
      </c>
      <c r="E27" s="394">
        <f t="shared" si="0"/>
        <v>0</v>
      </c>
      <c r="F27" s="391">
        <f t="shared" si="1"/>
        <v>0</v>
      </c>
    </row>
    <row r="28" spans="1:6" s="42" customFormat="1" ht="12" customHeight="1" thickBot="1" x14ac:dyDescent="0.25">
      <c r="A28" s="208" t="s">
        <v>91</v>
      </c>
      <c r="B28" s="194" t="s">
        <v>372</v>
      </c>
      <c r="C28" s="1207"/>
      <c r="D28" s="392">
        <f>'9.1.1. sz. mell. '!C28+'9.1.2. sz. mell.'!C28</f>
        <v>0</v>
      </c>
      <c r="E28" s="394">
        <f t="shared" si="0"/>
        <v>0</v>
      </c>
      <c r="F28" s="391">
        <f t="shared" si="1"/>
        <v>0</v>
      </c>
    </row>
    <row r="29" spans="1:6" s="42" customFormat="1" ht="12" customHeight="1" thickBot="1" x14ac:dyDescent="0.25">
      <c r="A29" s="208" t="s">
        <v>92</v>
      </c>
      <c r="B29" s="194" t="s">
        <v>373</v>
      </c>
      <c r="C29" s="1207"/>
      <c r="D29" s="392">
        <f>'9.1.1. sz. mell. '!C29+'9.1.2. sz. mell.'!C29</f>
        <v>0</v>
      </c>
      <c r="E29" s="394">
        <f t="shared" si="0"/>
        <v>0</v>
      </c>
      <c r="F29" s="391">
        <f t="shared" si="1"/>
        <v>0</v>
      </c>
    </row>
    <row r="30" spans="1:6" s="42" customFormat="1" ht="12" customHeight="1" thickBot="1" x14ac:dyDescent="0.25">
      <c r="A30" s="208" t="s">
        <v>137</v>
      </c>
      <c r="B30" s="194" t="s">
        <v>208</v>
      </c>
      <c r="C30" s="1214">
        <f>36977634+5200000-2533650</f>
        <v>39643984</v>
      </c>
      <c r="D30" s="392">
        <f>'9.1.1. sz. mell. '!C30+'9.1.2. sz. mell.'!C30</f>
        <v>39643984</v>
      </c>
      <c r="E30" s="394">
        <f t="shared" si="0"/>
        <v>0</v>
      </c>
      <c r="F30" s="391">
        <f t="shared" si="1"/>
        <v>0</v>
      </c>
    </row>
    <row r="31" spans="1:6" s="42" customFormat="1" ht="12" customHeight="1" thickBot="1" x14ac:dyDescent="0.25">
      <c r="A31" s="209" t="s">
        <v>138</v>
      </c>
      <c r="B31" s="195" t="s">
        <v>209</v>
      </c>
      <c r="C31" s="1217">
        <f>36977634-2533650</f>
        <v>34443984</v>
      </c>
      <c r="D31" s="392">
        <f>'9.1.1. sz. mell. '!C31+'9.1.2. sz. mell.'!C31</f>
        <v>34443984</v>
      </c>
      <c r="E31" s="395">
        <f t="shared" si="0"/>
        <v>0</v>
      </c>
      <c r="F31" s="391">
        <f t="shared" si="1"/>
        <v>0</v>
      </c>
    </row>
    <row r="32" spans="1:6" s="42" customFormat="1" ht="12" customHeight="1" thickBot="1" x14ac:dyDescent="0.25">
      <c r="A32" s="25" t="s">
        <v>139</v>
      </c>
      <c r="B32" s="18" t="s">
        <v>656</v>
      </c>
      <c r="C32" s="285">
        <f>+C33+C37+C38+C39</f>
        <v>503000000</v>
      </c>
      <c r="D32" s="392">
        <f>'9.1.1. sz. mell. '!C32+'9.1.2. sz. mell.'!C32</f>
        <v>503000000</v>
      </c>
      <c r="E32" s="392">
        <f t="shared" si="0"/>
        <v>0</v>
      </c>
      <c r="F32" s="391">
        <f t="shared" si="1"/>
        <v>0</v>
      </c>
    </row>
    <row r="33" spans="1:6" s="42" customFormat="1" ht="12" customHeight="1" thickBot="1" x14ac:dyDescent="0.25">
      <c r="A33" s="207" t="s">
        <v>211</v>
      </c>
      <c r="B33" s="193" t="s">
        <v>652</v>
      </c>
      <c r="C33" s="299">
        <f>SUM(C34:C35)</f>
        <v>486000000</v>
      </c>
      <c r="D33" s="392">
        <f>'9.1.1. sz. mell. '!C33+'9.1.2. sz. mell.'!C33</f>
        <v>486000000</v>
      </c>
      <c r="E33" s="393">
        <f t="shared" si="0"/>
        <v>0</v>
      </c>
      <c r="F33" s="391">
        <f t="shared" si="1"/>
        <v>0</v>
      </c>
    </row>
    <row r="34" spans="1:6" s="42" customFormat="1" ht="12" customHeight="1" thickBot="1" x14ac:dyDescent="0.25">
      <c r="A34" s="208" t="s">
        <v>212</v>
      </c>
      <c r="B34" s="194" t="s">
        <v>217</v>
      </c>
      <c r="C34" s="106">
        <f>80000000+6000000</f>
        <v>86000000</v>
      </c>
      <c r="D34" s="392">
        <f>'9.1.1. sz. mell. '!C34+'9.1.2. sz. mell.'!C34</f>
        <v>86000000</v>
      </c>
      <c r="E34" s="394">
        <f t="shared" si="0"/>
        <v>0</v>
      </c>
      <c r="F34" s="391">
        <f t="shared" si="1"/>
        <v>0</v>
      </c>
    </row>
    <row r="35" spans="1:6" s="42" customFormat="1" ht="12" customHeight="1" thickBot="1" x14ac:dyDescent="0.25">
      <c r="A35" s="208" t="s">
        <v>213</v>
      </c>
      <c r="B35" s="251" t="s">
        <v>651</v>
      </c>
      <c r="C35" s="106">
        <v>400000000</v>
      </c>
      <c r="D35" s="392">
        <f>'9.1.1. sz. mell. '!C35+'9.1.2. sz. mell.'!C35</f>
        <v>400000000</v>
      </c>
      <c r="E35" s="394">
        <f t="shared" si="0"/>
        <v>0</v>
      </c>
      <c r="F35" s="391">
        <f t="shared" si="1"/>
        <v>0</v>
      </c>
    </row>
    <row r="36" spans="1:6" s="42" customFormat="1" ht="12" customHeight="1" thickBot="1" x14ac:dyDescent="0.25">
      <c r="A36" s="208" t="s">
        <v>214</v>
      </c>
      <c r="B36" s="194" t="s">
        <v>538</v>
      </c>
      <c r="C36" s="1207"/>
      <c r="D36" s="392">
        <f>'9.1.1. sz. mell. '!C36+'9.1.2. sz. mell.'!C36</f>
        <v>0</v>
      </c>
      <c r="E36" s="394">
        <f t="shared" si="0"/>
        <v>0</v>
      </c>
      <c r="F36" s="391">
        <f t="shared" si="1"/>
        <v>0</v>
      </c>
    </row>
    <row r="37" spans="1:6" s="42" customFormat="1" ht="12" customHeight="1" thickBot="1" x14ac:dyDescent="0.25">
      <c r="A37" s="208" t="s">
        <v>539</v>
      </c>
      <c r="B37" s="194" t="s">
        <v>218</v>
      </c>
      <c r="C37" s="1214">
        <f>35000000-35000000</f>
        <v>0</v>
      </c>
      <c r="D37" s="392">
        <f>'9.1.1. sz. mell. '!C37+'9.1.2. sz. mell.'!C37</f>
        <v>0</v>
      </c>
      <c r="E37" s="394">
        <f t="shared" si="0"/>
        <v>0</v>
      </c>
      <c r="F37" s="391">
        <f t="shared" si="1"/>
        <v>0</v>
      </c>
    </row>
    <row r="38" spans="1:6" s="42" customFormat="1" ht="12" customHeight="1" thickBot="1" x14ac:dyDescent="0.25">
      <c r="A38" s="208" t="s">
        <v>216</v>
      </c>
      <c r="B38" s="194" t="s">
        <v>219</v>
      </c>
      <c r="C38" s="106">
        <v>1000000</v>
      </c>
      <c r="D38" s="392">
        <f>'9.1.1. sz. mell. '!C38+'9.1.2. sz. mell.'!C38</f>
        <v>1000000</v>
      </c>
      <c r="E38" s="394">
        <f t="shared" si="0"/>
        <v>0</v>
      </c>
      <c r="F38" s="391">
        <f t="shared" si="1"/>
        <v>0</v>
      </c>
    </row>
    <row r="39" spans="1:6" s="42" customFormat="1" ht="12" customHeight="1" thickBot="1" x14ac:dyDescent="0.25">
      <c r="A39" s="209" t="s">
        <v>540</v>
      </c>
      <c r="B39" s="195" t="s">
        <v>220</v>
      </c>
      <c r="C39" s="1208">
        <v>16000000</v>
      </c>
      <c r="D39" s="392">
        <f>'9.1.1. sz. mell. '!C39+'9.1.2. sz. mell.'!C39</f>
        <v>16000000</v>
      </c>
      <c r="E39" s="395">
        <f t="shared" si="0"/>
        <v>0</v>
      </c>
      <c r="F39" s="391">
        <f t="shared" si="1"/>
        <v>0</v>
      </c>
    </row>
    <row r="40" spans="1:6" s="42" customFormat="1" ht="12" customHeight="1" thickBot="1" x14ac:dyDescent="0.25">
      <c r="A40" s="25" t="s">
        <v>25</v>
      </c>
      <c r="B40" s="18" t="s">
        <v>452</v>
      </c>
      <c r="C40" s="282">
        <f>SUM(C41:C51)</f>
        <v>49402421</v>
      </c>
      <c r="D40" s="392">
        <f>'9.1.1. sz. mell. '!C40+'9.1.2. sz. mell.'!C40</f>
        <v>49402421</v>
      </c>
      <c r="E40" s="392">
        <f t="shared" si="0"/>
        <v>0</v>
      </c>
      <c r="F40" s="391">
        <f t="shared" si="1"/>
        <v>0</v>
      </c>
    </row>
    <row r="41" spans="1:6" s="42" customFormat="1" ht="12" customHeight="1" thickBot="1" x14ac:dyDescent="0.25">
      <c r="A41" s="207" t="s">
        <v>93</v>
      </c>
      <c r="B41" s="193" t="s">
        <v>223</v>
      </c>
      <c r="C41" s="1209">
        <v>8175576</v>
      </c>
      <c r="D41" s="392">
        <f>'9.1.1. sz. mell. '!C41+'9.1.2. sz. mell.'!C41</f>
        <v>8175576</v>
      </c>
      <c r="E41" s="393">
        <f t="shared" si="0"/>
        <v>0</v>
      </c>
      <c r="F41" s="391">
        <f t="shared" si="1"/>
        <v>0</v>
      </c>
    </row>
    <row r="42" spans="1:6" s="42" customFormat="1" ht="12" customHeight="1" thickBot="1" x14ac:dyDescent="0.25">
      <c r="A42" s="208" t="s">
        <v>94</v>
      </c>
      <c r="B42" s="194" t="s">
        <v>224</v>
      </c>
      <c r="C42" s="1207">
        <f>18821599-47244</f>
        <v>18774355</v>
      </c>
      <c r="D42" s="392">
        <f>'9.1.1. sz. mell. '!C42+'9.1.2. sz. mell.'!C42</f>
        <v>18774355</v>
      </c>
      <c r="E42" s="394">
        <f t="shared" si="0"/>
        <v>0</v>
      </c>
      <c r="F42" s="391">
        <f t="shared" si="1"/>
        <v>0</v>
      </c>
    </row>
    <row r="43" spans="1:6" s="42" customFormat="1" ht="12" customHeight="1" thickBot="1" x14ac:dyDescent="0.25">
      <c r="A43" s="208" t="s">
        <v>95</v>
      </c>
      <c r="B43" s="194" t="s">
        <v>225</v>
      </c>
      <c r="C43" s="1214">
        <f>8868669+808800+200000</f>
        <v>9877469</v>
      </c>
      <c r="D43" s="392">
        <f>'9.1.1. sz. mell. '!C43+'9.1.2. sz. mell.'!C43</f>
        <v>9877469</v>
      </c>
      <c r="E43" s="394">
        <f t="shared" si="0"/>
        <v>0</v>
      </c>
      <c r="F43" s="391">
        <f t="shared" si="1"/>
        <v>0</v>
      </c>
    </row>
    <row r="44" spans="1:6" s="42" customFormat="1" ht="12" customHeight="1" thickBot="1" x14ac:dyDescent="0.25">
      <c r="A44" s="208" t="s">
        <v>141</v>
      </c>
      <c r="B44" s="194" t="s">
        <v>226</v>
      </c>
      <c r="C44" s="1207">
        <v>1006560</v>
      </c>
      <c r="D44" s="392">
        <f>'9.1.1. sz. mell. '!C44+'9.1.2. sz. mell.'!C44</f>
        <v>1006560</v>
      </c>
      <c r="E44" s="394">
        <f t="shared" si="0"/>
        <v>0</v>
      </c>
      <c r="F44" s="391">
        <f t="shared" si="1"/>
        <v>0</v>
      </c>
    </row>
    <row r="45" spans="1:6" s="42" customFormat="1" ht="12" customHeight="1" thickBot="1" x14ac:dyDescent="0.25">
      <c r="A45" s="208" t="s">
        <v>142</v>
      </c>
      <c r="B45" s="194" t="s">
        <v>227</v>
      </c>
      <c r="C45" s="1207"/>
      <c r="D45" s="392">
        <f>'9.1.1. sz. mell. '!C45+'9.1.2. sz. mell.'!C45</f>
        <v>0</v>
      </c>
      <c r="E45" s="394">
        <f t="shared" si="0"/>
        <v>0</v>
      </c>
      <c r="F45" s="391">
        <f t="shared" si="1"/>
        <v>0</v>
      </c>
    </row>
    <row r="46" spans="1:6" s="42" customFormat="1" ht="12" customHeight="1" thickBot="1" x14ac:dyDescent="0.25">
      <c r="A46" s="208" t="s">
        <v>143</v>
      </c>
      <c r="B46" s="194" t="s">
        <v>228</v>
      </c>
      <c r="C46" s="1214">
        <f>8330221-12756+152604+54000</f>
        <v>8524069</v>
      </c>
      <c r="D46" s="392">
        <f>'9.1.1. sz. mell. '!C46+'9.1.2. sz. mell.'!C46</f>
        <v>8524069</v>
      </c>
      <c r="E46" s="394">
        <f t="shared" si="0"/>
        <v>0</v>
      </c>
      <c r="F46" s="391">
        <f t="shared" si="1"/>
        <v>0</v>
      </c>
    </row>
    <row r="47" spans="1:6" s="42" customFormat="1" ht="12" customHeight="1" thickBot="1" x14ac:dyDescent="0.25">
      <c r="A47" s="208" t="s">
        <v>144</v>
      </c>
      <c r="B47" s="194" t="s">
        <v>229</v>
      </c>
      <c r="C47" s="1207"/>
      <c r="D47" s="392">
        <f>'9.1.1. sz. mell. '!C47+'9.1.2. sz. mell.'!C47</f>
        <v>0</v>
      </c>
      <c r="E47" s="394">
        <f t="shared" si="0"/>
        <v>0</v>
      </c>
      <c r="F47" s="391">
        <f t="shared" si="1"/>
        <v>0</v>
      </c>
    </row>
    <row r="48" spans="1:6" s="42" customFormat="1" ht="12" customHeight="1" thickBot="1" x14ac:dyDescent="0.25">
      <c r="A48" s="208" t="s">
        <v>145</v>
      </c>
      <c r="B48" s="194" t="s">
        <v>230</v>
      </c>
      <c r="C48" s="1207"/>
      <c r="D48" s="392">
        <f>'9.1.1. sz. mell. '!C48+'9.1.2. sz. mell.'!C48</f>
        <v>0</v>
      </c>
      <c r="E48" s="394">
        <f t="shared" si="0"/>
        <v>0</v>
      </c>
      <c r="F48" s="391">
        <f t="shared" si="1"/>
        <v>0</v>
      </c>
    </row>
    <row r="49" spans="1:6" s="42" customFormat="1" ht="12" customHeight="1" thickBot="1" x14ac:dyDescent="0.25">
      <c r="A49" s="208" t="s">
        <v>221</v>
      </c>
      <c r="B49" s="194" t="s">
        <v>231</v>
      </c>
      <c r="C49" s="1207"/>
      <c r="D49" s="392">
        <f>'9.1.1. sz. mell. '!C49+'9.1.2. sz. mell.'!C49</f>
        <v>0</v>
      </c>
      <c r="E49" s="394">
        <f t="shared" si="0"/>
        <v>0</v>
      </c>
      <c r="F49" s="391">
        <f t="shared" si="1"/>
        <v>0</v>
      </c>
    </row>
    <row r="50" spans="1:6" s="42" customFormat="1" ht="12" customHeight="1" thickBot="1" x14ac:dyDescent="0.25">
      <c r="A50" s="209" t="s">
        <v>222</v>
      </c>
      <c r="B50" s="195" t="s">
        <v>453</v>
      </c>
      <c r="C50" s="1208">
        <v>1000000</v>
      </c>
      <c r="D50" s="392">
        <f>'9.1.1. sz. mell. '!C50+'9.1.2. sz. mell.'!C50</f>
        <v>1000000</v>
      </c>
      <c r="E50" s="394">
        <f t="shared" si="0"/>
        <v>0</v>
      </c>
      <c r="F50" s="391">
        <f t="shared" si="1"/>
        <v>0</v>
      </c>
    </row>
    <row r="51" spans="1:6" s="42" customFormat="1" ht="12" customHeight="1" thickBot="1" x14ac:dyDescent="0.25">
      <c r="A51" s="209" t="s">
        <v>454</v>
      </c>
      <c r="B51" s="195" t="s">
        <v>232</v>
      </c>
      <c r="C51" s="1208">
        <f>1087601+956791</f>
        <v>2044392</v>
      </c>
      <c r="D51" s="392">
        <f>'9.1.1. sz. mell. '!C51+'9.1.2. sz. mell.'!C51</f>
        <v>2044392</v>
      </c>
      <c r="E51" s="395">
        <f t="shared" si="0"/>
        <v>0</v>
      </c>
      <c r="F51" s="391">
        <f t="shared" si="1"/>
        <v>0</v>
      </c>
    </row>
    <row r="52" spans="1:6" s="42" customFormat="1" ht="12" customHeight="1" thickBot="1" x14ac:dyDescent="0.25">
      <c r="A52" s="25" t="s">
        <v>26</v>
      </c>
      <c r="B52" s="18" t="s">
        <v>233</v>
      </c>
      <c r="C52" s="282">
        <f>SUM(C53:C57)</f>
        <v>44304508</v>
      </c>
      <c r="D52" s="392">
        <f>'9.1.1. sz. mell. '!C52+'9.1.2. sz. mell.'!C52</f>
        <v>44304508</v>
      </c>
      <c r="E52" s="392">
        <f t="shared" si="0"/>
        <v>0</v>
      </c>
      <c r="F52" s="391">
        <f t="shared" si="1"/>
        <v>0</v>
      </c>
    </row>
    <row r="53" spans="1:6" s="42" customFormat="1" ht="12" customHeight="1" thickBot="1" x14ac:dyDescent="0.25">
      <c r="A53" s="207" t="s">
        <v>96</v>
      </c>
      <c r="B53" s="193" t="s">
        <v>237</v>
      </c>
      <c r="C53" s="1209"/>
      <c r="D53" s="392">
        <f>'9.1.1. sz. mell. '!C53+'9.1.2. sz. mell.'!C53</f>
        <v>0</v>
      </c>
      <c r="E53" s="393">
        <f t="shared" si="0"/>
        <v>0</v>
      </c>
      <c r="F53" s="391">
        <f t="shared" si="1"/>
        <v>0</v>
      </c>
    </row>
    <row r="54" spans="1:6" s="42" customFormat="1" ht="12" customHeight="1" thickBot="1" x14ac:dyDescent="0.25">
      <c r="A54" s="208" t="s">
        <v>97</v>
      </c>
      <c r="B54" s="194" t="s">
        <v>238</v>
      </c>
      <c r="C54" s="1207">
        <v>44304508</v>
      </c>
      <c r="D54" s="392">
        <f>'9.1.1. sz. mell. '!C54+'9.1.2. sz. mell.'!C54</f>
        <v>44304508</v>
      </c>
      <c r="E54" s="394">
        <f t="shared" si="0"/>
        <v>0</v>
      </c>
      <c r="F54" s="391">
        <f t="shared" si="1"/>
        <v>0</v>
      </c>
    </row>
    <row r="55" spans="1:6" s="42" customFormat="1" ht="12" customHeight="1" thickBot="1" x14ac:dyDescent="0.25">
      <c r="A55" s="208" t="s">
        <v>234</v>
      </c>
      <c r="B55" s="194" t="s">
        <v>239</v>
      </c>
      <c r="C55" s="1207"/>
      <c r="D55" s="392">
        <f>'9.1.1. sz. mell. '!C55+'9.1.2. sz. mell.'!C55</f>
        <v>0</v>
      </c>
      <c r="E55" s="394">
        <f t="shared" si="0"/>
        <v>0</v>
      </c>
      <c r="F55" s="391">
        <f t="shared" si="1"/>
        <v>0</v>
      </c>
    </row>
    <row r="56" spans="1:6" s="42" customFormat="1" ht="12" customHeight="1" thickBot="1" x14ac:dyDescent="0.25">
      <c r="A56" s="208" t="s">
        <v>235</v>
      </c>
      <c r="B56" s="194" t="s">
        <v>240</v>
      </c>
      <c r="C56" s="1207"/>
      <c r="D56" s="392">
        <f>'9.1.1. sz. mell. '!C56+'9.1.2. sz. mell.'!C56</f>
        <v>0</v>
      </c>
      <c r="E56" s="394">
        <f t="shared" si="0"/>
        <v>0</v>
      </c>
      <c r="F56" s="391">
        <f t="shared" si="1"/>
        <v>0</v>
      </c>
    </row>
    <row r="57" spans="1:6" s="42" customFormat="1" ht="12" customHeight="1" thickBot="1" x14ac:dyDescent="0.25">
      <c r="A57" s="209" t="s">
        <v>236</v>
      </c>
      <c r="B57" s="195" t="s">
        <v>241</v>
      </c>
      <c r="C57" s="1208"/>
      <c r="D57" s="392">
        <f>'9.1.1. sz. mell. '!C57+'9.1.2. sz. mell.'!C57</f>
        <v>0</v>
      </c>
      <c r="E57" s="395">
        <f t="shared" si="0"/>
        <v>0</v>
      </c>
      <c r="F57" s="391">
        <f t="shared" si="1"/>
        <v>0</v>
      </c>
    </row>
    <row r="58" spans="1:6" s="42" customFormat="1" ht="12" customHeight="1" thickBot="1" x14ac:dyDescent="0.25">
      <c r="A58" s="25" t="s">
        <v>146</v>
      </c>
      <c r="B58" s="18" t="s">
        <v>242</v>
      </c>
      <c r="C58" s="282">
        <f>SUM(C59:C61)</f>
        <v>2209000</v>
      </c>
      <c r="D58" s="392">
        <f>'9.1.1. sz. mell. '!C58+'9.1.2. sz. mell.'!C58</f>
        <v>2209000</v>
      </c>
      <c r="E58" s="392">
        <f t="shared" si="0"/>
        <v>0</v>
      </c>
      <c r="F58" s="391">
        <f t="shared" si="1"/>
        <v>0</v>
      </c>
    </row>
    <row r="59" spans="1:6" s="42" customFormat="1" ht="12" customHeight="1" thickBot="1" x14ac:dyDescent="0.25">
      <c r="A59" s="207" t="s">
        <v>98</v>
      </c>
      <c r="B59" s="193" t="s">
        <v>243</v>
      </c>
      <c r="C59" s="284"/>
      <c r="D59" s="392">
        <f>'9.1.1. sz. mell. '!C59+'9.1.2. sz. mell.'!C59</f>
        <v>0</v>
      </c>
      <c r="E59" s="393">
        <f t="shared" si="0"/>
        <v>0</v>
      </c>
      <c r="F59" s="391">
        <f t="shared" si="1"/>
        <v>0</v>
      </c>
    </row>
    <row r="60" spans="1:6" s="42" customFormat="1" ht="12" customHeight="1" thickBot="1" x14ac:dyDescent="0.25">
      <c r="A60" s="208" t="s">
        <v>99</v>
      </c>
      <c r="B60" s="194" t="s">
        <v>374</v>
      </c>
      <c r="C60" s="1207">
        <f>600000</f>
        <v>600000</v>
      </c>
      <c r="D60" s="392">
        <f>'9.1.1. sz. mell. '!C60+'9.1.2. sz. mell.'!C60</f>
        <v>600000</v>
      </c>
      <c r="E60" s="394">
        <f t="shared" si="0"/>
        <v>0</v>
      </c>
      <c r="F60" s="391">
        <f t="shared" si="1"/>
        <v>0</v>
      </c>
    </row>
    <row r="61" spans="1:6" s="42" customFormat="1" ht="12" customHeight="1" thickBot="1" x14ac:dyDescent="0.25">
      <c r="A61" s="208" t="s">
        <v>246</v>
      </c>
      <c r="B61" s="194" t="s">
        <v>244</v>
      </c>
      <c r="C61" s="1207">
        <f>1575000+34000</f>
        <v>1609000</v>
      </c>
      <c r="D61" s="392">
        <f>'9.1.1. sz. mell. '!C61+'9.1.2. sz. mell.'!C61</f>
        <v>1609000</v>
      </c>
      <c r="E61" s="394">
        <f t="shared" si="0"/>
        <v>0</v>
      </c>
      <c r="F61" s="391">
        <f t="shared" si="1"/>
        <v>0</v>
      </c>
    </row>
    <row r="62" spans="1:6" s="42" customFormat="1" ht="12" customHeight="1" thickBot="1" x14ac:dyDescent="0.25">
      <c r="A62" s="209" t="s">
        <v>247</v>
      </c>
      <c r="B62" s="195" t="s">
        <v>245</v>
      </c>
      <c r="C62" s="107"/>
      <c r="D62" s="392">
        <f>'9.1.1. sz. mell. '!C62+'9.1.2. sz. mell.'!C62</f>
        <v>0</v>
      </c>
      <c r="E62" s="395">
        <f t="shared" si="0"/>
        <v>0</v>
      </c>
      <c r="F62" s="391">
        <f t="shared" si="1"/>
        <v>0</v>
      </c>
    </row>
    <row r="63" spans="1:6" s="42" customFormat="1" ht="12" customHeight="1" thickBot="1" x14ac:dyDescent="0.25">
      <c r="A63" s="25" t="s">
        <v>28</v>
      </c>
      <c r="B63" s="112" t="s">
        <v>248</v>
      </c>
      <c r="C63" s="282">
        <f>SUM(C64:C66)</f>
        <v>6000000</v>
      </c>
      <c r="D63" s="392">
        <f>'9.1.1. sz. mell. '!C63+'9.1.2. sz. mell.'!C63</f>
        <v>6000000</v>
      </c>
      <c r="E63" s="392">
        <f t="shared" si="0"/>
        <v>0</v>
      </c>
      <c r="F63" s="391">
        <f t="shared" si="1"/>
        <v>0</v>
      </c>
    </row>
    <row r="64" spans="1:6" s="42" customFormat="1" ht="12" customHeight="1" thickBot="1" x14ac:dyDescent="0.25">
      <c r="A64" s="207" t="s">
        <v>147</v>
      </c>
      <c r="B64" s="193" t="s">
        <v>250</v>
      </c>
      <c r="C64" s="1207"/>
      <c r="D64" s="392">
        <f>'9.1.1. sz. mell. '!C64+'9.1.2. sz. mell.'!C64</f>
        <v>0</v>
      </c>
      <c r="E64" s="393">
        <f t="shared" si="0"/>
        <v>0</v>
      </c>
      <c r="F64" s="391">
        <f t="shared" si="1"/>
        <v>0</v>
      </c>
    </row>
    <row r="65" spans="1:6" s="42" customFormat="1" ht="12" customHeight="1" thickBot="1" x14ac:dyDescent="0.25">
      <c r="A65" s="208" t="s">
        <v>148</v>
      </c>
      <c r="B65" s="194" t="s">
        <v>375</v>
      </c>
      <c r="C65" s="1207"/>
      <c r="D65" s="392">
        <f>'9.1.1. sz. mell. '!C65+'9.1.2. sz. mell.'!C65</f>
        <v>0</v>
      </c>
      <c r="E65" s="394">
        <f t="shared" si="0"/>
        <v>0</v>
      </c>
      <c r="F65" s="391">
        <f t="shared" si="1"/>
        <v>0</v>
      </c>
    </row>
    <row r="66" spans="1:6" s="42" customFormat="1" ht="12" customHeight="1" thickBot="1" x14ac:dyDescent="0.25">
      <c r="A66" s="208" t="s">
        <v>174</v>
      </c>
      <c r="B66" s="194" t="s">
        <v>251</v>
      </c>
      <c r="C66" s="1207">
        <f>6000000</f>
        <v>6000000</v>
      </c>
      <c r="D66" s="392">
        <f>'9.1.1. sz. mell. '!C66+'9.1.2. sz. mell.'!C66</f>
        <v>6000000</v>
      </c>
      <c r="E66" s="394">
        <f t="shared" si="0"/>
        <v>0</v>
      </c>
      <c r="F66" s="391">
        <f t="shared" si="1"/>
        <v>0</v>
      </c>
    </row>
    <row r="67" spans="1:6" s="42" customFormat="1" ht="12" customHeight="1" thickBot="1" x14ac:dyDescent="0.25">
      <c r="A67" s="209" t="s">
        <v>249</v>
      </c>
      <c r="B67" s="195" t="s">
        <v>252</v>
      </c>
      <c r="C67" s="1207">
        <f>6000000</f>
        <v>6000000</v>
      </c>
      <c r="D67" s="392">
        <f>'9.1.1. sz. mell. '!C67+'9.1.2. sz. mell.'!C67</f>
        <v>6000000</v>
      </c>
      <c r="E67" s="395">
        <f t="shared" si="0"/>
        <v>0</v>
      </c>
      <c r="F67" s="391">
        <f t="shared" si="1"/>
        <v>0</v>
      </c>
    </row>
    <row r="68" spans="1:6" s="42" customFormat="1" ht="12" customHeight="1" thickBot="1" x14ac:dyDescent="0.25">
      <c r="A68" s="25" t="s">
        <v>29</v>
      </c>
      <c r="B68" s="18" t="s">
        <v>253</v>
      </c>
      <c r="C68" s="285">
        <f>+C9+C18+C25+C32+C40+C52+C58+C63</f>
        <v>2360605030</v>
      </c>
      <c r="D68" s="392">
        <f>'9.1.1. sz. mell. '!C68+'9.1.2. sz. mell.'!C68</f>
        <v>2360605030</v>
      </c>
      <c r="E68" s="392">
        <f t="shared" si="0"/>
        <v>0</v>
      </c>
      <c r="F68" s="391">
        <f t="shared" si="1"/>
        <v>0</v>
      </c>
    </row>
    <row r="69" spans="1:6" s="42" customFormat="1" ht="12" customHeight="1" thickBot="1" x14ac:dyDescent="0.2">
      <c r="A69" s="210" t="s">
        <v>343</v>
      </c>
      <c r="B69" s="112" t="s">
        <v>255</v>
      </c>
      <c r="C69" s="282">
        <f>SUM(C70:C72)</f>
        <v>733570614</v>
      </c>
      <c r="D69" s="392">
        <f>'9.1.1. sz. mell. '!C69+'9.1.2. sz. mell.'!C69</f>
        <v>733570614</v>
      </c>
      <c r="E69" s="392">
        <f t="shared" si="0"/>
        <v>0</v>
      </c>
      <c r="F69" s="391">
        <f t="shared" si="1"/>
        <v>0</v>
      </c>
    </row>
    <row r="70" spans="1:6" s="42" customFormat="1" ht="12" customHeight="1" thickBot="1" x14ac:dyDescent="0.25">
      <c r="A70" s="207" t="s">
        <v>286</v>
      </c>
      <c r="B70" s="193" t="s">
        <v>256</v>
      </c>
      <c r="C70" s="1214">
        <f>44951899-2540000-8841285</f>
        <v>33570614</v>
      </c>
      <c r="D70" s="392">
        <f>'9.1.1. sz. mell. '!C70+'9.1.2. sz. mell.'!C70</f>
        <v>33570614</v>
      </c>
      <c r="E70" s="393">
        <f t="shared" si="0"/>
        <v>0</v>
      </c>
      <c r="F70" s="391">
        <f t="shared" si="1"/>
        <v>0</v>
      </c>
    </row>
    <row r="71" spans="1:6" s="42" customFormat="1" ht="12" customHeight="1" thickBot="1" x14ac:dyDescent="0.25">
      <c r="A71" s="208" t="s">
        <v>295</v>
      </c>
      <c r="B71" s="194" t="s">
        <v>257</v>
      </c>
      <c r="C71" s="1207">
        <v>700000000</v>
      </c>
      <c r="D71" s="392">
        <f>'9.1.1. sz. mell. '!C71+'9.1.2. sz. mell.'!C71</f>
        <v>700000000</v>
      </c>
      <c r="E71" s="394">
        <f t="shared" si="0"/>
        <v>0</v>
      </c>
      <c r="F71" s="391">
        <f t="shared" si="1"/>
        <v>0</v>
      </c>
    </row>
    <row r="72" spans="1:6" s="42" customFormat="1" ht="12" customHeight="1" thickBot="1" x14ac:dyDescent="0.25">
      <c r="A72" s="209" t="s">
        <v>296</v>
      </c>
      <c r="B72" s="196" t="s">
        <v>258</v>
      </c>
      <c r="C72" s="1207"/>
      <c r="D72" s="392">
        <f>'9.1.1. sz. mell. '!C72+'9.1.2. sz. mell.'!C72</f>
        <v>0</v>
      </c>
      <c r="E72" s="395">
        <f t="shared" si="0"/>
        <v>0</v>
      </c>
      <c r="F72" s="391">
        <f t="shared" si="1"/>
        <v>0</v>
      </c>
    </row>
    <row r="73" spans="1:6" s="42" customFormat="1" ht="12" customHeight="1" thickBot="1" x14ac:dyDescent="0.2">
      <c r="A73" s="210" t="s">
        <v>259</v>
      </c>
      <c r="B73" s="112" t="s">
        <v>260</v>
      </c>
      <c r="C73" s="282">
        <f>SUM(C74:C77)</f>
        <v>0</v>
      </c>
      <c r="D73" s="392">
        <f>'9.1.1. sz. mell. '!C73+'9.1.2. sz. mell.'!C73</f>
        <v>0</v>
      </c>
      <c r="E73" s="392">
        <f t="shared" si="0"/>
        <v>0</v>
      </c>
      <c r="F73" s="391">
        <f t="shared" si="1"/>
        <v>0</v>
      </c>
    </row>
    <row r="74" spans="1:6" s="42" customFormat="1" ht="12" customHeight="1" thickBot="1" x14ac:dyDescent="0.25">
      <c r="A74" s="207" t="s">
        <v>127</v>
      </c>
      <c r="B74" s="193" t="s">
        <v>261</v>
      </c>
      <c r="C74" s="1207"/>
      <c r="D74" s="392">
        <f>'9.1.1. sz. mell. '!C74+'9.1.2. sz. mell.'!C74</f>
        <v>0</v>
      </c>
      <c r="E74" s="393">
        <f t="shared" si="0"/>
        <v>0</v>
      </c>
      <c r="F74" s="391">
        <f t="shared" si="1"/>
        <v>0</v>
      </c>
    </row>
    <row r="75" spans="1:6" s="42" customFormat="1" ht="12" customHeight="1" thickBot="1" x14ac:dyDescent="0.25">
      <c r="A75" s="208" t="s">
        <v>128</v>
      </c>
      <c r="B75" s="194" t="s">
        <v>262</v>
      </c>
      <c r="C75" s="1207"/>
      <c r="D75" s="392">
        <f>'9.1.1. sz. mell. '!C75+'9.1.2. sz. mell.'!C75</f>
        <v>0</v>
      </c>
      <c r="E75" s="394">
        <f t="shared" ref="E75:E93" si="2">C75-D75</f>
        <v>0</v>
      </c>
      <c r="F75" s="391">
        <f t="shared" si="1"/>
        <v>0</v>
      </c>
    </row>
    <row r="76" spans="1:6" s="42" customFormat="1" ht="12" customHeight="1" thickBot="1" x14ac:dyDescent="0.25">
      <c r="A76" s="208" t="s">
        <v>287</v>
      </c>
      <c r="B76" s="194" t="s">
        <v>263</v>
      </c>
      <c r="C76" s="1207"/>
      <c r="D76" s="392">
        <f>'9.1.1. sz. mell. '!C76+'9.1.2. sz. mell.'!C76</f>
        <v>0</v>
      </c>
      <c r="E76" s="394">
        <f t="shared" si="2"/>
        <v>0</v>
      </c>
      <c r="F76" s="391">
        <f t="shared" ref="F76:F139" si="3">C76-D76</f>
        <v>0</v>
      </c>
    </row>
    <row r="77" spans="1:6" s="42" customFormat="1" ht="12" customHeight="1" thickBot="1" x14ac:dyDescent="0.25">
      <c r="A77" s="209" t="s">
        <v>288</v>
      </c>
      <c r="B77" s="195" t="s">
        <v>264</v>
      </c>
      <c r="C77" s="1207"/>
      <c r="D77" s="392">
        <f>'9.1.1. sz. mell. '!C77+'9.1.2. sz. mell.'!C77</f>
        <v>0</v>
      </c>
      <c r="E77" s="395">
        <f t="shared" si="2"/>
        <v>0</v>
      </c>
      <c r="F77" s="391">
        <f t="shared" si="3"/>
        <v>0</v>
      </c>
    </row>
    <row r="78" spans="1:6" s="42" customFormat="1" ht="12" customHeight="1" thickBot="1" x14ac:dyDescent="0.2">
      <c r="A78" s="210" t="s">
        <v>265</v>
      </c>
      <c r="B78" s="112" t="s">
        <v>266</v>
      </c>
      <c r="C78" s="282">
        <f>SUM(C79:C80)</f>
        <v>938305086</v>
      </c>
      <c r="D78" s="392">
        <f>'9.1.1. sz. mell. '!C78+'9.1.2. sz. mell.'!C78</f>
        <v>938305086</v>
      </c>
      <c r="E78" s="392">
        <f t="shared" si="2"/>
        <v>0</v>
      </c>
      <c r="F78" s="391">
        <f t="shared" si="3"/>
        <v>0</v>
      </c>
    </row>
    <row r="79" spans="1:6" s="42" customFormat="1" ht="12" customHeight="1" thickBot="1" x14ac:dyDescent="0.25">
      <c r="A79" s="207" t="s">
        <v>289</v>
      </c>
      <c r="B79" s="193" t="s">
        <v>267</v>
      </c>
      <c r="C79" s="1207">
        <f>941573826-3268740</f>
        <v>938305086</v>
      </c>
      <c r="D79" s="392">
        <f>'9.1.1. sz. mell. '!C79+'9.1.2. sz. mell.'!C79</f>
        <v>938305086</v>
      </c>
      <c r="E79" s="393">
        <f t="shared" si="2"/>
        <v>0</v>
      </c>
      <c r="F79" s="391">
        <f t="shared" si="3"/>
        <v>0</v>
      </c>
    </row>
    <row r="80" spans="1:6" s="42" customFormat="1" ht="12" customHeight="1" thickBot="1" x14ac:dyDescent="0.25">
      <c r="A80" s="209" t="s">
        <v>290</v>
      </c>
      <c r="B80" s="195" t="s">
        <v>268</v>
      </c>
      <c r="C80" s="1207"/>
      <c r="D80" s="392">
        <f>'9.1.1. sz. mell. '!C80+'9.1.2. sz. mell.'!C80</f>
        <v>0</v>
      </c>
      <c r="E80" s="395">
        <f t="shared" si="2"/>
        <v>0</v>
      </c>
      <c r="F80" s="391">
        <f t="shared" si="3"/>
        <v>0</v>
      </c>
    </row>
    <row r="81" spans="1:6" s="41" customFormat="1" ht="12" customHeight="1" thickBot="1" x14ac:dyDescent="0.2">
      <c r="A81" s="210" t="s">
        <v>269</v>
      </c>
      <c r="B81" s="112" t="s">
        <v>270</v>
      </c>
      <c r="C81" s="282">
        <f>SUM(C82:C84)</f>
        <v>45672254</v>
      </c>
      <c r="D81" s="392">
        <f>'9.1.1. sz. mell. '!C81+'9.1.2. sz. mell.'!C81</f>
        <v>45672254</v>
      </c>
      <c r="E81" s="392">
        <f t="shared" si="2"/>
        <v>0</v>
      </c>
      <c r="F81" s="391">
        <f t="shared" si="3"/>
        <v>0</v>
      </c>
    </row>
    <row r="82" spans="1:6" s="42" customFormat="1" ht="12" customHeight="1" thickBot="1" x14ac:dyDescent="0.25">
      <c r="A82" s="207" t="s">
        <v>291</v>
      </c>
      <c r="B82" s="193" t="s">
        <v>271</v>
      </c>
      <c r="C82" s="1207">
        <f>45672254</f>
        <v>45672254</v>
      </c>
      <c r="D82" s="392">
        <f>'9.1.1. sz. mell. '!C82+'9.1.2. sz. mell.'!C82</f>
        <v>45672254</v>
      </c>
      <c r="E82" s="393">
        <f t="shared" si="2"/>
        <v>0</v>
      </c>
      <c r="F82" s="391">
        <f t="shared" si="3"/>
        <v>0</v>
      </c>
    </row>
    <row r="83" spans="1:6" s="42" customFormat="1" ht="12" customHeight="1" thickBot="1" x14ac:dyDescent="0.25">
      <c r="A83" s="208" t="s">
        <v>292</v>
      </c>
      <c r="B83" s="194" t="s">
        <v>272</v>
      </c>
      <c r="C83" s="1207"/>
      <c r="D83" s="392">
        <f>'9.1.1. sz. mell. '!C83+'9.1.2. sz. mell.'!C83</f>
        <v>0</v>
      </c>
      <c r="E83" s="394">
        <f t="shared" si="2"/>
        <v>0</v>
      </c>
      <c r="F83" s="391">
        <f t="shared" si="3"/>
        <v>0</v>
      </c>
    </row>
    <row r="84" spans="1:6" s="42" customFormat="1" ht="12" customHeight="1" thickBot="1" x14ac:dyDescent="0.25">
      <c r="A84" s="209" t="s">
        <v>293</v>
      </c>
      <c r="B84" s="195" t="s">
        <v>273</v>
      </c>
      <c r="C84" s="1207"/>
      <c r="D84" s="392">
        <f>'9.1.1. sz. mell. '!C84+'9.1.2. sz. mell.'!C84</f>
        <v>0</v>
      </c>
      <c r="E84" s="395">
        <f t="shared" si="2"/>
        <v>0</v>
      </c>
      <c r="F84" s="391">
        <f t="shared" si="3"/>
        <v>0</v>
      </c>
    </row>
    <row r="85" spans="1:6" s="42" customFormat="1" ht="12" customHeight="1" thickBot="1" x14ac:dyDescent="0.2">
      <c r="A85" s="210" t="s">
        <v>274</v>
      </c>
      <c r="B85" s="112" t="s">
        <v>294</v>
      </c>
      <c r="C85" s="282">
        <f>SUM(C86:C89)</f>
        <v>0</v>
      </c>
      <c r="D85" s="392">
        <f>'9.1.1. sz. mell. '!C85+'9.1.2. sz. mell.'!C85</f>
        <v>0</v>
      </c>
      <c r="E85" s="392">
        <f t="shared" si="2"/>
        <v>0</v>
      </c>
      <c r="F85" s="391">
        <f t="shared" si="3"/>
        <v>0</v>
      </c>
    </row>
    <row r="86" spans="1:6" s="42" customFormat="1" ht="12" customHeight="1" thickBot="1" x14ac:dyDescent="0.25">
      <c r="A86" s="211" t="s">
        <v>275</v>
      </c>
      <c r="B86" s="193" t="s">
        <v>276</v>
      </c>
      <c r="C86" s="1207"/>
      <c r="D86" s="392">
        <f>'9.1.1. sz. mell. '!C86+'9.1.2. sz. mell.'!C86</f>
        <v>0</v>
      </c>
      <c r="E86" s="393">
        <f t="shared" si="2"/>
        <v>0</v>
      </c>
      <c r="F86" s="391">
        <f t="shared" si="3"/>
        <v>0</v>
      </c>
    </row>
    <row r="87" spans="1:6" s="42" customFormat="1" ht="12" customHeight="1" thickBot="1" x14ac:dyDescent="0.25">
      <c r="A87" s="212" t="s">
        <v>277</v>
      </c>
      <c r="B87" s="194" t="s">
        <v>278</v>
      </c>
      <c r="C87" s="1207"/>
      <c r="D87" s="392">
        <f>'9.1.1. sz. mell. '!C87+'9.1.2. sz. mell.'!C87</f>
        <v>0</v>
      </c>
      <c r="E87" s="394">
        <f t="shared" si="2"/>
        <v>0</v>
      </c>
      <c r="F87" s="391">
        <f t="shared" si="3"/>
        <v>0</v>
      </c>
    </row>
    <row r="88" spans="1:6" s="42" customFormat="1" ht="12" customHeight="1" thickBot="1" x14ac:dyDescent="0.25">
      <c r="A88" s="212" t="s">
        <v>279</v>
      </c>
      <c r="B88" s="194" t="s">
        <v>280</v>
      </c>
      <c r="C88" s="1207"/>
      <c r="D88" s="392">
        <f>'9.1.1. sz. mell. '!C88+'9.1.2. sz. mell.'!C88</f>
        <v>0</v>
      </c>
      <c r="E88" s="394">
        <f t="shared" si="2"/>
        <v>0</v>
      </c>
      <c r="F88" s="391">
        <f t="shared" si="3"/>
        <v>0</v>
      </c>
    </row>
    <row r="89" spans="1:6" s="41" customFormat="1" ht="12" customHeight="1" thickBot="1" x14ac:dyDescent="0.25">
      <c r="A89" s="213" t="s">
        <v>281</v>
      </c>
      <c r="B89" s="195" t="s">
        <v>282</v>
      </c>
      <c r="C89" s="1207"/>
      <c r="D89" s="392">
        <f>'9.1.1. sz. mell. '!C89+'9.1.2. sz. mell.'!C89</f>
        <v>0</v>
      </c>
      <c r="E89" s="395">
        <f t="shared" si="2"/>
        <v>0</v>
      </c>
      <c r="F89" s="391">
        <f t="shared" si="3"/>
        <v>0</v>
      </c>
    </row>
    <row r="90" spans="1:6" s="41" customFormat="1" ht="12" customHeight="1" thickBot="1" x14ac:dyDescent="0.2">
      <c r="A90" s="210" t="s">
        <v>283</v>
      </c>
      <c r="B90" s="112" t="s">
        <v>457</v>
      </c>
      <c r="C90" s="287"/>
      <c r="D90" s="392">
        <f>'9.1.1. sz. mell. '!C90+'9.1.2. sz. mell.'!C90</f>
        <v>0</v>
      </c>
      <c r="E90" s="392">
        <f t="shared" si="2"/>
        <v>0</v>
      </c>
      <c r="F90" s="391">
        <f t="shared" si="3"/>
        <v>0</v>
      </c>
    </row>
    <row r="91" spans="1:6" s="41" customFormat="1" ht="12" customHeight="1" thickBot="1" x14ac:dyDescent="0.2">
      <c r="A91" s="210" t="s">
        <v>509</v>
      </c>
      <c r="B91" s="112" t="s">
        <v>284</v>
      </c>
      <c r="C91" s="287"/>
      <c r="D91" s="392">
        <f>'9.1.1. sz. mell. '!C91+'9.1.2. sz. mell.'!C91</f>
        <v>0</v>
      </c>
      <c r="E91" s="392">
        <f t="shared" si="2"/>
        <v>0</v>
      </c>
      <c r="F91" s="391">
        <f t="shared" si="3"/>
        <v>0</v>
      </c>
    </row>
    <row r="92" spans="1:6" s="41" customFormat="1" ht="12" customHeight="1" thickBot="1" x14ac:dyDescent="0.2">
      <c r="A92" s="210" t="s">
        <v>510</v>
      </c>
      <c r="B92" s="200" t="s">
        <v>458</v>
      </c>
      <c r="C92" s="285">
        <f>+C69+C73+C78+C81+C85+C91+C90</f>
        <v>1717547954</v>
      </c>
      <c r="D92" s="392">
        <f>'9.1.1. sz. mell. '!C92+'9.1.2. sz. mell.'!C92</f>
        <v>1717547954</v>
      </c>
      <c r="E92" s="392">
        <f t="shared" si="2"/>
        <v>0</v>
      </c>
      <c r="F92" s="391">
        <f t="shared" si="3"/>
        <v>0</v>
      </c>
    </row>
    <row r="93" spans="1:6" s="41" customFormat="1" ht="12" customHeight="1" thickBot="1" x14ac:dyDescent="0.2">
      <c r="A93" s="214" t="s">
        <v>511</v>
      </c>
      <c r="B93" s="201" t="s">
        <v>512</v>
      </c>
      <c r="C93" s="285">
        <f>+C68+C92</f>
        <v>4078152984</v>
      </c>
      <c r="D93" s="392">
        <f>'9.1.1. sz. mell. '!C93+'9.1.2. sz. mell.'!C93</f>
        <v>4078152984</v>
      </c>
      <c r="E93" s="392">
        <f t="shared" si="2"/>
        <v>0</v>
      </c>
      <c r="F93" s="391">
        <f t="shared" si="3"/>
        <v>0</v>
      </c>
    </row>
    <row r="94" spans="1:6" s="42" customFormat="1" ht="15" customHeight="1" thickBot="1" x14ac:dyDescent="0.25">
      <c r="A94" s="94"/>
      <c r="B94" s="95"/>
      <c r="C94" s="170"/>
      <c r="D94" s="392">
        <f>'9.1.1. sz. mell. '!C94+'9.1.2. sz. mell.'!C94</f>
        <v>0</v>
      </c>
      <c r="E94" s="1018"/>
      <c r="F94" s="391">
        <f t="shared" si="3"/>
        <v>0</v>
      </c>
    </row>
    <row r="95" spans="1:6" s="33" customFormat="1" ht="16.5" customHeight="1" thickBot="1" x14ac:dyDescent="0.25">
      <c r="A95" s="98"/>
      <c r="B95" s="99" t="s">
        <v>59</v>
      </c>
      <c r="C95" s="172"/>
      <c r="D95" s="392">
        <f>'9.1.1. sz. mell. '!C95+'9.1.2. sz. mell.'!C95</f>
        <v>0</v>
      </c>
      <c r="E95" s="1018"/>
      <c r="F95" s="391">
        <f t="shared" si="3"/>
        <v>0</v>
      </c>
    </row>
    <row r="96" spans="1:6" s="1010" customFormat="1" ht="12" customHeight="1" thickBot="1" x14ac:dyDescent="0.25">
      <c r="A96" s="185" t="s">
        <v>21</v>
      </c>
      <c r="B96" s="23" t="s">
        <v>522</v>
      </c>
      <c r="C96" s="290">
        <f>+C97+C98+C99+C100+C101+C114</f>
        <v>875030724</v>
      </c>
      <c r="D96" s="392">
        <f>'9.1.1. sz. mell. '!C96+'9.1.2. sz. mell.'!C96</f>
        <v>875030724</v>
      </c>
      <c r="E96" s="392">
        <f t="shared" ref="E96:E159" si="4">C96-D96</f>
        <v>0</v>
      </c>
      <c r="F96" s="391">
        <f t="shared" si="3"/>
        <v>0</v>
      </c>
    </row>
    <row r="97" spans="1:6" ht="12" customHeight="1" thickBot="1" x14ac:dyDescent="0.25">
      <c r="A97" s="215" t="s">
        <v>100</v>
      </c>
      <c r="B97" s="7" t="s">
        <v>51</v>
      </c>
      <c r="C97" s="1216">
        <f>58196818+386400-2106730+1447647+483000-4699427</f>
        <v>53707708</v>
      </c>
      <c r="D97" s="392">
        <f>'9.1.1. sz. mell. '!C97+'9.1.2. sz. mell.'!C97</f>
        <v>53707708</v>
      </c>
      <c r="E97" s="393">
        <f t="shared" si="4"/>
        <v>0</v>
      </c>
      <c r="F97" s="391">
        <f t="shared" si="3"/>
        <v>0</v>
      </c>
    </row>
    <row r="98" spans="1:6" ht="12" customHeight="1" thickBot="1" x14ac:dyDescent="0.25">
      <c r="A98" s="208" t="s">
        <v>101</v>
      </c>
      <c r="B98" s="5" t="s">
        <v>149</v>
      </c>
      <c r="C98" s="1214">
        <f>10227471+67620+129165+74865-1270081</f>
        <v>9229040</v>
      </c>
      <c r="D98" s="392">
        <f>'9.1.1. sz. mell. '!C98+'9.1.2. sz. mell.'!C98</f>
        <v>9229040</v>
      </c>
      <c r="E98" s="394">
        <f t="shared" si="4"/>
        <v>0</v>
      </c>
      <c r="F98" s="391">
        <f t="shared" si="3"/>
        <v>0</v>
      </c>
    </row>
    <row r="99" spans="1:6" ht="12" customHeight="1" thickBot="1" x14ac:dyDescent="0.25">
      <c r="A99" s="208" t="s">
        <v>102</v>
      </c>
      <c r="B99" s="5" t="s">
        <v>125</v>
      </c>
      <c r="C99" s="1217">
        <f>370342686-649147+75039+18509+3886662+243600+488+17448317+32000-9488453</f>
        <v>381909701</v>
      </c>
      <c r="D99" s="392">
        <f>'9.1.1. sz. mell. '!C99+'9.1.2. sz. mell.'!C99</f>
        <v>381909701</v>
      </c>
      <c r="E99" s="394">
        <f t="shared" si="4"/>
        <v>0</v>
      </c>
      <c r="F99" s="391">
        <f t="shared" si="3"/>
        <v>0</v>
      </c>
    </row>
    <row r="100" spans="1:6" ht="12" customHeight="1" thickBot="1" x14ac:dyDescent="0.25">
      <c r="A100" s="208" t="s">
        <v>103</v>
      </c>
      <c r="B100" s="8" t="s">
        <v>150</v>
      </c>
      <c r="C100" s="1208">
        <v>61300000</v>
      </c>
      <c r="D100" s="392">
        <f>'9.1.1. sz. mell. '!C100+'9.1.2. sz. mell.'!C100</f>
        <v>61300000</v>
      </c>
      <c r="E100" s="394">
        <f t="shared" si="4"/>
        <v>0</v>
      </c>
      <c r="F100" s="391">
        <f t="shared" si="3"/>
        <v>0</v>
      </c>
    </row>
    <row r="101" spans="1:6" ht="12" customHeight="1" thickBot="1" x14ac:dyDescent="0.25">
      <c r="A101" s="208" t="s">
        <v>114</v>
      </c>
      <c r="B101" s="16" t="s">
        <v>151</v>
      </c>
      <c r="C101" s="1208">
        <f>SUM(C102:C113)</f>
        <v>214669793</v>
      </c>
      <c r="D101" s="392">
        <f>'9.1.1. sz. mell. '!C101+'9.1.2. sz. mell.'!C101</f>
        <v>214669793</v>
      </c>
      <c r="E101" s="394">
        <f t="shared" si="4"/>
        <v>0</v>
      </c>
      <c r="F101" s="391">
        <f>C101-D101</f>
        <v>0</v>
      </c>
    </row>
    <row r="102" spans="1:6" ht="12" customHeight="1" thickBot="1" x14ac:dyDescent="0.25">
      <c r="A102" s="208" t="s">
        <v>104</v>
      </c>
      <c r="B102" s="5" t="s">
        <v>513</v>
      </c>
      <c r="C102" s="1208">
        <f>792176</f>
        <v>792176</v>
      </c>
      <c r="D102" s="392">
        <f>'9.1.1. sz. mell. '!C102+'9.1.2. sz. mell.'!C102</f>
        <v>792176</v>
      </c>
      <c r="E102" s="394">
        <f t="shared" si="4"/>
        <v>0</v>
      </c>
      <c r="F102" s="391">
        <f t="shared" si="3"/>
        <v>0</v>
      </c>
    </row>
    <row r="103" spans="1:6" ht="12" customHeight="1" thickBot="1" x14ac:dyDescent="0.25">
      <c r="A103" s="208" t="s">
        <v>105</v>
      </c>
      <c r="B103" s="61" t="s">
        <v>462</v>
      </c>
      <c r="C103" s="1208"/>
      <c r="D103" s="392">
        <f>'9.1.1. sz. mell. '!C103+'9.1.2. sz. mell.'!C103</f>
        <v>0</v>
      </c>
      <c r="E103" s="394">
        <f t="shared" si="4"/>
        <v>0</v>
      </c>
      <c r="F103" s="391">
        <f t="shared" si="3"/>
        <v>0</v>
      </c>
    </row>
    <row r="104" spans="1:6" ht="12" customHeight="1" thickBot="1" x14ac:dyDescent="0.25">
      <c r="A104" s="208" t="s">
        <v>115</v>
      </c>
      <c r="B104" s="61" t="s">
        <v>463</v>
      </c>
      <c r="C104" s="1208"/>
      <c r="D104" s="392">
        <f>'9.1.1. sz. mell. '!C104+'9.1.2. sz. mell.'!C104</f>
        <v>0</v>
      </c>
      <c r="E104" s="394">
        <f t="shared" si="4"/>
        <v>0</v>
      </c>
      <c r="F104" s="391">
        <f t="shared" si="3"/>
        <v>0</v>
      </c>
    </row>
    <row r="105" spans="1:6" ht="12" customHeight="1" thickBot="1" x14ac:dyDescent="0.25">
      <c r="A105" s="208" t="s">
        <v>116</v>
      </c>
      <c r="B105" s="61" t="s">
        <v>300</v>
      </c>
      <c r="C105" s="1208"/>
      <c r="D105" s="392">
        <f>'9.1.1. sz. mell. '!C105+'9.1.2. sz. mell.'!C105</f>
        <v>0</v>
      </c>
      <c r="E105" s="394">
        <f t="shared" si="4"/>
        <v>0</v>
      </c>
      <c r="F105" s="391">
        <f t="shared" si="3"/>
        <v>0</v>
      </c>
    </row>
    <row r="106" spans="1:6" ht="12" customHeight="1" thickBot="1" x14ac:dyDescent="0.25">
      <c r="A106" s="208" t="s">
        <v>117</v>
      </c>
      <c r="B106" s="62" t="s">
        <v>301</v>
      </c>
      <c r="C106" s="1208"/>
      <c r="D106" s="392">
        <f>'9.1.1. sz. mell. '!C106+'9.1.2. sz. mell.'!C106</f>
        <v>0</v>
      </c>
      <c r="E106" s="394">
        <f t="shared" si="4"/>
        <v>0</v>
      </c>
      <c r="F106" s="391">
        <f t="shared" si="3"/>
        <v>0</v>
      </c>
    </row>
    <row r="107" spans="1:6" ht="12" customHeight="1" thickBot="1" x14ac:dyDescent="0.25">
      <c r="A107" s="208" t="s">
        <v>118</v>
      </c>
      <c r="B107" s="62" t="s">
        <v>302</v>
      </c>
      <c r="C107" s="1208"/>
      <c r="D107" s="392">
        <f>'9.1.1. sz. mell. '!C107+'9.1.2. sz. mell.'!C107</f>
        <v>0</v>
      </c>
      <c r="E107" s="394">
        <f t="shared" si="4"/>
        <v>0</v>
      </c>
      <c r="F107" s="391">
        <f t="shared" si="3"/>
        <v>0</v>
      </c>
    </row>
    <row r="108" spans="1:6" ht="12" customHeight="1" thickBot="1" x14ac:dyDescent="0.25">
      <c r="A108" s="208" t="s">
        <v>120</v>
      </c>
      <c r="B108" s="61" t="s">
        <v>303</v>
      </c>
      <c r="C108" s="1208">
        <f>526000+935000</f>
        <v>1461000</v>
      </c>
      <c r="D108" s="392">
        <f>'9.1.1. sz. mell. '!C108+'9.1.2. sz. mell.'!C108</f>
        <v>1461000</v>
      </c>
      <c r="E108" s="394">
        <f t="shared" si="4"/>
        <v>0</v>
      </c>
      <c r="F108" s="391">
        <f t="shared" si="3"/>
        <v>0</v>
      </c>
    </row>
    <row r="109" spans="1:6" ht="12" customHeight="1" thickBot="1" x14ac:dyDescent="0.25">
      <c r="A109" s="208" t="s">
        <v>152</v>
      </c>
      <c r="B109" s="61" t="s">
        <v>304</v>
      </c>
      <c r="C109" s="1208"/>
      <c r="D109" s="392">
        <f>'9.1.1. sz. mell. '!C109+'9.1.2. sz. mell.'!C109</f>
        <v>0</v>
      </c>
      <c r="E109" s="394">
        <f t="shared" si="4"/>
        <v>0</v>
      </c>
      <c r="F109" s="391">
        <f t="shared" si="3"/>
        <v>0</v>
      </c>
    </row>
    <row r="110" spans="1:6" ht="12" customHeight="1" thickBot="1" x14ac:dyDescent="0.25">
      <c r="A110" s="208" t="s">
        <v>298</v>
      </c>
      <c r="B110" s="62" t="s">
        <v>305</v>
      </c>
      <c r="C110" s="1208"/>
      <c r="D110" s="392">
        <f>'9.1.1. sz. mell. '!C110+'9.1.2. sz. mell.'!C110</f>
        <v>0</v>
      </c>
      <c r="E110" s="394">
        <f t="shared" si="4"/>
        <v>0</v>
      </c>
      <c r="F110" s="391">
        <f t="shared" si="3"/>
        <v>0</v>
      </c>
    </row>
    <row r="111" spans="1:6" ht="12" customHeight="1" thickBot="1" x14ac:dyDescent="0.25">
      <c r="A111" s="216" t="s">
        <v>299</v>
      </c>
      <c r="B111" s="63" t="s">
        <v>306</v>
      </c>
      <c r="C111" s="1208"/>
      <c r="D111" s="392">
        <f>'9.1.1. sz. mell. '!C111+'9.1.2. sz. mell.'!C111</f>
        <v>0</v>
      </c>
      <c r="E111" s="394">
        <f t="shared" si="4"/>
        <v>0</v>
      </c>
      <c r="F111" s="391">
        <f t="shared" si="3"/>
        <v>0</v>
      </c>
    </row>
    <row r="112" spans="1:6" ht="12" customHeight="1" thickBot="1" x14ac:dyDescent="0.25">
      <c r="A112" s="208" t="s">
        <v>464</v>
      </c>
      <c r="B112" s="63" t="s">
        <v>307</v>
      </c>
      <c r="C112" s="1208"/>
      <c r="D112" s="392">
        <f>'9.1.1. sz. mell. '!C112+'9.1.2. sz. mell.'!C112</f>
        <v>0</v>
      </c>
      <c r="E112" s="394">
        <f t="shared" si="4"/>
        <v>0</v>
      </c>
      <c r="F112" s="391">
        <f t="shared" si="3"/>
        <v>0</v>
      </c>
    </row>
    <row r="113" spans="1:6" ht="12" customHeight="1" thickBot="1" x14ac:dyDescent="0.25">
      <c r="A113" s="208" t="s">
        <v>465</v>
      </c>
      <c r="B113" s="62" t="s">
        <v>308</v>
      </c>
      <c r="C113" s="1207">
        <f>209809461-3+1620969+986190</f>
        <v>212416617</v>
      </c>
      <c r="D113" s="392">
        <f>'9.1.1. sz. mell. '!C113+'9.1.2. sz. mell.'!C113</f>
        <v>212416617</v>
      </c>
      <c r="E113" s="394">
        <f t="shared" si="4"/>
        <v>0</v>
      </c>
      <c r="F113" s="391">
        <f t="shared" si="3"/>
        <v>0</v>
      </c>
    </row>
    <row r="114" spans="1:6" ht="12" customHeight="1" thickBot="1" x14ac:dyDescent="0.25">
      <c r="A114" s="208" t="s">
        <v>466</v>
      </c>
      <c r="B114" s="8" t="s">
        <v>52</v>
      </c>
      <c r="C114" s="1207">
        <f>SUM(C115:C116)</f>
        <v>154214482</v>
      </c>
      <c r="D114" s="392">
        <f>'9.1.1. sz. mell. '!C114+'9.1.2. sz. mell.'!C114</f>
        <v>154214482</v>
      </c>
      <c r="E114" s="394">
        <f t="shared" si="4"/>
        <v>0</v>
      </c>
      <c r="F114" s="391">
        <f t="shared" si="3"/>
        <v>0</v>
      </c>
    </row>
    <row r="115" spans="1:6" ht="12" customHeight="1" thickBot="1" x14ac:dyDescent="0.25">
      <c r="A115" s="209" t="s">
        <v>467</v>
      </c>
      <c r="B115" s="5" t="s">
        <v>514</v>
      </c>
      <c r="C115" s="1217">
        <f>20000000+10207308-13229384-322815+29863551-32000+769709</f>
        <v>47256369</v>
      </c>
      <c r="D115" s="392">
        <f>'9.1.1. sz. mell. '!C115+'9.1.2. sz. mell.'!C115</f>
        <v>47256369</v>
      </c>
      <c r="E115" s="394">
        <f t="shared" si="4"/>
        <v>0</v>
      </c>
      <c r="F115" s="391">
        <f t="shared" si="3"/>
        <v>0</v>
      </c>
    </row>
    <row r="116" spans="1:6" ht="12" customHeight="1" thickBot="1" x14ac:dyDescent="0.25">
      <c r="A116" s="217" t="s">
        <v>469</v>
      </c>
      <c r="B116" s="64" t="s">
        <v>515</v>
      </c>
      <c r="C116" s="1218">
        <f>113240838-1722008-810685-253737-15000000+11503705</f>
        <v>106958113</v>
      </c>
      <c r="D116" s="392">
        <f>'9.1.1. sz. mell. '!C116+'9.1.2. sz. mell.'!C116</f>
        <v>106958113</v>
      </c>
      <c r="E116" s="395">
        <f t="shared" si="4"/>
        <v>0</v>
      </c>
      <c r="F116" s="391">
        <f t="shared" si="3"/>
        <v>0</v>
      </c>
    </row>
    <row r="117" spans="1:6" ht="12" customHeight="1" thickBot="1" x14ac:dyDescent="0.25">
      <c r="A117" s="25" t="s">
        <v>22</v>
      </c>
      <c r="B117" s="22" t="s">
        <v>309</v>
      </c>
      <c r="C117" s="282">
        <f>+C118+C120+C122</f>
        <v>918724083</v>
      </c>
      <c r="D117" s="392">
        <f>'9.1.1. sz. mell. '!C117+'9.1.2. sz. mell.'!C117</f>
        <v>918724083</v>
      </c>
      <c r="E117" s="392">
        <f t="shared" si="4"/>
        <v>0</v>
      </c>
      <c r="F117" s="391">
        <f t="shared" si="3"/>
        <v>0</v>
      </c>
    </row>
    <row r="118" spans="1:6" ht="12" customHeight="1" thickBot="1" x14ac:dyDescent="0.25">
      <c r="A118" s="207" t="s">
        <v>106</v>
      </c>
      <c r="B118" s="5" t="s">
        <v>173</v>
      </c>
      <c r="C118" s="1219">
        <f>653972603-2000000+109147+6000000+1174312-488+3102460-15972467</f>
        <v>646385567</v>
      </c>
      <c r="D118" s="392">
        <f>'9.1.1. sz. mell. '!C118+'9.1.2. sz. mell.'!C118</f>
        <v>646385567</v>
      </c>
      <c r="E118" s="393">
        <f t="shared" si="4"/>
        <v>0</v>
      </c>
      <c r="F118" s="391">
        <f t="shared" si="3"/>
        <v>0</v>
      </c>
    </row>
    <row r="119" spans="1:6" ht="12" customHeight="1" thickBot="1" x14ac:dyDescent="0.25">
      <c r="A119" s="207" t="s">
        <v>107</v>
      </c>
      <c r="B119" s="9" t="s">
        <v>313</v>
      </c>
      <c r="C119" s="1219">
        <f>135288734+5016896+2634996+425334254+5408883+691900+6000000-2533650</f>
        <v>577842013</v>
      </c>
      <c r="D119" s="392">
        <f>'9.1.1. sz. mell. '!C119+'9.1.2. sz. mell.'!C119</f>
        <v>577842013</v>
      </c>
      <c r="E119" s="394">
        <f t="shared" si="4"/>
        <v>0</v>
      </c>
      <c r="F119" s="391">
        <f t="shared" si="3"/>
        <v>0</v>
      </c>
    </row>
    <row r="120" spans="1:6" ht="12" customHeight="1" thickBot="1" x14ac:dyDescent="0.25">
      <c r="A120" s="207" t="s">
        <v>108</v>
      </c>
      <c r="B120" s="9" t="s">
        <v>153</v>
      </c>
      <c r="C120" s="1207">
        <f>260935796+677185+322815+3524000</f>
        <v>265459796</v>
      </c>
      <c r="D120" s="392">
        <f>'9.1.1. sz. mell. '!C120+'9.1.2. sz. mell.'!C120</f>
        <v>265459796</v>
      </c>
      <c r="E120" s="394">
        <f t="shared" si="4"/>
        <v>0</v>
      </c>
      <c r="F120" s="391">
        <f t="shared" si="3"/>
        <v>0</v>
      </c>
    </row>
    <row r="121" spans="1:6" ht="12" customHeight="1" thickBot="1" x14ac:dyDescent="0.25">
      <c r="A121" s="207" t="s">
        <v>109</v>
      </c>
      <c r="B121" s="9" t="s">
        <v>314</v>
      </c>
      <c r="C121" s="1207">
        <f>80112238+12241160</f>
        <v>92353398</v>
      </c>
      <c r="D121" s="392">
        <f>'9.1.1. sz. mell. '!C121+'9.1.2. sz. mell.'!C121</f>
        <v>92353398</v>
      </c>
      <c r="E121" s="394">
        <f t="shared" si="4"/>
        <v>0</v>
      </c>
      <c r="F121" s="391">
        <f t="shared" si="3"/>
        <v>0</v>
      </c>
    </row>
    <row r="122" spans="1:6" ht="12" customHeight="1" thickBot="1" x14ac:dyDescent="0.25">
      <c r="A122" s="207" t="s">
        <v>110</v>
      </c>
      <c r="B122" s="114" t="s">
        <v>175</v>
      </c>
      <c r="C122" s="1207">
        <f>SUM(C123:C130)</f>
        <v>6878720</v>
      </c>
      <c r="D122" s="392">
        <f>'9.1.1. sz. mell. '!C122+'9.1.2. sz. mell.'!C122</f>
        <v>6878720</v>
      </c>
      <c r="E122" s="394">
        <f t="shared" si="4"/>
        <v>0</v>
      </c>
      <c r="F122" s="391">
        <f t="shared" si="3"/>
        <v>0</v>
      </c>
    </row>
    <row r="123" spans="1:6" ht="12" customHeight="1" thickBot="1" x14ac:dyDescent="0.25">
      <c r="A123" s="207" t="s">
        <v>119</v>
      </c>
      <c r="B123" s="113" t="s">
        <v>376</v>
      </c>
      <c r="C123" s="106"/>
      <c r="D123" s="392">
        <f>'9.1.1. sz. mell. '!C123+'9.1.2. sz. mell.'!C123</f>
        <v>0</v>
      </c>
      <c r="E123" s="394">
        <f t="shared" si="4"/>
        <v>0</v>
      </c>
      <c r="F123" s="391">
        <f t="shared" si="3"/>
        <v>0</v>
      </c>
    </row>
    <row r="124" spans="1:6" ht="12" customHeight="1" thickBot="1" x14ac:dyDescent="0.25">
      <c r="A124" s="207" t="s">
        <v>121</v>
      </c>
      <c r="B124" s="189" t="s">
        <v>319</v>
      </c>
      <c r="C124" s="106"/>
      <c r="D124" s="392">
        <f>'9.1.1. sz. mell. '!C124+'9.1.2. sz. mell.'!C124</f>
        <v>0</v>
      </c>
      <c r="E124" s="394">
        <f t="shared" si="4"/>
        <v>0</v>
      </c>
      <c r="F124" s="391">
        <f t="shared" si="3"/>
        <v>0</v>
      </c>
    </row>
    <row r="125" spans="1:6" ht="12" customHeight="1" thickBot="1" x14ac:dyDescent="0.25">
      <c r="A125" s="207" t="s">
        <v>154</v>
      </c>
      <c r="B125" s="62" t="s">
        <v>302</v>
      </c>
      <c r="C125" s="106"/>
      <c r="D125" s="392">
        <f>'9.1.1. sz. mell. '!C125+'9.1.2. sz. mell.'!C125</f>
        <v>0</v>
      </c>
      <c r="E125" s="394">
        <f t="shared" si="4"/>
        <v>0</v>
      </c>
      <c r="F125" s="391">
        <f t="shared" si="3"/>
        <v>0</v>
      </c>
    </row>
    <row r="126" spans="1:6" ht="12" customHeight="1" thickBot="1" x14ac:dyDescent="0.25">
      <c r="A126" s="207" t="s">
        <v>155</v>
      </c>
      <c r="B126" s="62" t="s">
        <v>318</v>
      </c>
      <c r="C126" s="106"/>
      <c r="D126" s="392">
        <f>'9.1.1. sz. mell. '!C126+'9.1.2. sz. mell.'!C126</f>
        <v>0</v>
      </c>
      <c r="E126" s="394">
        <f t="shared" si="4"/>
        <v>0</v>
      </c>
      <c r="F126" s="391">
        <f t="shared" si="3"/>
        <v>0</v>
      </c>
    </row>
    <row r="127" spans="1:6" ht="12" customHeight="1" thickBot="1" x14ac:dyDescent="0.25">
      <c r="A127" s="207" t="s">
        <v>156</v>
      </c>
      <c r="B127" s="62" t="s">
        <v>317</v>
      </c>
      <c r="C127" s="106"/>
      <c r="D127" s="392">
        <f>'9.1.1. sz. mell. '!C127+'9.1.2. sz. mell.'!C127</f>
        <v>0</v>
      </c>
      <c r="E127" s="394">
        <f t="shared" si="4"/>
        <v>0</v>
      </c>
      <c r="F127" s="391">
        <f t="shared" si="3"/>
        <v>0</v>
      </c>
    </row>
    <row r="128" spans="1:6" ht="12" customHeight="1" thickBot="1" x14ac:dyDescent="0.25">
      <c r="A128" s="207" t="s">
        <v>310</v>
      </c>
      <c r="B128" s="62" t="s">
        <v>305</v>
      </c>
      <c r="C128" s="106"/>
      <c r="D128" s="392">
        <f>'9.1.1. sz. mell. '!C128+'9.1.2. sz. mell.'!C128</f>
        <v>0</v>
      </c>
      <c r="E128" s="394">
        <f t="shared" si="4"/>
        <v>0</v>
      </c>
      <c r="F128" s="391">
        <f t="shared" si="3"/>
        <v>0</v>
      </c>
    </row>
    <row r="129" spans="1:7" ht="12" customHeight="1" thickBot="1" x14ac:dyDescent="0.25">
      <c r="A129" s="207" t="s">
        <v>311</v>
      </c>
      <c r="B129" s="62" t="s">
        <v>316</v>
      </c>
      <c r="C129" s="106"/>
      <c r="D129" s="392">
        <f>'9.1.1. sz. mell. '!C129+'9.1.2. sz. mell.'!C129</f>
        <v>0</v>
      </c>
      <c r="E129" s="394">
        <f t="shared" si="4"/>
        <v>0</v>
      </c>
      <c r="F129" s="391">
        <f t="shared" si="3"/>
        <v>0</v>
      </c>
    </row>
    <row r="130" spans="1:7" ht="12" customHeight="1" thickBot="1" x14ac:dyDescent="0.25">
      <c r="A130" s="216" t="s">
        <v>312</v>
      </c>
      <c r="B130" s="62" t="s">
        <v>315</v>
      </c>
      <c r="C130" s="1217">
        <f>7001899+900000-1023179</f>
        <v>6878720</v>
      </c>
      <c r="D130" s="392">
        <f>'9.1.1. sz. mell. '!C130+'9.1.2. sz. mell.'!C130</f>
        <v>6878720</v>
      </c>
      <c r="E130" s="395">
        <f t="shared" si="4"/>
        <v>0</v>
      </c>
      <c r="F130" s="391">
        <f t="shared" si="3"/>
        <v>0</v>
      </c>
    </row>
    <row r="131" spans="1:7" ht="12" customHeight="1" thickBot="1" x14ac:dyDescent="0.25">
      <c r="A131" s="25" t="s">
        <v>23</v>
      </c>
      <c r="B131" s="57" t="s">
        <v>471</v>
      </c>
      <c r="C131" s="282">
        <f>+C96+C117</f>
        <v>1793754807</v>
      </c>
      <c r="D131" s="392">
        <f>'9.1.1. sz. mell. '!C131+'9.1.2. sz. mell.'!C131</f>
        <v>1793754807</v>
      </c>
      <c r="E131" s="392">
        <f t="shared" si="4"/>
        <v>0</v>
      </c>
      <c r="F131" s="391">
        <f t="shared" si="3"/>
        <v>0</v>
      </c>
    </row>
    <row r="132" spans="1:7" ht="12" customHeight="1" thickBot="1" x14ac:dyDescent="0.25">
      <c r="A132" s="25" t="s">
        <v>24</v>
      </c>
      <c r="B132" s="57" t="s">
        <v>472</v>
      </c>
      <c r="C132" s="282">
        <f>+C133+C134+C135</f>
        <v>726038434</v>
      </c>
      <c r="D132" s="392">
        <f>'9.1.1. sz. mell. '!C132+'9.1.2. sz. mell.'!C132</f>
        <v>726038434</v>
      </c>
      <c r="E132" s="392">
        <f t="shared" si="4"/>
        <v>0</v>
      </c>
      <c r="F132" s="391">
        <f t="shared" si="3"/>
        <v>0</v>
      </c>
    </row>
    <row r="133" spans="1:7" s="1010" customFormat="1" ht="12" customHeight="1" thickBot="1" x14ac:dyDescent="0.25">
      <c r="A133" s="207" t="s">
        <v>211</v>
      </c>
      <c r="B133" s="6" t="s">
        <v>516</v>
      </c>
      <c r="C133" s="1207">
        <v>26038434</v>
      </c>
      <c r="D133" s="392">
        <f>'9.1.1. sz. mell. '!C133+'9.1.2. sz. mell.'!C133</f>
        <v>26038434</v>
      </c>
      <c r="E133" s="393">
        <f t="shared" si="4"/>
        <v>0</v>
      </c>
      <c r="F133" s="391">
        <f t="shared" si="3"/>
        <v>0</v>
      </c>
    </row>
    <row r="134" spans="1:7" ht="12" customHeight="1" thickBot="1" x14ac:dyDescent="0.25">
      <c r="A134" s="207" t="s">
        <v>214</v>
      </c>
      <c r="B134" s="6" t="s">
        <v>474</v>
      </c>
      <c r="C134" s="106">
        <v>700000000</v>
      </c>
      <c r="D134" s="392">
        <f>'9.1.1. sz. mell. '!C134+'9.1.2. sz. mell.'!C134</f>
        <v>700000000</v>
      </c>
      <c r="E134" s="394">
        <f t="shared" si="4"/>
        <v>0</v>
      </c>
      <c r="F134" s="391">
        <f t="shared" si="3"/>
        <v>0</v>
      </c>
    </row>
    <row r="135" spans="1:7" ht="12" customHeight="1" thickBot="1" x14ac:dyDescent="0.25">
      <c r="A135" s="216" t="s">
        <v>215</v>
      </c>
      <c r="B135" s="4" t="s">
        <v>517</v>
      </c>
      <c r="C135" s="106"/>
      <c r="D135" s="392">
        <f>'9.1.1. sz. mell. '!C135+'9.1.2. sz. mell.'!C135</f>
        <v>0</v>
      </c>
      <c r="E135" s="395">
        <f t="shared" si="4"/>
        <v>0</v>
      </c>
      <c r="F135" s="391">
        <f t="shared" si="3"/>
        <v>0</v>
      </c>
    </row>
    <row r="136" spans="1:7" ht="12" customHeight="1" thickBot="1" x14ac:dyDescent="0.25">
      <c r="A136" s="25" t="s">
        <v>25</v>
      </c>
      <c r="B136" s="57" t="s">
        <v>476</v>
      </c>
      <c r="C136" s="282">
        <f>+C137+C138+C139+C140+C141+C142</f>
        <v>0</v>
      </c>
      <c r="D136" s="392">
        <f>'9.1.1. sz. mell. '!C136+'9.1.2. sz. mell.'!C136</f>
        <v>0</v>
      </c>
      <c r="E136" s="392">
        <f t="shared" si="4"/>
        <v>0</v>
      </c>
      <c r="F136" s="391">
        <f t="shared" si="3"/>
        <v>0</v>
      </c>
    </row>
    <row r="137" spans="1:7" ht="12" customHeight="1" thickBot="1" x14ac:dyDescent="0.25">
      <c r="A137" s="207" t="s">
        <v>93</v>
      </c>
      <c r="B137" s="6" t="s">
        <v>477</v>
      </c>
      <c r="C137" s="106"/>
      <c r="D137" s="392">
        <f>'9.1.1. sz. mell. '!C137+'9.1.2. sz. mell.'!C137</f>
        <v>0</v>
      </c>
      <c r="E137" s="393">
        <f t="shared" si="4"/>
        <v>0</v>
      </c>
      <c r="F137" s="391">
        <f t="shared" si="3"/>
        <v>0</v>
      </c>
    </row>
    <row r="138" spans="1:7" ht="12" customHeight="1" thickBot="1" x14ac:dyDescent="0.25">
      <c r="A138" s="207" t="s">
        <v>94</v>
      </c>
      <c r="B138" s="6" t="s">
        <v>478</v>
      </c>
      <c r="C138" s="106"/>
      <c r="D138" s="392">
        <f>'9.1.1. sz. mell. '!C138+'9.1.2. sz. mell.'!C138</f>
        <v>0</v>
      </c>
      <c r="E138" s="394">
        <f t="shared" si="4"/>
        <v>0</v>
      </c>
      <c r="F138" s="391">
        <f t="shared" si="3"/>
        <v>0</v>
      </c>
    </row>
    <row r="139" spans="1:7" ht="12" customHeight="1" thickBot="1" x14ac:dyDescent="0.25">
      <c r="A139" s="207" t="s">
        <v>95</v>
      </c>
      <c r="B139" s="6" t="s">
        <v>479</v>
      </c>
      <c r="C139" s="106"/>
      <c r="D139" s="392">
        <f>'9.1.1. sz. mell. '!C139+'9.1.2. sz. mell.'!C139</f>
        <v>0</v>
      </c>
      <c r="E139" s="394">
        <f t="shared" si="4"/>
        <v>0</v>
      </c>
      <c r="F139" s="391">
        <f t="shared" si="3"/>
        <v>0</v>
      </c>
    </row>
    <row r="140" spans="1:7" ht="12" customHeight="1" thickBot="1" x14ac:dyDescent="0.25">
      <c r="A140" s="207" t="s">
        <v>141</v>
      </c>
      <c r="B140" s="6" t="s">
        <v>518</v>
      </c>
      <c r="C140" s="106"/>
      <c r="D140" s="392">
        <f>'9.1.1. sz. mell. '!C140+'9.1.2. sz. mell.'!C140</f>
        <v>0</v>
      </c>
      <c r="E140" s="394">
        <f t="shared" si="4"/>
        <v>0</v>
      </c>
      <c r="F140" s="391">
        <f t="shared" ref="F140:F160" si="5">C140-D140</f>
        <v>0</v>
      </c>
    </row>
    <row r="141" spans="1:7" ht="12" customHeight="1" thickBot="1" x14ac:dyDescent="0.25">
      <c r="A141" s="207" t="s">
        <v>142</v>
      </c>
      <c r="B141" s="6" t="s">
        <v>481</v>
      </c>
      <c r="C141" s="106"/>
      <c r="D141" s="392">
        <f>'9.1.1. sz. mell. '!C141+'9.1.2. sz. mell.'!C141</f>
        <v>0</v>
      </c>
      <c r="E141" s="394">
        <f t="shared" si="4"/>
        <v>0</v>
      </c>
      <c r="F141" s="391">
        <f t="shared" si="5"/>
        <v>0</v>
      </c>
    </row>
    <row r="142" spans="1:7" s="1010" customFormat="1" ht="12" customHeight="1" thickBot="1" x14ac:dyDescent="0.25">
      <c r="A142" s="216" t="s">
        <v>143</v>
      </c>
      <c r="B142" s="4" t="s">
        <v>482</v>
      </c>
      <c r="C142" s="106"/>
      <c r="D142" s="392">
        <f>'9.1.1. sz. mell. '!C142+'9.1.2. sz. mell.'!C142</f>
        <v>0</v>
      </c>
      <c r="E142" s="395">
        <f t="shared" si="4"/>
        <v>0</v>
      </c>
      <c r="F142" s="391">
        <f t="shared" si="5"/>
        <v>0</v>
      </c>
    </row>
    <row r="143" spans="1:7" ht="12" customHeight="1" thickBot="1" x14ac:dyDescent="0.25">
      <c r="A143" s="25" t="s">
        <v>26</v>
      </c>
      <c r="B143" s="57" t="s">
        <v>519</v>
      </c>
      <c r="C143" s="285">
        <f>+C144+C145+C146+C147</f>
        <v>45672254</v>
      </c>
      <c r="D143" s="392">
        <f>'9.1.1. sz. mell. '!C143+'9.1.2. sz. mell.'!C143</f>
        <v>45672254</v>
      </c>
      <c r="E143" s="392">
        <f t="shared" si="4"/>
        <v>0</v>
      </c>
      <c r="F143" s="391">
        <f t="shared" si="5"/>
        <v>0</v>
      </c>
      <c r="G143" s="105"/>
    </row>
    <row r="144" spans="1:7" ht="13.5" thickBot="1" x14ac:dyDescent="0.25">
      <c r="A144" s="207" t="s">
        <v>96</v>
      </c>
      <c r="B144" s="6" t="s">
        <v>320</v>
      </c>
      <c r="C144" s="106"/>
      <c r="D144" s="392">
        <f>'9.1.1. sz. mell. '!C144+'9.1.2. sz. mell.'!C144</f>
        <v>0</v>
      </c>
      <c r="E144" s="393">
        <f t="shared" si="4"/>
        <v>0</v>
      </c>
      <c r="F144" s="391">
        <f t="shared" si="5"/>
        <v>0</v>
      </c>
    </row>
    <row r="145" spans="1:6" ht="12" customHeight="1" thickBot="1" x14ac:dyDescent="0.25">
      <c r="A145" s="207" t="s">
        <v>97</v>
      </c>
      <c r="B145" s="6" t="s">
        <v>321</v>
      </c>
      <c r="C145" s="1207">
        <f>45672254</f>
        <v>45672254</v>
      </c>
      <c r="D145" s="392">
        <f>'9.1.1. sz. mell. '!C145+'9.1.2. sz. mell.'!C145</f>
        <v>45672254</v>
      </c>
      <c r="E145" s="394">
        <f t="shared" si="4"/>
        <v>0</v>
      </c>
      <c r="F145" s="391">
        <f t="shared" si="5"/>
        <v>0</v>
      </c>
    </row>
    <row r="146" spans="1:6" s="1010" customFormat="1" ht="12" customHeight="1" thickBot="1" x14ac:dyDescent="0.25">
      <c r="A146" s="207" t="s">
        <v>234</v>
      </c>
      <c r="B146" s="6" t="s">
        <v>484</v>
      </c>
      <c r="C146" s="106"/>
      <c r="D146" s="392">
        <f>'9.1.1. sz. mell. '!C146+'9.1.2. sz. mell.'!C146</f>
        <v>0</v>
      </c>
      <c r="E146" s="394">
        <f t="shared" si="4"/>
        <v>0</v>
      </c>
      <c r="F146" s="391">
        <f t="shared" si="5"/>
        <v>0</v>
      </c>
    </row>
    <row r="147" spans="1:6" s="1010" customFormat="1" ht="12" customHeight="1" thickBot="1" x14ac:dyDescent="0.25">
      <c r="A147" s="216" t="s">
        <v>235</v>
      </c>
      <c r="B147" s="4" t="s">
        <v>339</v>
      </c>
      <c r="C147" s="106"/>
      <c r="D147" s="392">
        <f>'9.1.1. sz. mell. '!C147+'9.1.2. sz. mell.'!C147</f>
        <v>0</v>
      </c>
      <c r="E147" s="395">
        <f t="shared" si="4"/>
        <v>0</v>
      </c>
      <c r="F147" s="391">
        <f t="shared" si="5"/>
        <v>0</v>
      </c>
    </row>
    <row r="148" spans="1:6" s="1010" customFormat="1" ht="12" customHeight="1" thickBot="1" x14ac:dyDescent="0.25">
      <c r="A148" s="25" t="s">
        <v>27</v>
      </c>
      <c r="B148" s="57" t="s">
        <v>485</v>
      </c>
      <c r="C148" s="292">
        <f>+C149+C150+C151+C152+C153</f>
        <v>0</v>
      </c>
      <c r="D148" s="392">
        <f>'9.1.1. sz. mell. '!C148+'9.1.2. sz. mell.'!C148</f>
        <v>0</v>
      </c>
      <c r="E148" s="392">
        <f t="shared" si="4"/>
        <v>0</v>
      </c>
      <c r="F148" s="391">
        <f t="shared" si="5"/>
        <v>0</v>
      </c>
    </row>
    <row r="149" spans="1:6" s="1010" customFormat="1" ht="12" customHeight="1" thickBot="1" x14ac:dyDescent="0.25">
      <c r="A149" s="207" t="s">
        <v>98</v>
      </c>
      <c r="B149" s="6" t="s">
        <v>486</v>
      </c>
      <c r="C149" s="106"/>
      <c r="D149" s="392">
        <f>'9.1.1. sz. mell. '!C149+'9.1.2. sz. mell.'!C149</f>
        <v>0</v>
      </c>
      <c r="E149" s="393">
        <f t="shared" si="4"/>
        <v>0</v>
      </c>
      <c r="F149" s="391">
        <f t="shared" si="5"/>
        <v>0</v>
      </c>
    </row>
    <row r="150" spans="1:6" s="1010" customFormat="1" ht="12" customHeight="1" thickBot="1" x14ac:dyDescent="0.25">
      <c r="A150" s="207" t="s">
        <v>99</v>
      </c>
      <c r="B150" s="6" t="s">
        <v>487</v>
      </c>
      <c r="C150" s="106"/>
      <c r="D150" s="392">
        <f>'9.1.1. sz. mell. '!C150+'9.1.2. sz. mell.'!C150</f>
        <v>0</v>
      </c>
      <c r="E150" s="394">
        <f t="shared" si="4"/>
        <v>0</v>
      </c>
      <c r="F150" s="391">
        <f t="shared" si="5"/>
        <v>0</v>
      </c>
    </row>
    <row r="151" spans="1:6" s="1010" customFormat="1" ht="12" customHeight="1" thickBot="1" x14ac:dyDescent="0.25">
      <c r="A151" s="207" t="s">
        <v>246</v>
      </c>
      <c r="B151" s="6" t="s">
        <v>488</v>
      </c>
      <c r="C151" s="106"/>
      <c r="D151" s="392">
        <f>'9.1.1. sz. mell. '!C151+'9.1.2. sz. mell.'!C151</f>
        <v>0</v>
      </c>
      <c r="E151" s="394">
        <f t="shared" si="4"/>
        <v>0</v>
      </c>
      <c r="F151" s="391">
        <f t="shared" si="5"/>
        <v>0</v>
      </c>
    </row>
    <row r="152" spans="1:6" s="1010" customFormat="1" ht="12" customHeight="1" thickBot="1" x14ac:dyDescent="0.25">
      <c r="A152" s="207" t="s">
        <v>247</v>
      </c>
      <c r="B152" s="6" t="s">
        <v>520</v>
      </c>
      <c r="C152" s="106"/>
      <c r="D152" s="392">
        <f>'9.1.1. sz. mell. '!C152+'9.1.2. sz. mell.'!C152</f>
        <v>0</v>
      </c>
      <c r="E152" s="394">
        <f t="shared" si="4"/>
        <v>0</v>
      </c>
      <c r="F152" s="391">
        <f t="shared" si="5"/>
        <v>0</v>
      </c>
    </row>
    <row r="153" spans="1:6" ht="12.75" customHeight="1" thickBot="1" x14ac:dyDescent="0.25">
      <c r="A153" s="216" t="s">
        <v>490</v>
      </c>
      <c r="B153" s="4" t="s">
        <v>491</v>
      </c>
      <c r="C153" s="107"/>
      <c r="D153" s="392">
        <f>'9.1.1. sz. mell. '!C153+'9.1.2. sz. mell.'!C153</f>
        <v>0</v>
      </c>
      <c r="E153" s="395">
        <f t="shared" si="4"/>
        <v>0</v>
      </c>
      <c r="F153" s="391">
        <f t="shared" si="5"/>
        <v>0</v>
      </c>
    </row>
    <row r="154" spans="1:6" ht="12.75" customHeight="1" thickBot="1" x14ac:dyDescent="0.25">
      <c r="A154" s="264" t="s">
        <v>28</v>
      </c>
      <c r="B154" s="57" t="s">
        <v>492</v>
      </c>
      <c r="C154" s="292"/>
      <c r="D154" s="392">
        <f>'9.1.1. sz. mell. '!C154+'9.1.2. sz. mell.'!C154</f>
        <v>0</v>
      </c>
      <c r="E154" s="392">
        <f t="shared" si="4"/>
        <v>0</v>
      </c>
      <c r="F154" s="391">
        <f t="shared" si="5"/>
        <v>0</v>
      </c>
    </row>
    <row r="155" spans="1:6" ht="12.75" customHeight="1" thickBot="1" x14ac:dyDescent="0.25">
      <c r="A155" s="264" t="s">
        <v>29</v>
      </c>
      <c r="B155" s="57" t="s">
        <v>493</v>
      </c>
      <c r="C155" s="292"/>
      <c r="D155" s="392">
        <f>'9.1.1. sz. mell. '!C155+'9.1.2. sz. mell.'!C155</f>
        <v>0</v>
      </c>
      <c r="E155" s="396">
        <f t="shared" si="4"/>
        <v>0</v>
      </c>
      <c r="F155" s="391">
        <f t="shared" si="5"/>
        <v>0</v>
      </c>
    </row>
    <row r="156" spans="1:6" ht="12" customHeight="1" thickBot="1" x14ac:dyDescent="0.25">
      <c r="A156" s="25" t="s">
        <v>30</v>
      </c>
      <c r="B156" s="57" t="s">
        <v>494</v>
      </c>
      <c r="C156" s="293">
        <f>+C132+C136+C143+C148+C154+C155</f>
        <v>771710688</v>
      </c>
      <c r="D156" s="392">
        <f>'9.1.1. sz. mell. '!C156+'9.1.2. sz. mell.'!C156</f>
        <v>771710688</v>
      </c>
      <c r="E156" s="392">
        <f t="shared" si="4"/>
        <v>0</v>
      </c>
      <c r="F156" s="391">
        <f t="shared" si="5"/>
        <v>0</v>
      </c>
    </row>
    <row r="157" spans="1:6" ht="15" customHeight="1" thickBot="1" x14ac:dyDescent="0.25">
      <c r="A157" s="218" t="s">
        <v>31</v>
      </c>
      <c r="B157" s="178" t="s">
        <v>495</v>
      </c>
      <c r="C157" s="293">
        <f>+C131+C156</f>
        <v>2565465495</v>
      </c>
      <c r="D157" s="392">
        <f>'9.1.1. sz. mell. '!C157+'9.1.2. sz. mell.'!C157</f>
        <v>2565465495</v>
      </c>
      <c r="E157" s="392">
        <f t="shared" si="4"/>
        <v>0</v>
      </c>
      <c r="F157" s="391">
        <f t="shared" si="5"/>
        <v>0</v>
      </c>
    </row>
    <row r="158" spans="1:6" ht="13.5" thickBot="1" x14ac:dyDescent="0.25">
      <c r="D158" s="392">
        <f>'9.1.1. sz. mell. '!C158+'9.1.2. sz. mell.'!C158</f>
        <v>0</v>
      </c>
      <c r="E158" s="392">
        <f t="shared" si="4"/>
        <v>0</v>
      </c>
      <c r="F158" s="391">
        <f t="shared" si="5"/>
        <v>0</v>
      </c>
    </row>
    <row r="159" spans="1:6" ht="15" customHeight="1" thickBot="1" x14ac:dyDescent="0.25">
      <c r="A159" s="1171" t="s">
        <v>521</v>
      </c>
      <c r="B159" s="103"/>
      <c r="C159" s="56">
        <v>5</v>
      </c>
      <c r="D159" s="1060">
        <f>'9.1.1. sz. mell. '!C159+'9.1.2. sz. mell.'!C159</f>
        <v>6.125</v>
      </c>
      <c r="E159" s="392">
        <f t="shared" si="4"/>
        <v>-1.125</v>
      </c>
      <c r="F159" s="391">
        <f t="shared" si="5"/>
        <v>-1.125</v>
      </c>
    </row>
    <row r="160" spans="1:6" ht="15" customHeight="1" thickBot="1" x14ac:dyDescent="0.25">
      <c r="A160" s="1171" t="s">
        <v>946</v>
      </c>
      <c r="B160" s="103"/>
      <c r="C160" s="1059">
        <v>1.125</v>
      </c>
      <c r="D160" s="392">
        <f>'9.1.1. sz. mell. '!C160+'9.1.2. sz. mell.'!C160</f>
        <v>0</v>
      </c>
      <c r="E160" s="392">
        <f>C160-D160</f>
        <v>1.125</v>
      </c>
      <c r="F160" s="391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zoomScale="115" zoomScaleNormal="115" zoomScaleSheetLayoutView="85" workbookViewId="0">
      <selection sqref="A1:C1"/>
    </sheetView>
  </sheetViews>
  <sheetFormatPr defaultRowHeight="12.75" x14ac:dyDescent="0.2"/>
  <cols>
    <col min="1" max="1" width="19.5" style="397" customWidth="1"/>
    <col min="2" max="2" width="72" style="398" customWidth="1"/>
    <col min="3" max="3" width="25" style="399" customWidth="1"/>
    <col min="4" max="4" width="17.33203125" style="1006" bestFit="1" customWidth="1"/>
    <col min="5" max="16384" width="9.33203125" style="1006"/>
  </cols>
  <sheetData>
    <row r="1" spans="1:3" x14ac:dyDescent="0.2">
      <c r="A1" s="1489" t="str">
        <f>CONCATENATE("13. melléklet"," ",ALAPADATOK!A7," ",ALAPADATOK!B7," ",ALAPADATOK!C7," ",ALAPADATOK!D7," ",ALAPADATOK!E7," ",ALAPADATOK!F7," ",ALAPADATOK!G7," ",ALAPADATOK!H7)</f>
        <v>13. melléklet a 21 / 2020. ( IX.25. ) önkormányzati rendelethez</v>
      </c>
      <c r="B1" s="1489"/>
      <c r="C1" s="1489"/>
    </row>
    <row r="2" spans="1:3" s="1" customFormat="1" ht="16.5" customHeight="1" thickBot="1" x14ac:dyDescent="0.25">
      <c r="A2" s="80"/>
      <c r="B2" s="82"/>
      <c r="C2" s="104"/>
    </row>
    <row r="3" spans="1:3" s="39" customFormat="1" ht="21" customHeight="1" x14ac:dyDescent="0.2">
      <c r="A3" s="183" t="s">
        <v>64</v>
      </c>
      <c r="B3" s="162" t="s">
        <v>170</v>
      </c>
      <c r="C3" s="164" t="s">
        <v>55</v>
      </c>
    </row>
    <row r="4" spans="1:3" s="39" customFormat="1" ht="16.5" thickBot="1" x14ac:dyDescent="0.25">
      <c r="A4" s="83" t="s">
        <v>166</v>
      </c>
      <c r="B4" s="163" t="s">
        <v>377</v>
      </c>
      <c r="C4" s="263" t="s">
        <v>62</v>
      </c>
    </row>
    <row r="5" spans="1:3" s="40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165" t="s">
        <v>57</v>
      </c>
    </row>
    <row r="7" spans="1:3" s="33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33" customFormat="1" ht="15.95" customHeight="1" thickBot="1" x14ac:dyDescent="0.25">
      <c r="A8" s="88"/>
      <c r="B8" s="89" t="s">
        <v>58</v>
      </c>
      <c r="C8" s="166"/>
    </row>
    <row r="9" spans="1:3" s="33" customFormat="1" ht="12" customHeight="1" thickBot="1" x14ac:dyDescent="0.25">
      <c r="A9" s="25" t="s">
        <v>21</v>
      </c>
      <c r="B9" s="18" t="s">
        <v>195</v>
      </c>
      <c r="C9" s="282">
        <f>+C10+C11+C12+C15+C16+C17</f>
        <v>1296574692</v>
      </c>
    </row>
    <row r="10" spans="1:3" s="41" customFormat="1" ht="12" customHeight="1" x14ac:dyDescent="0.2">
      <c r="A10" s="207" t="s">
        <v>100</v>
      </c>
      <c r="B10" s="193" t="s">
        <v>196</v>
      </c>
      <c r="C10" s="1209">
        <f>229318994+27629700+809750</f>
        <v>257758444</v>
      </c>
    </row>
    <row r="11" spans="1:3" s="42" customFormat="1" ht="12" customHeight="1" x14ac:dyDescent="0.2">
      <c r="A11" s="208" t="s">
        <v>101</v>
      </c>
      <c r="B11" s="194" t="s">
        <v>197</v>
      </c>
      <c r="C11" s="1207">
        <f>229603230+17312349</f>
        <v>246915579</v>
      </c>
    </row>
    <row r="12" spans="1:3" s="42" customFormat="1" ht="12" customHeight="1" x14ac:dyDescent="0.2">
      <c r="A12" s="208" t="s">
        <v>102</v>
      </c>
      <c r="B12" s="194" t="s">
        <v>999</v>
      </c>
      <c r="C12" s="1207">
        <f>SUM(C13:C14)</f>
        <v>619801644</v>
      </c>
    </row>
    <row r="13" spans="1:3" s="42" customFormat="1" ht="12" customHeight="1" x14ac:dyDescent="0.2">
      <c r="A13" s="208" t="s">
        <v>997</v>
      </c>
      <c r="B13" s="194" t="s">
        <v>1000</v>
      </c>
      <c r="C13" s="1214">
        <f>415622102+9775700+4495800</f>
        <v>429893602</v>
      </c>
    </row>
    <row r="14" spans="1:3" s="42" customFormat="1" ht="12" customHeight="1" x14ac:dyDescent="0.2">
      <c r="A14" s="208" t="s">
        <v>998</v>
      </c>
      <c r="B14" s="194" t="s">
        <v>1001</v>
      </c>
      <c r="C14" s="1207">
        <f>186127562+3780480</f>
        <v>189908042</v>
      </c>
    </row>
    <row r="15" spans="1:3" s="42" customFormat="1" ht="12" customHeight="1" x14ac:dyDescent="0.2">
      <c r="A15" s="208" t="s">
        <v>103</v>
      </c>
      <c r="B15" s="194" t="s">
        <v>199</v>
      </c>
      <c r="C15" s="1207">
        <f>20802409+12622000+477000+5649340</f>
        <v>39550749</v>
      </c>
    </row>
    <row r="16" spans="1:3" s="42" customFormat="1" ht="12" customHeight="1" x14ac:dyDescent="0.2">
      <c r="A16" s="208" t="s">
        <v>126</v>
      </c>
      <c r="B16" s="194" t="s">
        <v>508</v>
      </c>
      <c r="C16" s="1207">
        <f>159215979+899997-27567700</f>
        <v>132548276</v>
      </c>
    </row>
    <row r="17" spans="1:3" s="41" customFormat="1" ht="12" customHeight="1" thickBot="1" x14ac:dyDescent="0.25">
      <c r="A17" s="209" t="s">
        <v>104</v>
      </c>
      <c r="B17" s="195" t="s">
        <v>451</v>
      </c>
      <c r="C17" s="106"/>
    </row>
    <row r="18" spans="1:3" s="41" customFormat="1" ht="12" customHeight="1" thickBot="1" x14ac:dyDescent="0.25">
      <c r="A18" s="25" t="s">
        <v>22</v>
      </c>
      <c r="B18" s="112" t="s">
        <v>200</v>
      </c>
      <c r="C18" s="282">
        <f>+C19+C20+C21+C22+C23</f>
        <v>106384280</v>
      </c>
    </row>
    <row r="19" spans="1:3" s="41" customFormat="1" ht="12" customHeight="1" x14ac:dyDescent="0.2">
      <c r="A19" s="207" t="s">
        <v>106</v>
      </c>
      <c r="B19" s="193" t="s">
        <v>201</v>
      </c>
      <c r="C19" s="284"/>
    </row>
    <row r="20" spans="1:3" s="41" customFormat="1" ht="12" customHeight="1" x14ac:dyDescent="0.2">
      <c r="A20" s="208" t="s">
        <v>107</v>
      </c>
      <c r="B20" s="194" t="s">
        <v>202</v>
      </c>
      <c r="C20" s="106"/>
    </row>
    <row r="21" spans="1:3" s="41" customFormat="1" ht="12" customHeight="1" x14ac:dyDescent="0.2">
      <c r="A21" s="208" t="s">
        <v>108</v>
      </c>
      <c r="B21" s="194" t="s">
        <v>370</v>
      </c>
      <c r="C21" s="106"/>
    </row>
    <row r="22" spans="1:3" s="41" customFormat="1" ht="12" customHeight="1" x14ac:dyDescent="0.2">
      <c r="A22" s="208" t="s">
        <v>109</v>
      </c>
      <c r="B22" s="194" t="s">
        <v>371</v>
      </c>
      <c r="C22" s="106"/>
    </row>
    <row r="23" spans="1:3" s="41" customFormat="1" ht="12" customHeight="1" x14ac:dyDescent="0.2">
      <c r="A23" s="208" t="s">
        <v>110</v>
      </c>
      <c r="B23" s="194" t="s">
        <v>203</v>
      </c>
      <c r="C23" s="1214">
        <f>119646890-13262610</f>
        <v>106384280</v>
      </c>
    </row>
    <row r="24" spans="1:3" s="42" customFormat="1" ht="12" customHeight="1" thickBot="1" x14ac:dyDescent="0.25">
      <c r="A24" s="209" t="s">
        <v>119</v>
      </c>
      <c r="B24" s="195" t="s">
        <v>204</v>
      </c>
      <c r="C24" s="1217">
        <f>16392698+36497760+62436432-13262610</f>
        <v>102064280</v>
      </c>
    </row>
    <row r="25" spans="1:3" s="42" customFormat="1" ht="12" customHeight="1" thickBot="1" x14ac:dyDescent="0.25">
      <c r="A25" s="25" t="s">
        <v>23</v>
      </c>
      <c r="B25" s="18" t="s">
        <v>205</v>
      </c>
      <c r="C25" s="282">
        <f>+C26+C27+C28+C29+C30</f>
        <v>34443984</v>
      </c>
    </row>
    <row r="26" spans="1:3" s="42" customFormat="1" ht="12" customHeight="1" x14ac:dyDescent="0.2">
      <c r="A26" s="207" t="s">
        <v>89</v>
      </c>
      <c r="B26" s="193" t="s">
        <v>206</v>
      </c>
      <c r="C26" s="1209"/>
    </row>
    <row r="27" spans="1:3" s="41" customFormat="1" ht="12" customHeight="1" x14ac:dyDescent="0.2">
      <c r="A27" s="208" t="s">
        <v>90</v>
      </c>
      <c r="B27" s="194" t="s">
        <v>207</v>
      </c>
      <c r="C27" s="1207"/>
    </row>
    <row r="28" spans="1:3" s="42" customFormat="1" ht="12" customHeight="1" x14ac:dyDescent="0.2">
      <c r="A28" s="208" t="s">
        <v>91</v>
      </c>
      <c r="B28" s="194" t="s">
        <v>372</v>
      </c>
      <c r="C28" s="1207"/>
    </row>
    <row r="29" spans="1:3" s="42" customFormat="1" ht="12" customHeight="1" x14ac:dyDescent="0.2">
      <c r="A29" s="208" t="s">
        <v>92</v>
      </c>
      <c r="B29" s="194" t="s">
        <v>373</v>
      </c>
      <c r="C29" s="1207"/>
    </row>
    <row r="30" spans="1:3" s="42" customFormat="1" ht="12" customHeight="1" x14ac:dyDescent="0.2">
      <c r="A30" s="208" t="s">
        <v>137</v>
      </c>
      <c r="B30" s="194" t="s">
        <v>208</v>
      </c>
      <c r="C30" s="1214">
        <f>36977634-2533650</f>
        <v>34443984</v>
      </c>
    </row>
    <row r="31" spans="1:3" s="42" customFormat="1" ht="12" customHeight="1" thickBot="1" x14ac:dyDescent="0.25">
      <c r="A31" s="209" t="s">
        <v>138</v>
      </c>
      <c r="B31" s="195" t="s">
        <v>209</v>
      </c>
      <c r="C31" s="1217">
        <f>36977634-2533650</f>
        <v>34443984</v>
      </c>
    </row>
    <row r="32" spans="1:3" s="42" customFormat="1" ht="12" customHeight="1" thickBot="1" x14ac:dyDescent="0.25">
      <c r="A32" s="25" t="s">
        <v>139</v>
      </c>
      <c r="B32" s="18" t="s">
        <v>656</v>
      </c>
      <c r="C32" s="285">
        <f>+C33+C37+C38+C39</f>
        <v>503000000</v>
      </c>
    </row>
    <row r="33" spans="1:3" s="42" customFormat="1" ht="12" customHeight="1" x14ac:dyDescent="0.2">
      <c r="A33" s="207" t="s">
        <v>211</v>
      </c>
      <c r="B33" s="193" t="s">
        <v>652</v>
      </c>
      <c r="C33" s="299">
        <f>SUM(C34:C35)</f>
        <v>486000000</v>
      </c>
    </row>
    <row r="34" spans="1:3" s="42" customFormat="1" ht="12" customHeight="1" x14ac:dyDescent="0.2">
      <c r="A34" s="208" t="s">
        <v>212</v>
      </c>
      <c r="B34" s="194" t="s">
        <v>217</v>
      </c>
      <c r="C34" s="106">
        <v>86000000</v>
      </c>
    </row>
    <row r="35" spans="1:3" s="42" customFormat="1" ht="12" customHeight="1" x14ac:dyDescent="0.2">
      <c r="A35" s="208" t="s">
        <v>213</v>
      </c>
      <c r="B35" s="251" t="s">
        <v>651</v>
      </c>
      <c r="C35" s="106">
        <v>400000000</v>
      </c>
    </row>
    <row r="36" spans="1:3" s="42" customFormat="1" ht="12" customHeight="1" x14ac:dyDescent="0.2">
      <c r="A36" s="208" t="s">
        <v>214</v>
      </c>
      <c r="B36" s="194" t="s">
        <v>538</v>
      </c>
      <c r="C36" s="1207"/>
    </row>
    <row r="37" spans="1:3" s="42" customFormat="1" ht="12" customHeight="1" x14ac:dyDescent="0.2">
      <c r="A37" s="208" t="s">
        <v>539</v>
      </c>
      <c r="B37" s="194" t="s">
        <v>218</v>
      </c>
      <c r="C37" s="1214">
        <f>35000000-35000000</f>
        <v>0</v>
      </c>
    </row>
    <row r="38" spans="1:3" s="42" customFormat="1" ht="12" customHeight="1" x14ac:dyDescent="0.2">
      <c r="A38" s="208" t="s">
        <v>216</v>
      </c>
      <c r="B38" s="194" t="s">
        <v>219</v>
      </c>
      <c r="C38" s="106">
        <v>1000000</v>
      </c>
    </row>
    <row r="39" spans="1:3" s="42" customFormat="1" ht="12" customHeight="1" thickBot="1" x14ac:dyDescent="0.25">
      <c r="A39" s="209" t="s">
        <v>540</v>
      </c>
      <c r="B39" s="195" t="s">
        <v>220</v>
      </c>
      <c r="C39" s="1208">
        <v>16000000</v>
      </c>
    </row>
    <row r="40" spans="1:3" s="42" customFormat="1" ht="12" customHeight="1" thickBot="1" x14ac:dyDescent="0.25">
      <c r="A40" s="25" t="s">
        <v>25</v>
      </c>
      <c r="B40" s="18" t="s">
        <v>452</v>
      </c>
      <c r="C40" s="282">
        <f>SUM(C41:C51)</f>
        <v>43997421</v>
      </c>
    </row>
    <row r="41" spans="1:3" s="42" customFormat="1" ht="12" customHeight="1" x14ac:dyDescent="0.2">
      <c r="A41" s="207" t="s">
        <v>93</v>
      </c>
      <c r="B41" s="193" t="s">
        <v>223</v>
      </c>
      <c r="C41" s="1209">
        <v>8175576</v>
      </c>
    </row>
    <row r="42" spans="1:3" s="42" customFormat="1" ht="12" customHeight="1" x14ac:dyDescent="0.2">
      <c r="A42" s="208" t="s">
        <v>94</v>
      </c>
      <c r="B42" s="194" t="s">
        <v>224</v>
      </c>
      <c r="C42" s="1207">
        <v>14518450</v>
      </c>
    </row>
    <row r="43" spans="1:3" s="42" customFormat="1" ht="12" customHeight="1" x14ac:dyDescent="0.2">
      <c r="A43" s="208" t="s">
        <v>95</v>
      </c>
      <c r="B43" s="194" t="s">
        <v>225</v>
      </c>
      <c r="C43" s="1214">
        <f>8868669+808800+200000</f>
        <v>9877469</v>
      </c>
    </row>
    <row r="44" spans="1:3" s="42" customFormat="1" ht="12" customHeight="1" x14ac:dyDescent="0.2">
      <c r="A44" s="208" t="s">
        <v>141</v>
      </c>
      <c r="B44" s="194" t="s">
        <v>226</v>
      </c>
      <c r="C44" s="1207">
        <v>1006560</v>
      </c>
    </row>
    <row r="45" spans="1:3" s="42" customFormat="1" ht="12" customHeight="1" x14ac:dyDescent="0.2">
      <c r="A45" s="208" t="s">
        <v>142</v>
      </c>
      <c r="B45" s="194" t="s">
        <v>227</v>
      </c>
      <c r="C45" s="1207"/>
    </row>
    <row r="46" spans="1:3" s="42" customFormat="1" ht="12" customHeight="1" x14ac:dyDescent="0.2">
      <c r="A46" s="208" t="s">
        <v>143</v>
      </c>
      <c r="B46" s="194" t="s">
        <v>228</v>
      </c>
      <c r="C46" s="1214">
        <f>7168370+152604+54000</f>
        <v>7374974</v>
      </c>
    </row>
    <row r="47" spans="1:3" s="42" customFormat="1" ht="12" customHeight="1" x14ac:dyDescent="0.2">
      <c r="A47" s="208" t="s">
        <v>144</v>
      </c>
      <c r="B47" s="194" t="s">
        <v>229</v>
      </c>
      <c r="C47" s="1207"/>
    </row>
    <row r="48" spans="1:3" s="42" customFormat="1" ht="12" customHeight="1" x14ac:dyDescent="0.2">
      <c r="A48" s="208" t="s">
        <v>145</v>
      </c>
      <c r="B48" s="194" t="s">
        <v>230</v>
      </c>
      <c r="C48" s="1207"/>
    </row>
    <row r="49" spans="1:3" s="42" customFormat="1" ht="12" customHeight="1" x14ac:dyDescent="0.2">
      <c r="A49" s="208" t="s">
        <v>221</v>
      </c>
      <c r="B49" s="194" t="s">
        <v>231</v>
      </c>
      <c r="C49" s="1207"/>
    </row>
    <row r="50" spans="1:3" s="42" customFormat="1" ht="12" customHeight="1" x14ac:dyDescent="0.2">
      <c r="A50" s="209" t="s">
        <v>222</v>
      </c>
      <c r="B50" s="195" t="s">
        <v>453</v>
      </c>
      <c r="C50" s="1208">
        <v>1000000</v>
      </c>
    </row>
    <row r="51" spans="1:3" s="42" customFormat="1" ht="12" customHeight="1" thickBot="1" x14ac:dyDescent="0.25">
      <c r="A51" s="209" t="s">
        <v>454</v>
      </c>
      <c r="B51" s="195" t="s">
        <v>232</v>
      </c>
      <c r="C51" s="1208">
        <f>1087601+956791</f>
        <v>2044392</v>
      </c>
    </row>
    <row r="52" spans="1:3" s="42" customFormat="1" ht="12" customHeight="1" thickBot="1" x14ac:dyDescent="0.25">
      <c r="A52" s="25" t="s">
        <v>26</v>
      </c>
      <c r="B52" s="18" t="s">
        <v>233</v>
      </c>
      <c r="C52" s="282">
        <f>SUM(C53:C57)</f>
        <v>44304508</v>
      </c>
    </row>
    <row r="53" spans="1:3" s="42" customFormat="1" ht="12" customHeight="1" x14ac:dyDescent="0.2">
      <c r="A53" s="207" t="s">
        <v>96</v>
      </c>
      <c r="B53" s="193" t="s">
        <v>237</v>
      </c>
      <c r="C53" s="1209"/>
    </row>
    <row r="54" spans="1:3" s="42" customFormat="1" ht="12" customHeight="1" x14ac:dyDescent="0.2">
      <c r="A54" s="208" t="s">
        <v>97</v>
      </c>
      <c r="B54" s="194" t="s">
        <v>238</v>
      </c>
      <c r="C54" s="1207">
        <v>44304508</v>
      </c>
    </row>
    <row r="55" spans="1:3" s="42" customFormat="1" ht="12" customHeight="1" x14ac:dyDescent="0.2">
      <c r="A55" s="208" t="s">
        <v>234</v>
      </c>
      <c r="B55" s="194" t="s">
        <v>239</v>
      </c>
      <c r="C55" s="1207"/>
    </row>
    <row r="56" spans="1:3" s="42" customFormat="1" ht="12" customHeight="1" x14ac:dyDescent="0.2">
      <c r="A56" s="208" t="s">
        <v>235</v>
      </c>
      <c r="B56" s="194" t="s">
        <v>240</v>
      </c>
      <c r="C56" s="1207"/>
    </row>
    <row r="57" spans="1:3" s="42" customFormat="1" ht="12" customHeight="1" thickBot="1" x14ac:dyDescent="0.25">
      <c r="A57" s="209" t="s">
        <v>236</v>
      </c>
      <c r="B57" s="195" t="s">
        <v>241</v>
      </c>
      <c r="C57" s="1208"/>
    </row>
    <row r="58" spans="1:3" s="42" customFormat="1" ht="12" customHeight="1" thickBot="1" x14ac:dyDescent="0.25">
      <c r="A58" s="25" t="s">
        <v>146</v>
      </c>
      <c r="B58" s="18" t="s">
        <v>242</v>
      </c>
      <c r="C58" s="282">
        <f>SUM(C59:C61)</f>
        <v>1100000</v>
      </c>
    </row>
    <row r="59" spans="1:3" s="42" customFormat="1" ht="12" customHeight="1" x14ac:dyDescent="0.2">
      <c r="A59" s="207" t="s">
        <v>98</v>
      </c>
      <c r="B59" s="193" t="s">
        <v>243</v>
      </c>
      <c r="C59" s="284"/>
    </row>
    <row r="60" spans="1:3" s="42" customFormat="1" ht="12" customHeight="1" x14ac:dyDescent="0.2">
      <c r="A60" s="208" t="s">
        <v>99</v>
      </c>
      <c r="B60" s="194" t="s">
        <v>374</v>
      </c>
      <c r="C60" s="1207">
        <v>200000</v>
      </c>
    </row>
    <row r="61" spans="1:3" s="42" customFormat="1" ht="12" customHeight="1" x14ac:dyDescent="0.2">
      <c r="A61" s="208" t="s">
        <v>246</v>
      </c>
      <c r="B61" s="194" t="s">
        <v>244</v>
      </c>
      <c r="C61" s="1207">
        <v>900000</v>
      </c>
    </row>
    <row r="62" spans="1:3" s="42" customFormat="1" ht="12" customHeight="1" thickBot="1" x14ac:dyDescent="0.25">
      <c r="A62" s="209" t="s">
        <v>247</v>
      </c>
      <c r="B62" s="195" t="s">
        <v>245</v>
      </c>
      <c r="C62" s="107"/>
    </row>
    <row r="63" spans="1:3" s="42" customFormat="1" ht="12" customHeight="1" thickBot="1" x14ac:dyDescent="0.25">
      <c r="A63" s="25" t="s">
        <v>28</v>
      </c>
      <c r="B63" s="112" t="s">
        <v>248</v>
      </c>
      <c r="C63" s="282">
        <f>SUM(C64:C66)</f>
        <v>0</v>
      </c>
    </row>
    <row r="64" spans="1:3" s="42" customFormat="1" ht="12" customHeight="1" x14ac:dyDescent="0.2">
      <c r="A64" s="207" t="s">
        <v>147</v>
      </c>
      <c r="B64" s="193" t="s">
        <v>250</v>
      </c>
      <c r="C64" s="1207"/>
    </row>
    <row r="65" spans="1:3" s="42" customFormat="1" ht="12" customHeight="1" x14ac:dyDescent="0.2">
      <c r="A65" s="208" t="s">
        <v>148</v>
      </c>
      <c r="B65" s="194" t="s">
        <v>375</v>
      </c>
      <c r="C65" s="1207"/>
    </row>
    <row r="66" spans="1:3" s="42" customFormat="1" ht="12" customHeight="1" x14ac:dyDescent="0.2">
      <c r="A66" s="208" t="s">
        <v>174</v>
      </c>
      <c r="B66" s="194" t="s">
        <v>251</v>
      </c>
      <c r="C66" s="1207"/>
    </row>
    <row r="67" spans="1:3" s="42" customFormat="1" ht="12" customHeight="1" thickBot="1" x14ac:dyDescent="0.25">
      <c r="A67" s="209" t="s">
        <v>249</v>
      </c>
      <c r="B67" s="195" t="s">
        <v>252</v>
      </c>
      <c r="C67" s="1207"/>
    </row>
    <row r="68" spans="1:3" s="42" customFormat="1" ht="12" customHeight="1" thickBot="1" x14ac:dyDescent="0.25">
      <c r="A68" s="25" t="s">
        <v>29</v>
      </c>
      <c r="B68" s="18" t="s">
        <v>253</v>
      </c>
      <c r="C68" s="285">
        <f>+C9+C18+C25+C32+C40+C52+C58+C63</f>
        <v>2029804885</v>
      </c>
    </row>
    <row r="69" spans="1:3" s="42" customFormat="1" ht="12" customHeight="1" thickBot="1" x14ac:dyDescent="0.2">
      <c r="A69" s="210" t="s">
        <v>343</v>
      </c>
      <c r="B69" s="112" t="s">
        <v>255</v>
      </c>
      <c r="C69" s="282">
        <f>SUM(C70:C72)</f>
        <v>733570614</v>
      </c>
    </row>
    <row r="70" spans="1:3" s="42" customFormat="1" ht="12" customHeight="1" x14ac:dyDescent="0.2">
      <c r="A70" s="207" t="s">
        <v>286</v>
      </c>
      <c r="B70" s="193" t="s">
        <v>256</v>
      </c>
      <c r="C70" s="1214">
        <f>44951899-2540000-8841285</f>
        <v>33570614</v>
      </c>
    </row>
    <row r="71" spans="1:3" s="42" customFormat="1" ht="12" customHeight="1" x14ac:dyDescent="0.2">
      <c r="A71" s="208" t="s">
        <v>295</v>
      </c>
      <c r="B71" s="194" t="s">
        <v>257</v>
      </c>
      <c r="C71" s="1207">
        <v>700000000</v>
      </c>
    </row>
    <row r="72" spans="1:3" s="42" customFormat="1" ht="12" customHeight="1" thickBot="1" x14ac:dyDescent="0.25">
      <c r="A72" s="209" t="s">
        <v>296</v>
      </c>
      <c r="B72" s="196" t="s">
        <v>258</v>
      </c>
      <c r="C72" s="1207"/>
    </row>
    <row r="73" spans="1:3" s="42" customFormat="1" ht="12" customHeight="1" thickBot="1" x14ac:dyDescent="0.2">
      <c r="A73" s="210" t="s">
        <v>259</v>
      </c>
      <c r="B73" s="112" t="s">
        <v>260</v>
      </c>
      <c r="C73" s="282">
        <f>SUM(C74:C77)</f>
        <v>0</v>
      </c>
    </row>
    <row r="74" spans="1:3" s="42" customFormat="1" ht="12" customHeight="1" x14ac:dyDescent="0.2">
      <c r="A74" s="207" t="s">
        <v>127</v>
      </c>
      <c r="B74" s="193" t="s">
        <v>261</v>
      </c>
      <c r="C74" s="1207"/>
    </row>
    <row r="75" spans="1:3" s="42" customFormat="1" ht="12" customHeight="1" x14ac:dyDescent="0.2">
      <c r="A75" s="208" t="s">
        <v>128</v>
      </c>
      <c r="B75" s="194" t="s">
        <v>262</v>
      </c>
      <c r="C75" s="1207"/>
    </row>
    <row r="76" spans="1:3" s="42" customFormat="1" ht="12" customHeight="1" x14ac:dyDescent="0.2">
      <c r="A76" s="208" t="s">
        <v>287</v>
      </c>
      <c r="B76" s="194" t="s">
        <v>263</v>
      </c>
      <c r="C76" s="1207"/>
    </row>
    <row r="77" spans="1:3" s="42" customFormat="1" ht="12" customHeight="1" thickBot="1" x14ac:dyDescent="0.25">
      <c r="A77" s="209" t="s">
        <v>288</v>
      </c>
      <c r="B77" s="195" t="s">
        <v>264</v>
      </c>
      <c r="C77" s="1207"/>
    </row>
    <row r="78" spans="1:3" s="42" customFormat="1" ht="12" customHeight="1" thickBot="1" x14ac:dyDescent="0.2">
      <c r="A78" s="210" t="s">
        <v>265</v>
      </c>
      <c r="B78" s="112" t="s">
        <v>266</v>
      </c>
      <c r="C78" s="282">
        <f>SUM(C79:C80)</f>
        <v>930125258</v>
      </c>
    </row>
    <row r="79" spans="1:3" s="42" customFormat="1" ht="12" customHeight="1" x14ac:dyDescent="0.2">
      <c r="A79" s="207" t="s">
        <v>289</v>
      </c>
      <c r="B79" s="193" t="s">
        <v>267</v>
      </c>
      <c r="C79" s="1207">
        <f>933393998-3268740</f>
        <v>930125258</v>
      </c>
    </row>
    <row r="80" spans="1:3" s="42" customFormat="1" ht="12" customHeight="1" thickBot="1" x14ac:dyDescent="0.25">
      <c r="A80" s="209" t="s">
        <v>290</v>
      </c>
      <c r="B80" s="195" t="s">
        <v>268</v>
      </c>
      <c r="C80" s="1207"/>
    </row>
    <row r="81" spans="1:4" s="41" customFormat="1" ht="12" customHeight="1" thickBot="1" x14ac:dyDescent="0.2">
      <c r="A81" s="210" t="s">
        <v>269</v>
      </c>
      <c r="B81" s="112" t="s">
        <v>270</v>
      </c>
      <c r="C81" s="282">
        <f>SUM(C82:C84)</f>
        <v>45672254</v>
      </c>
    </row>
    <row r="82" spans="1:4" s="42" customFormat="1" ht="12" customHeight="1" x14ac:dyDescent="0.2">
      <c r="A82" s="207" t="s">
        <v>291</v>
      </c>
      <c r="B82" s="193" t="s">
        <v>271</v>
      </c>
      <c r="C82" s="1207">
        <f>45672254</f>
        <v>45672254</v>
      </c>
    </row>
    <row r="83" spans="1:4" s="42" customFormat="1" ht="12" customHeight="1" x14ac:dyDescent="0.2">
      <c r="A83" s="208" t="s">
        <v>292</v>
      </c>
      <c r="B83" s="194" t="s">
        <v>272</v>
      </c>
      <c r="C83" s="1207"/>
    </row>
    <row r="84" spans="1:4" s="42" customFormat="1" ht="12" customHeight="1" thickBot="1" x14ac:dyDescent="0.25">
      <c r="A84" s="209" t="s">
        <v>293</v>
      </c>
      <c r="B84" s="195" t="s">
        <v>273</v>
      </c>
      <c r="C84" s="1207"/>
    </row>
    <row r="85" spans="1:4" s="42" customFormat="1" ht="12" customHeight="1" thickBot="1" x14ac:dyDescent="0.2">
      <c r="A85" s="210" t="s">
        <v>274</v>
      </c>
      <c r="B85" s="112" t="s">
        <v>294</v>
      </c>
      <c r="C85" s="282">
        <f>SUM(C86:C89)</f>
        <v>0</v>
      </c>
    </row>
    <row r="86" spans="1:4" s="42" customFormat="1" ht="12" customHeight="1" x14ac:dyDescent="0.2">
      <c r="A86" s="211" t="s">
        <v>275</v>
      </c>
      <c r="B86" s="193" t="s">
        <v>276</v>
      </c>
      <c r="C86" s="1207"/>
    </row>
    <row r="87" spans="1:4" s="42" customFormat="1" ht="12" customHeight="1" x14ac:dyDescent="0.2">
      <c r="A87" s="212" t="s">
        <v>277</v>
      </c>
      <c r="B87" s="194" t="s">
        <v>278</v>
      </c>
      <c r="C87" s="1207"/>
    </row>
    <row r="88" spans="1:4" s="42" customFormat="1" ht="12" customHeight="1" x14ac:dyDescent="0.2">
      <c r="A88" s="212" t="s">
        <v>279</v>
      </c>
      <c r="B88" s="194" t="s">
        <v>280</v>
      </c>
      <c r="C88" s="1207"/>
    </row>
    <row r="89" spans="1:4" s="41" customFormat="1" ht="12" customHeight="1" thickBot="1" x14ac:dyDescent="0.25">
      <c r="A89" s="213" t="s">
        <v>281</v>
      </c>
      <c r="B89" s="195" t="s">
        <v>282</v>
      </c>
      <c r="C89" s="1207"/>
    </row>
    <row r="90" spans="1:4" s="41" customFormat="1" ht="12" customHeight="1" thickBot="1" x14ac:dyDescent="0.2">
      <c r="A90" s="210" t="s">
        <v>283</v>
      </c>
      <c r="B90" s="112" t="s">
        <v>457</v>
      </c>
      <c r="C90" s="287"/>
    </row>
    <row r="91" spans="1:4" s="41" customFormat="1" ht="12" customHeight="1" thickBot="1" x14ac:dyDescent="0.2">
      <c r="A91" s="210" t="s">
        <v>509</v>
      </c>
      <c r="B91" s="112" t="s">
        <v>284</v>
      </c>
      <c r="C91" s="287"/>
    </row>
    <row r="92" spans="1:4" s="41" customFormat="1" ht="12" customHeight="1" thickBot="1" x14ac:dyDescent="0.2">
      <c r="A92" s="210" t="s">
        <v>510</v>
      </c>
      <c r="B92" s="200" t="s">
        <v>458</v>
      </c>
      <c r="C92" s="285">
        <f>+C69+C73+C78+C81+C85+C91+C90</f>
        <v>1709368126</v>
      </c>
    </row>
    <row r="93" spans="1:4" s="41" customFormat="1" ht="12" customHeight="1" thickBot="1" x14ac:dyDescent="0.2">
      <c r="A93" s="214" t="s">
        <v>511</v>
      </c>
      <c r="B93" s="201" t="s">
        <v>512</v>
      </c>
      <c r="C93" s="285">
        <f>+C68+C92</f>
        <v>3739173011</v>
      </c>
      <c r="D93" s="34"/>
    </row>
    <row r="94" spans="1:4" s="42" customFormat="1" ht="15" customHeight="1" thickBot="1" x14ac:dyDescent="0.25">
      <c r="A94" s="94"/>
      <c r="B94" s="95"/>
      <c r="C94" s="170"/>
    </row>
    <row r="95" spans="1:4" s="33" customFormat="1" ht="16.5" customHeight="1" thickBot="1" x14ac:dyDescent="0.25">
      <c r="A95" s="98"/>
      <c r="B95" s="99" t="s">
        <v>59</v>
      </c>
      <c r="C95" s="172"/>
    </row>
    <row r="96" spans="1:4" s="1010" customFormat="1" ht="12" customHeight="1" thickBot="1" x14ac:dyDescent="0.25">
      <c r="A96" s="185" t="s">
        <v>21</v>
      </c>
      <c r="B96" s="23" t="s">
        <v>522</v>
      </c>
      <c r="C96" s="290">
        <f>+C97+C98+C99+C100+C101+C114</f>
        <v>787885517</v>
      </c>
    </row>
    <row r="97" spans="1:3" ht="12" customHeight="1" x14ac:dyDescent="0.2">
      <c r="A97" s="215" t="s">
        <v>100</v>
      </c>
      <c r="B97" s="7" t="s">
        <v>51</v>
      </c>
      <c r="C97" s="1216">
        <f>50032580+386400-969527-4699427</f>
        <v>44750026</v>
      </c>
    </row>
    <row r="98" spans="1:3" ht="12" customHeight="1" x14ac:dyDescent="0.2">
      <c r="A98" s="208" t="s">
        <v>101</v>
      </c>
      <c r="B98" s="5" t="s">
        <v>149</v>
      </c>
      <c r="C98" s="1214">
        <f>8216281+67620-167575-1270081</f>
        <v>6846245</v>
      </c>
    </row>
    <row r="99" spans="1:3" ht="12" customHeight="1" x14ac:dyDescent="0.2">
      <c r="A99" s="208" t="s">
        <v>102</v>
      </c>
      <c r="B99" s="5" t="s">
        <v>125</v>
      </c>
      <c r="C99" s="1217">
        <f>307535372-649147+18509+2023532+17272317-9488453</f>
        <v>316712130</v>
      </c>
    </row>
    <row r="100" spans="1:3" ht="12" customHeight="1" x14ac:dyDescent="0.2">
      <c r="A100" s="208" t="s">
        <v>103</v>
      </c>
      <c r="B100" s="8" t="s">
        <v>150</v>
      </c>
      <c r="C100" s="1208">
        <v>61300000</v>
      </c>
    </row>
    <row r="101" spans="1:3" ht="12" customHeight="1" x14ac:dyDescent="0.2">
      <c r="A101" s="208" t="s">
        <v>114</v>
      </c>
      <c r="B101" s="16" t="s">
        <v>151</v>
      </c>
      <c r="C101" s="1208">
        <f>SUM(C102:C113)</f>
        <v>204062634</v>
      </c>
    </row>
    <row r="102" spans="1:3" ht="12" customHeight="1" x14ac:dyDescent="0.2">
      <c r="A102" s="208" t="s">
        <v>104</v>
      </c>
      <c r="B102" s="5" t="s">
        <v>513</v>
      </c>
      <c r="C102" s="1208">
        <v>792176</v>
      </c>
    </row>
    <row r="103" spans="1:3" ht="12" customHeight="1" x14ac:dyDescent="0.2">
      <c r="A103" s="208" t="s">
        <v>105</v>
      </c>
      <c r="B103" s="61" t="s">
        <v>462</v>
      </c>
      <c r="C103" s="1208"/>
    </row>
    <row r="104" spans="1:3" ht="12" customHeight="1" x14ac:dyDescent="0.2">
      <c r="A104" s="208" t="s">
        <v>115</v>
      </c>
      <c r="B104" s="61" t="s">
        <v>463</v>
      </c>
      <c r="C104" s="1208"/>
    </row>
    <row r="105" spans="1:3" ht="12" customHeight="1" x14ac:dyDescent="0.2">
      <c r="A105" s="208" t="s">
        <v>116</v>
      </c>
      <c r="B105" s="61" t="s">
        <v>300</v>
      </c>
      <c r="C105" s="1208"/>
    </row>
    <row r="106" spans="1:3" ht="12" customHeight="1" x14ac:dyDescent="0.2">
      <c r="A106" s="208" t="s">
        <v>117</v>
      </c>
      <c r="B106" s="62" t="s">
        <v>301</v>
      </c>
      <c r="C106" s="1208"/>
    </row>
    <row r="107" spans="1:3" ht="12" customHeight="1" x14ac:dyDescent="0.2">
      <c r="A107" s="208" t="s">
        <v>118</v>
      </c>
      <c r="B107" s="62" t="s">
        <v>302</v>
      </c>
      <c r="C107" s="1208"/>
    </row>
    <row r="108" spans="1:3" ht="12" customHeight="1" x14ac:dyDescent="0.2">
      <c r="A108" s="208" t="s">
        <v>120</v>
      </c>
      <c r="B108" s="61" t="s">
        <v>303</v>
      </c>
      <c r="C108" s="1208">
        <f>526000+935000</f>
        <v>1461000</v>
      </c>
    </row>
    <row r="109" spans="1:3" ht="12" customHeight="1" x14ac:dyDescent="0.2">
      <c r="A109" s="208" t="s">
        <v>152</v>
      </c>
      <c r="B109" s="61" t="s">
        <v>304</v>
      </c>
      <c r="C109" s="592"/>
    </row>
    <row r="110" spans="1:3" ht="12" customHeight="1" x14ac:dyDescent="0.2">
      <c r="A110" s="208" t="s">
        <v>298</v>
      </c>
      <c r="B110" s="62" t="s">
        <v>305</v>
      </c>
      <c r="C110" s="1208"/>
    </row>
    <row r="111" spans="1:3" ht="12" customHeight="1" x14ac:dyDescent="0.2">
      <c r="A111" s="216" t="s">
        <v>299</v>
      </c>
      <c r="B111" s="63" t="s">
        <v>306</v>
      </c>
      <c r="C111" s="1208"/>
    </row>
    <row r="112" spans="1:3" ht="12" customHeight="1" x14ac:dyDescent="0.2">
      <c r="A112" s="208" t="s">
        <v>464</v>
      </c>
      <c r="B112" s="63" t="s">
        <v>307</v>
      </c>
      <c r="C112" s="1208"/>
    </row>
    <row r="113" spans="1:3" ht="12" customHeight="1" x14ac:dyDescent="0.2">
      <c r="A113" s="208" t="s">
        <v>465</v>
      </c>
      <c r="B113" s="62" t="s">
        <v>308</v>
      </c>
      <c r="C113" s="1207">
        <f>201809461-3</f>
        <v>201809458</v>
      </c>
    </row>
    <row r="114" spans="1:3" ht="12" customHeight="1" x14ac:dyDescent="0.2">
      <c r="A114" s="208" t="s">
        <v>466</v>
      </c>
      <c r="B114" s="8" t="s">
        <v>52</v>
      </c>
      <c r="C114" s="1207">
        <f>SUM(C115:C116)</f>
        <v>154214482</v>
      </c>
    </row>
    <row r="115" spans="1:3" ht="12" customHeight="1" x14ac:dyDescent="0.2">
      <c r="A115" s="209" t="s">
        <v>467</v>
      </c>
      <c r="B115" s="5" t="s">
        <v>514</v>
      </c>
      <c r="C115" s="1217">
        <f>20000000+10207308-13229384-322815+29863551-32000+769709</f>
        <v>47256369</v>
      </c>
    </row>
    <row r="116" spans="1:3" ht="12" customHeight="1" thickBot="1" x14ac:dyDescent="0.25">
      <c r="A116" s="217" t="s">
        <v>469</v>
      </c>
      <c r="B116" s="64" t="s">
        <v>515</v>
      </c>
      <c r="C116" s="1218">
        <f>113240838-1722008-810685-253737-15000000+11503705</f>
        <v>106958113</v>
      </c>
    </row>
    <row r="117" spans="1:3" ht="12" customHeight="1" thickBot="1" x14ac:dyDescent="0.25">
      <c r="A117" s="25" t="s">
        <v>22</v>
      </c>
      <c r="B117" s="22" t="s">
        <v>309</v>
      </c>
      <c r="C117" s="282">
        <f>+C118+C120+C122</f>
        <v>907938875</v>
      </c>
    </row>
    <row r="118" spans="1:3" ht="12" customHeight="1" x14ac:dyDescent="0.2">
      <c r="A118" s="207" t="s">
        <v>106</v>
      </c>
      <c r="B118" s="5" t="s">
        <v>173</v>
      </c>
      <c r="C118" s="1219">
        <f>648561219-2000000+109147+6000000+1000000-2097540-15972467</f>
        <v>635600359</v>
      </c>
    </row>
    <row r="119" spans="1:3" ht="12" customHeight="1" x14ac:dyDescent="0.2">
      <c r="A119" s="207" t="s">
        <v>107</v>
      </c>
      <c r="B119" s="9" t="s">
        <v>313</v>
      </c>
      <c r="C119" s="1219">
        <f>135288734+2634996+425334254+5408883+691900+6000000-2533650</f>
        <v>572825117</v>
      </c>
    </row>
    <row r="120" spans="1:3" ht="12" customHeight="1" x14ac:dyDescent="0.2">
      <c r="A120" s="207" t="s">
        <v>108</v>
      </c>
      <c r="B120" s="9" t="s">
        <v>153</v>
      </c>
      <c r="C120" s="1207">
        <f>260935796+677185+322815+3524000</f>
        <v>265459796</v>
      </c>
    </row>
    <row r="121" spans="1:3" ht="12" customHeight="1" x14ac:dyDescent="0.2">
      <c r="A121" s="207" t="s">
        <v>109</v>
      </c>
      <c r="B121" s="9" t="s">
        <v>314</v>
      </c>
      <c r="C121" s="1207">
        <f>80112238+12241160</f>
        <v>92353398</v>
      </c>
    </row>
    <row r="122" spans="1:3" ht="12" customHeight="1" x14ac:dyDescent="0.2">
      <c r="A122" s="207" t="s">
        <v>110</v>
      </c>
      <c r="B122" s="114" t="s">
        <v>175</v>
      </c>
      <c r="C122" s="1208">
        <f>SUM(C123:C130)</f>
        <v>6878720</v>
      </c>
    </row>
    <row r="123" spans="1:3" ht="12" customHeight="1" x14ac:dyDescent="0.2">
      <c r="A123" s="207" t="s">
        <v>119</v>
      </c>
      <c r="B123" s="113" t="s">
        <v>376</v>
      </c>
      <c r="C123" s="106"/>
    </row>
    <row r="124" spans="1:3" ht="12" customHeight="1" x14ac:dyDescent="0.2">
      <c r="A124" s="207" t="s">
        <v>121</v>
      </c>
      <c r="B124" s="189" t="s">
        <v>319</v>
      </c>
      <c r="C124" s="106"/>
    </row>
    <row r="125" spans="1:3" ht="12" customHeight="1" x14ac:dyDescent="0.2">
      <c r="A125" s="207" t="s">
        <v>154</v>
      </c>
      <c r="B125" s="62" t="s">
        <v>302</v>
      </c>
      <c r="C125" s="106"/>
    </row>
    <row r="126" spans="1:3" ht="12" customHeight="1" x14ac:dyDescent="0.2">
      <c r="A126" s="207" t="s">
        <v>155</v>
      </c>
      <c r="B126" s="62" t="s">
        <v>318</v>
      </c>
      <c r="C126" s="106"/>
    </row>
    <row r="127" spans="1:3" ht="12" customHeight="1" x14ac:dyDescent="0.2">
      <c r="A127" s="207" t="s">
        <v>156</v>
      </c>
      <c r="B127" s="62" t="s">
        <v>317</v>
      </c>
      <c r="C127" s="106"/>
    </row>
    <row r="128" spans="1:3" ht="12" customHeight="1" x14ac:dyDescent="0.2">
      <c r="A128" s="207" t="s">
        <v>310</v>
      </c>
      <c r="B128" s="62" t="s">
        <v>305</v>
      </c>
      <c r="C128" s="106"/>
    </row>
    <row r="129" spans="1:9" ht="12" customHeight="1" x14ac:dyDescent="0.2">
      <c r="A129" s="207" t="s">
        <v>311</v>
      </c>
      <c r="B129" s="62" t="s">
        <v>316</v>
      </c>
      <c r="C129" s="106"/>
    </row>
    <row r="130" spans="1:9" ht="12" customHeight="1" thickBot="1" x14ac:dyDescent="0.25">
      <c r="A130" s="216" t="s">
        <v>312</v>
      </c>
      <c r="B130" s="62" t="s">
        <v>315</v>
      </c>
      <c r="C130" s="1217">
        <f>7001899+900000-1023179</f>
        <v>6878720</v>
      </c>
    </row>
    <row r="131" spans="1:9" ht="12" customHeight="1" thickBot="1" x14ac:dyDescent="0.25">
      <c r="A131" s="25" t="s">
        <v>23</v>
      </c>
      <c r="B131" s="57" t="s">
        <v>471</v>
      </c>
      <c r="C131" s="282">
        <f>+C96+C117</f>
        <v>1695824392</v>
      </c>
      <c r="D131" s="274"/>
    </row>
    <row r="132" spans="1:9" ht="12" customHeight="1" thickBot="1" x14ac:dyDescent="0.25">
      <c r="A132" s="25" t="s">
        <v>24</v>
      </c>
      <c r="B132" s="57" t="s">
        <v>472</v>
      </c>
      <c r="C132" s="282">
        <f>+C133+C134+C135</f>
        <v>722563844</v>
      </c>
    </row>
    <row r="133" spans="1:9" s="1010" customFormat="1" ht="12" customHeight="1" x14ac:dyDescent="0.2">
      <c r="A133" s="207" t="s">
        <v>211</v>
      </c>
      <c r="B133" s="6" t="s">
        <v>516</v>
      </c>
      <c r="C133" s="1207">
        <v>22563844</v>
      </c>
    </row>
    <row r="134" spans="1:9" ht="12" customHeight="1" x14ac:dyDescent="0.2">
      <c r="A134" s="207" t="s">
        <v>214</v>
      </c>
      <c r="B134" s="6" t="s">
        <v>474</v>
      </c>
      <c r="C134" s="106">
        <v>700000000</v>
      </c>
    </row>
    <row r="135" spans="1:9" ht="12" customHeight="1" thickBot="1" x14ac:dyDescent="0.25">
      <c r="A135" s="216" t="s">
        <v>215</v>
      </c>
      <c r="B135" s="4" t="s">
        <v>517</v>
      </c>
      <c r="C135" s="106"/>
    </row>
    <row r="136" spans="1:9" ht="12" customHeight="1" thickBot="1" x14ac:dyDescent="0.25">
      <c r="A136" s="25" t="s">
        <v>25</v>
      </c>
      <c r="B136" s="57" t="s">
        <v>476</v>
      </c>
      <c r="C136" s="282">
        <f>+C137+C138+C139+C140+C141+C142</f>
        <v>0</v>
      </c>
    </row>
    <row r="137" spans="1:9" ht="12" customHeight="1" x14ac:dyDescent="0.2">
      <c r="A137" s="207" t="s">
        <v>93</v>
      </c>
      <c r="B137" s="6" t="s">
        <v>477</v>
      </c>
      <c r="C137" s="106"/>
    </row>
    <row r="138" spans="1:9" ht="12" customHeight="1" x14ac:dyDescent="0.2">
      <c r="A138" s="207" t="s">
        <v>94</v>
      </c>
      <c r="B138" s="6" t="s">
        <v>478</v>
      </c>
      <c r="C138" s="106"/>
    </row>
    <row r="139" spans="1:9" ht="12" customHeight="1" x14ac:dyDescent="0.2">
      <c r="A139" s="207" t="s">
        <v>95</v>
      </c>
      <c r="B139" s="6" t="s">
        <v>479</v>
      </c>
      <c r="C139" s="106"/>
    </row>
    <row r="140" spans="1:9" ht="12" customHeight="1" x14ac:dyDescent="0.2">
      <c r="A140" s="207" t="s">
        <v>141</v>
      </c>
      <c r="B140" s="6" t="s">
        <v>518</v>
      </c>
      <c r="C140" s="106"/>
    </row>
    <row r="141" spans="1:9" ht="12" customHeight="1" x14ac:dyDescent="0.2">
      <c r="A141" s="207" t="s">
        <v>142</v>
      </c>
      <c r="B141" s="6" t="s">
        <v>481</v>
      </c>
      <c r="C141" s="106"/>
    </row>
    <row r="142" spans="1:9" s="1010" customFormat="1" ht="12" customHeight="1" thickBot="1" x14ac:dyDescent="0.25">
      <c r="A142" s="216" t="s">
        <v>143</v>
      </c>
      <c r="B142" s="4" t="s">
        <v>482</v>
      </c>
      <c r="C142" s="106"/>
    </row>
    <row r="143" spans="1:9" ht="12" customHeight="1" thickBot="1" x14ac:dyDescent="0.25">
      <c r="A143" s="25" t="s">
        <v>26</v>
      </c>
      <c r="B143" s="57" t="s">
        <v>519</v>
      </c>
      <c r="C143" s="285">
        <f>+C144+C145+C146+C147</f>
        <v>45672254</v>
      </c>
      <c r="I143" s="105"/>
    </row>
    <row r="144" spans="1:9" x14ac:dyDescent="0.2">
      <c r="A144" s="207" t="s">
        <v>96</v>
      </c>
      <c r="B144" s="6" t="s">
        <v>320</v>
      </c>
      <c r="C144" s="106"/>
    </row>
    <row r="145" spans="1:4" ht="12" customHeight="1" x14ac:dyDescent="0.2">
      <c r="A145" s="207" t="s">
        <v>97</v>
      </c>
      <c r="B145" s="6" t="s">
        <v>321</v>
      </c>
      <c r="C145" s="1207">
        <f>45672254</f>
        <v>45672254</v>
      </c>
    </row>
    <row r="146" spans="1:4" s="1010" customFormat="1" ht="12" customHeight="1" x14ac:dyDescent="0.2">
      <c r="A146" s="207" t="s">
        <v>234</v>
      </c>
      <c r="B146" s="6" t="s">
        <v>484</v>
      </c>
      <c r="C146" s="106"/>
    </row>
    <row r="147" spans="1:4" s="1010" customFormat="1" ht="12" customHeight="1" thickBot="1" x14ac:dyDescent="0.25">
      <c r="A147" s="216" t="s">
        <v>235</v>
      </c>
      <c r="B147" s="4" t="s">
        <v>339</v>
      </c>
      <c r="C147" s="106"/>
    </row>
    <row r="148" spans="1:4" s="1010" customFormat="1" ht="12" customHeight="1" thickBot="1" x14ac:dyDescent="0.25">
      <c r="A148" s="25" t="s">
        <v>27</v>
      </c>
      <c r="B148" s="57" t="s">
        <v>485</v>
      </c>
      <c r="C148" s="292">
        <f>+C149+C150+C151+C152+C153</f>
        <v>0</v>
      </c>
    </row>
    <row r="149" spans="1:4" s="1010" customFormat="1" ht="12" customHeight="1" x14ac:dyDescent="0.2">
      <c r="A149" s="207" t="s">
        <v>98</v>
      </c>
      <c r="B149" s="6" t="s">
        <v>486</v>
      </c>
      <c r="C149" s="106"/>
    </row>
    <row r="150" spans="1:4" s="1010" customFormat="1" ht="12" customHeight="1" x14ac:dyDescent="0.2">
      <c r="A150" s="207" t="s">
        <v>99</v>
      </c>
      <c r="B150" s="6" t="s">
        <v>487</v>
      </c>
      <c r="C150" s="106"/>
    </row>
    <row r="151" spans="1:4" s="1010" customFormat="1" ht="12" customHeight="1" x14ac:dyDescent="0.2">
      <c r="A151" s="207" t="s">
        <v>246</v>
      </c>
      <c r="B151" s="6" t="s">
        <v>488</v>
      </c>
      <c r="C151" s="106"/>
    </row>
    <row r="152" spans="1:4" ht="12.75" customHeight="1" x14ac:dyDescent="0.2">
      <c r="A152" s="207" t="s">
        <v>247</v>
      </c>
      <c r="B152" s="6" t="s">
        <v>520</v>
      </c>
      <c r="C152" s="106"/>
    </row>
    <row r="153" spans="1:4" ht="12.75" customHeight="1" thickBot="1" x14ac:dyDescent="0.25">
      <c r="A153" s="216" t="s">
        <v>490</v>
      </c>
      <c r="B153" s="4" t="s">
        <v>491</v>
      </c>
      <c r="C153" s="107"/>
    </row>
    <row r="154" spans="1:4" ht="12.75" customHeight="1" thickBot="1" x14ac:dyDescent="0.25">
      <c r="A154" s="264" t="s">
        <v>28</v>
      </c>
      <c r="B154" s="57" t="s">
        <v>492</v>
      </c>
      <c r="C154" s="292"/>
    </row>
    <row r="155" spans="1:4" ht="12" customHeight="1" thickBot="1" x14ac:dyDescent="0.25">
      <c r="A155" s="264" t="s">
        <v>29</v>
      </c>
      <c r="B155" s="57" t="s">
        <v>493</v>
      </c>
      <c r="C155" s="292"/>
    </row>
    <row r="156" spans="1:4" ht="15" customHeight="1" thickBot="1" x14ac:dyDescent="0.25">
      <c r="A156" s="25" t="s">
        <v>30</v>
      </c>
      <c r="B156" s="57" t="s">
        <v>494</v>
      </c>
      <c r="C156" s="293">
        <f>+C132+C136+C143+C148+C154+C155</f>
        <v>768236098</v>
      </c>
    </row>
    <row r="157" spans="1:4" ht="13.5" thickBot="1" x14ac:dyDescent="0.25">
      <c r="A157" s="218" t="s">
        <v>31</v>
      </c>
      <c r="B157" s="178" t="s">
        <v>495</v>
      </c>
      <c r="C157" s="293">
        <f>+C131+C156</f>
        <v>2464060490</v>
      </c>
      <c r="D157" s="1008"/>
    </row>
    <row r="158" spans="1:4" ht="15" customHeight="1" thickBot="1" x14ac:dyDescent="0.25"/>
    <row r="159" spans="1:4" ht="14.25" customHeight="1" thickBot="1" x14ac:dyDescent="0.25">
      <c r="A159" s="102" t="s">
        <v>521</v>
      </c>
      <c r="B159" s="103"/>
      <c r="C159" s="5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7" max="16383" man="1"/>
    <brk id="9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topLeftCell="A4" zoomScale="115" zoomScaleNormal="115" zoomScaleSheetLayoutView="85" workbookViewId="0">
      <selection activeCell="B20" sqref="B20"/>
    </sheetView>
  </sheetViews>
  <sheetFormatPr defaultRowHeight="12.75" x14ac:dyDescent="0.2"/>
  <cols>
    <col min="1" max="1" width="19.5" style="397" customWidth="1"/>
    <col min="2" max="2" width="72" style="398" customWidth="1"/>
    <col min="3" max="3" width="25" style="399" customWidth="1"/>
    <col min="4" max="4" width="13.33203125" style="1006" hidden="1" customWidth="1"/>
    <col min="5" max="5" width="0" style="1006" hidden="1" customWidth="1"/>
    <col min="6" max="16384" width="9.33203125" style="1006"/>
  </cols>
  <sheetData>
    <row r="1" spans="1:5" x14ac:dyDescent="0.2">
      <c r="A1" s="1489" t="str">
        <f>CONCATENATE("13. melléklet"," ",ALAPADATOK!A7," ",ALAPADATOK!B7," ",ALAPADATOK!C7," ",ALAPADATOK!D7," ",ALAPADATOK!E7," ",ALAPADATOK!F7," ",ALAPADATOK!G7," ",ALAPADATOK!H7)</f>
        <v>13. melléklet a 21 / 2020. ( IX.25. ) önkormányzati rendelethez</v>
      </c>
      <c r="B1" s="1489"/>
      <c r="C1" s="1489"/>
    </row>
    <row r="2" spans="1:5" s="1" customFormat="1" ht="16.5" customHeight="1" thickBot="1" x14ac:dyDescent="0.25">
      <c r="A2" s="80"/>
      <c r="B2" s="82"/>
      <c r="C2" s="104"/>
    </row>
    <row r="3" spans="1:5" s="39" customFormat="1" ht="21" customHeight="1" x14ac:dyDescent="0.2">
      <c r="A3" s="183" t="s">
        <v>64</v>
      </c>
      <c r="B3" s="162" t="s">
        <v>170</v>
      </c>
      <c r="C3" s="164" t="s">
        <v>55</v>
      </c>
    </row>
    <row r="4" spans="1:5" s="39" customFormat="1" ht="16.5" thickBot="1" x14ac:dyDescent="0.25">
      <c r="A4" s="83" t="s">
        <v>166</v>
      </c>
      <c r="B4" s="163" t="s">
        <v>378</v>
      </c>
      <c r="C4" s="263" t="s">
        <v>63</v>
      </c>
    </row>
    <row r="5" spans="1:5" s="40" customFormat="1" ht="15.95" customHeight="1" thickBot="1" x14ac:dyDescent="0.3">
      <c r="A5" s="84"/>
      <c r="B5" s="84"/>
      <c r="C5" s="85" t="s">
        <v>556</v>
      </c>
    </row>
    <row r="6" spans="1:5" ht="13.5" thickBot="1" x14ac:dyDescent="0.25">
      <c r="A6" s="184" t="s">
        <v>168</v>
      </c>
      <c r="B6" s="86" t="s">
        <v>56</v>
      </c>
      <c r="C6" s="165" t="s">
        <v>57</v>
      </c>
    </row>
    <row r="7" spans="1:5" s="33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5" s="33" customFormat="1" ht="15.95" customHeight="1" thickBot="1" x14ac:dyDescent="0.25">
      <c r="A8" s="88"/>
      <c r="B8" s="89" t="s">
        <v>58</v>
      </c>
      <c r="C8" s="166"/>
    </row>
    <row r="9" spans="1:5" s="33" customFormat="1" ht="12" customHeight="1" thickBot="1" x14ac:dyDescent="0.25">
      <c r="A9" s="25" t="s">
        <v>21</v>
      </c>
      <c r="B9" s="18" t="s">
        <v>195</v>
      </c>
      <c r="C9" s="282">
        <f>+C10+C11+C12+C15+C16+C17</f>
        <v>196187360</v>
      </c>
      <c r="D9" s="1028">
        <f>'[2]1.3.sz.mell.'!D11</f>
        <v>183403360</v>
      </c>
      <c r="E9" s="986">
        <f>C9-D9</f>
        <v>12784000</v>
      </c>
    </row>
    <row r="10" spans="1:5" s="41" customFormat="1" ht="12" customHeight="1" x14ac:dyDescent="0.2">
      <c r="A10" s="207" t="s">
        <v>100</v>
      </c>
      <c r="B10" s="193" t="s">
        <v>196</v>
      </c>
      <c r="C10" s="284"/>
      <c r="D10" s="1028">
        <f>'[2]1.3.sz.mell.'!D12</f>
        <v>0</v>
      </c>
      <c r="E10" s="986">
        <f t="shared" ref="E10:E75" si="0">C10-D10</f>
        <v>0</v>
      </c>
    </row>
    <row r="11" spans="1:5" s="42" customFormat="1" ht="12" customHeight="1" x14ac:dyDescent="0.2">
      <c r="A11" s="208" t="s">
        <v>101</v>
      </c>
      <c r="B11" s="194" t="s">
        <v>197</v>
      </c>
      <c r="C11" s="106"/>
      <c r="D11" s="1028">
        <f>'[2]1.3.sz.mell.'!D13</f>
        <v>0</v>
      </c>
      <c r="E11" s="986">
        <f t="shared" si="0"/>
        <v>0</v>
      </c>
    </row>
    <row r="12" spans="1:5" s="42" customFormat="1" ht="12" customHeight="1" x14ac:dyDescent="0.2">
      <c r="A12" s="208" t="s">
        <v>102</v>
      </c>
      <c r="B12" s="194" t="s">
        <v>999</v>
      </c>
      <c r="C12" s="1207">
        <f>SUM(C13:C14)</f>
        <v>196187360</v>
      </c>
      <c r="D12" s="1028">
        <f>'[2]1.3.sz.mell.'!D14</f>
        <v>183403360</v>
      </c>
      <c r="E12" s="986">
        <f t="shared" si="0"/>
        <v>12784000</v>
      </c>
    </row>
    <row r="13" spans="1:5" s="42" customFormat="1" ht="12" customHeight="1" x14ac:dyDescent="0.2">
      <c r="A13" s="208" t="s">
        <v>997</v>
      </c>
      <c r="B13" s="194" t="s">
        <v>1000</v>
      </c>
      <c r="C13" s="1214">
        <f>183403360+12784000</f>
        <v>196187360</v>
      </c>
      <c r="D13" s="1028"/>
      <c r="E13" s="986"/>
    </row>
    <row r="14" spans="1:5" s="42" customFormat="1" ht="12" customHeight="1" x14ac:dyDescent="0.2">
      <c r="A14" s="208" t="s">
        <v>998</v>
      </c>
      <c r="B14" s="194" t="s">
        <v>1001</v>
      </c>
      <c r="C14" s="106"/>
      <c r="D14" s="1028"/>
      <c r="E14" s="986"/>
    </row>
    <row r="15" spans="1:5" s="42" customFormat="1" ht="12" customHeight="1" x14ac:dyDescent="0.2">
      <c r="A15" s="208" t="s">
        <v>103</v>
      </c>
      <c r="B15" s="194" t="s">
        <v>199</v>
      </c>
      <c r="C15" s="106"/>
      <c r="D15" s="1028">
        <f>'[2]1.3.sz.mell.'!D17</f>
        <v>0</v>
      </c>
      <c r="E15" s="986">
        <f t="shared" si="0"/>
        <v>0</v>
      </c>
    </row>
    <row r="16" spans="1:5" s="42" customFormat="1" ht="12" customHeight="1" x14ac:dyDescent="0.2">
      <c r="A16" s="208" t="s">
        <v>126</v>
      </c>
      <c r="B16" s="194" t="s">
        <v>508</v>
      </c>
      <c r="C16" s="1207"/>
      <c r="D16" s="1028">
        <f>'[2]1.3.sz.mell.'!D18</f>
        <v>0</v>
      </c>
      <c r="E16" s="986">
        <f t="shared" si="0"/>
        <v>0</v>
      </c>
    </row>
    <row r="17" spans="1:5" s="41" customFormat="1" ht="12" customHeight="1" thickBot="1" x14ac:dyDescent="0.25">
      <c r="A17" s="209" t="s">
        <v>104</v>
      </c>
      <c r="B17" s="195" t="s">
        <v>451</v>
      </c>
      <c r="C17" s="106"/>
      <c r="D17" s="1028">
        <f>'[2]1.3.sz.mell.'!D19</f>
        <v>0</v>
      </c>
      <c r="E17" s="986">
        <f t="shared" si="0"/>
        <v>0</v>
      </c>
    </row>
    <row r="18" spans="1:5" s="41" customFormat="1" ht="12" customHeight="1" thickBot="1" x14ac:dyDescent="0.25">
      <c r="A18" s="25" t="s">
        <v>22</v>
      </c>
      <c r="B18" s="112" t="s">
        <v>200</v>
      </c>
      <c r="C18" s="282">
        <f>+C19+C20+C21+C22+C23</f>
        <v>116898785</v>
      </c>
      <c r="D18" s="1028">
        <f>'[2]1.3.sz.mell.'!D20</f>
        <v>113272668</v>
      </c>
      <c r="E18" s="986">
        <f t="shared" si="0"/>
        <v>3626117</v>
      </c>
    </row>
    <row r="19" spans="1:5" s="41" customFormat="1" ht="12" customHeight="1" x14ac:dyDescent="0.2">
      <c r="A19" s="207" t="s">
        <v>106</v>
      </c>
      <c r="B19" s="193" t="s">
        <v>201</v>
      </c>
      <c r="C19" s="284"/>
      <c r="D19" s="1028">
        <f>'[2]1.3.sz.mell.'!D21</f>
        <v>0</v>
      </c>
      <c r="E19" s="986">
        <f t="shared" si="0"/>
        <v>0</v>
      </c>
    </row>
    <row r="20" spans="1:5" s="41" customFormat="1" ht="12" customHeight="1" x14ac:dyDescent="0.2">
      <c r="A20" s="208" t="s">
        <v>107</v>
      </c>
      <c r="B20" s="194" t="s">
        <v>202</v>
      </c>
      <c r="C20" s="106"/>
      <c r="D20" s="1028">
        <f>'[2]1.3.sz.mell.'!D22</f>
        <v>0</v>
      </c>
      <c r="E20" s="986">
        <f t="shared" si="0"/>
        <v>0</v>
      </c>
    </row>
    <row r="21" spans="1:5" s="41" customFormat="1" ht="12" customHeight="1" x14ac:dyDescent="0.2">
      <c r="A21" s="208" t="s">
        <v>108</v>
      </c>
      <c r="B21" s="194" t="s">
        <v>370</v>
      </c>
      <c r="C21" s="106"/>
      <c r="D21" s="1028">
        <f>'[2]1.3.sz.mell.'!D23</f>
        <v>0</v>
      </c>
      <c r="E21" s="986">
        <f t="shared" si="0"/>
        <v>0</v>
      </c>
    </row>
    <row r="22" spans="1:5" s="41" customFormat="1" ht="12" customHeight="1" x14ac:dyDescent="0.2">
      <c r="A22" s="208" t="s">
        <v>109</v>
      </c>
      <c r="B22" s="194" t="s">
        <v>371</v>
      </c>
      <c r="C22" s="106"/>
      <c r="D22" s="1028">
        <f>'[2]1.3.sz.mell.'!D24</f>
        <v>0</v>
      </c>
      <c r="E22" s="986">
        <f t="shared" si="0"/>
        <v>0</v>
      </c>
    </row>
    <row r="23" spans="1:5" s="41" customFormat="1" ht="12" customHeight="1" x14ac:dyDescent="0.2">
      <c r="A23" s="208" t="s">
        <v>110</v>
      </c>
      <c r="B23" s="194" t="s">
        <v>203</v>
      </c>
      <c r="C23" s="1214">
        <f>113272668+557865+3068252</f>
        <v>116898785</v>
      </c>
      <c r="D23" s="1028">
        <f>'[2]1.3.sz.mell.'!D25</f>
        <v>113272668</v>
      </c>
      <c r="E23" s="986">
        <f t="shared" si="0"/>
        <v>3626117</v>
      </c>
    </row>
    <row r="24" spans="1:5" s="42" customFormat="1" ht="12" customHeight="1" thickBot="1" x14ac:dyDescent="0.25">
      <c r="A24" s="209" t="s">
        <v>119</v>
      </c>
      <c r="B24" s="195" t="s">
        <v>204</v>
      </c>
      <c r="C24" s="1208"/>
      <c r="D24" s="1028">
        <f>'[2]1.3.sz.mell.'!D26</f>
        <v>0</v>
      </c>
      <c r="E24" s="986">
        <f t="shared" si="0"/>
        <v>0</v>
      </c>
    </row>
    <row r="25" spans="1:5" s="42" customFormat="1" ht="12" customHeight="1" thickBot="1" x14ac:dyDescent="0.25">
      <c r="A25" s="25" t="s">
        <v>23</v>
      </c>
      <c r="B25" s="18" t="s">
        <v>205</v>
      </c>
      <c r="C25" s="282">
        <f>+C26+C27+C28+C29+C30</f>
        <v>5200000</v>
      </c>
      <c r="D25" s="1028">
        <f>'[2]1.3.sz.mell.'!D27</f>
        <v>0</v>
      </c>
      <c r="E25" s="986">
        <f t="shared" si="0"/>
        <v>5200000</v>
      </c>
    </row>
    <row r="26" spans="1:5" s="42" customFormat="1" ht="12" customHeight="1" x14ac:dyDescent="0.2">
      <c r="A26" s="207" t="s">
        <v>89</v>
      </c>
      <c r="B26" s="193" t="s">
        <v>206</v>
      </c>
      <c r="C26" s="284"/>
      <c r="D26" s="1028">
        <f>'[2]1.3.sz.mell.'!D28</f>
        <v>0</v>
      </c>
      <c r="E26" s="986">
        <f t="shared" si="0"/>
        <v>0</v>
      </c>
    </row>
    <row r="27" spans="1:5" s="41" customFormat="1" ht="12" customHeight="1" x14ac:dyDescent="0.2">
      <c r="A27" s="208" t="s">
        <v>90</v>
      </c>
      <c r="B27" s="194" t="s">
        <v>207</v>
      </c>
      <c r="C27" s="106"/>
      <c r="D27" s="1028">
        <f>'[2]1.3.sz.mell.'!D29</f>
        <v>0</v>
      </c>
      <c r="E27" s="986">
        <f t="shared" si="0"/>
        <v>0</v>
      </c>
    </row>
    <row r="28" spans="1:5" s="42" customFormat="1" ht="12" customHeight="1" x14ac:dyDescent="0.2">
      <c r="A28" s="208" t="s">
        <v>91</v>
      </c>
      <c r="B28" s="194" t="s">
        <v>372</v>
      </c>
      <c r="C28" s="106"/>
      <c r="D28" s="1028">
        <f>'[2]1.3.sz.mell.'!D30</f>
        <v>0</v>
      </c>
      <c r="E28" s="986">
        <f t="shared" si="0"/>
        <v>0</v>
      </c>
    </row>
    <row r="29" spans="1:5" s="42" customFormat="1" ht="12" customHeight="1" x14ac:dyDescent="0.2">
      <c r="A29" s="208" t="s">
        <v>92</v>
      </c>
      <c r="B29" s="194" t="s">
        <v>373</v>
      </c>
      <c r="C29" s="106"/>
      <c r="D29" s="1028">
        <f>'[2]1.3.sz.mell.'!D31</f>
        <v>0</v>
      </c>
      <c r="E29" s="986">
        <f t="shared" si="0"/>
        <v>0</v>
      </c>
    </row>
    <row r="30" spans="1:5" s="42" customFormat="1" ht="12" customHeight="1" x14ac:dyDescent="0.2">
      <c r="A30" s="208" t="s">
        <v>137</v>
      </c>
      <c r="B30" s="194" t="s">
        <v>208</v>
      </c>
      <c r="C30" s="1214">
        <v>5200000</v>
      </c>
      <c r="D30" s="1028">
        <f>'[2]1.3.sz.mell.'!D32</f>
        <v>0</v>
      </c>
      <c r="E30" s="986">
        <f t="shared" si="0"/>
        <v>5200000</v>
      </c>
    </row>
    <row r="31" spans="1:5" s="42" customFormat="1" ht="12" customHeight="1" thickBot="1" x14ac:dyDescent="0.25">
      <c r="A31" s="209" t="s">
        <v>138</v>
      </c>
      <c r="B31" s="195" t="s">
        <v>209</v>
      </c>
      <c r="C31" s="1208"/>
      <c r="D31" s="1028">
        <f>'[2]1.3.sz.mell.'!D33</f>
        <v>0</v>
      </c>
      <c r="E31" s="986">
        <f t="shared" si="0"/>
        <v>0</v>
      </c>
    </row>
    <row r="32" spans="1:5" s="42" customFormat="1" ht="12" customHeight="1" thickBot="1" x14ac:dyDescent="0.25">
      <c r="A32" s="25" t="s">
        <v>139</v>
      </c>
      <c r="B32" s="18" t="s">
        <v>656</v>
      </c>
      <c r="C32" s="285">
        <f>+C33+C37+C38+C39</f>
        <v>0</v>
      </c>
      <c r="D32" s="1028">
        <f>'[2]1.3.sz.mell.'!D34</f>
        <v>0</v>
      </c>
      <c r="E32" s="986">
        <f t="shared" si="0"/>
        <v>0</v>
      </c>
    </row>
    <row r="33" spans="1:5" s="42" customFormat="1" ht="12" customHeight="1" x14ac:dyDescent="0.2">
      <c r="A33" s="207" t="s">
        <v>211</v>
      </c>
      <c r="B33" s="193" t="s">
        <v>652</v>
      </c>
      <c r="C33" s="299">
        <f>SUM(C34:C35)</f>
        <v>0</v>
      </c>
      <c r="D33" s="1028">
        <f>'[2]1.3.sz.mell.'!D35</f>
        <v>0</v>
      </c>
      <c r="E33" s="986">
        <f t="shared" si="0"/>
        <v>0</v>
      </c>
    </row>
    <row r="34" spans="1:5" s="42" customFormat="1" ht="12" customHeight="1" x14ac:dyDescent="0.2">
      <c r="A34" s="208" t="s">
        <v>212</v>
      </c>
      <c r="B34" s="194" t="s">
        <v>217</v>
      </c>
      <c r="C34" s="106"/>
      <c r="D34" s="1028">
        <f>'[2]1.3.sz.mell.'!D36</f>
        <v>0</v>
      </c>
      <c r="E34" s="986">
        <f t="shared" si="0"/>
        <v>0</v>
      </c>
    </row>
    <row r="35" spans="1:5" s="42" customFormat="1" ht="12" customHeight="1" x14ac:dyDescent="0.2">
      <c r="A35" s="208" t="s">
        <v>213</v>
      </c>
      <c r="B35" s="251" t="s">
        <v>651</v>
      </c>
      <c r="C35" s="106"/>
      <c r="D35" s="1028">
        <f>'[2]1.3.sz.mell.'!D37</f>
        <v>0</v>
      </c>
      <c r="E35" s="986">
        <f t="shared" si="0"/>
        <v>0</v>
      </c>
    </row>
    <row r="36" spans="1:5" s="42" customFormat="1" ht="12" customHeight="1" x14ac:dyDescent="0.2">
      <c r="A36" s="208" t="s">
        <v>214</v>
      </c>
      <c r="B36" s="194" t="s">
        <v>538</v>
      </c>
      <c r="C36" s="106"/>
      <c r="D36" s="1028">
        <f>'[2]1.3.sz.mell.'!D38</f>
        <v>0</v>
      </c>
      <c r="E36" s="986">
        <f t="shared" si="0"/>
        <v>0</v>
      </c>
    </row>
    <row r="37" spans="1:5" s="42" customFormat="1" ht="12" customHeight="1" x14ac:dyDescent="0.2">
      <c r="A37" s="208" t="s">
        <v>539</v>
      </c>
      <c r="B37" s="194" t="s">
        <v>218</v>
      </c>
      <c r="C37" s="106"/>
      <c r="D37" s="1028">
        <f>'[2]1.3.sz.mell.'!D39</f>
        <v>0</v>
      </c>
      <c r="E37" s="986">
        <f t="shared" si="0"/>
        <v>0</v>
      </c>
    </row>
    <row r="38" spans="1:5" s="42" customFormat="1" ht="12" customHeight="1" x14ac:dyDescent="0.2">
      <c r="A38" s="208" t="s">
        <v>216</v>
      </c>
      <c r="B38" s="194" t="s">
        <v>219</v>
      </c>
      <c r="C38" s="106"/>
      <c r="D38" s="1028">
        <f>'[2]1.3.sz.mell.'!D40</f>
        <v>0</v>
      </c>
      <c r="E38" s="986">
        <f t="shared" si="0"/>
        <v>0</v>
      </c>
    </row>
    <row r="39" spans="1:5" s="42" customFormat="1" ht="12" customHeight="1" thickBot="1" x14ac:dyDescent="0.25">
      <c r="A39" s="209" t="s">
        <v>540</v>
      </c>
      <c r="B39" s="195" t="s">
        <v>220</v>
      </c>
      <c r="C39" s="107"/>
      <c r="D39" s="1028">
        <f>'[2]1.3.sz.mell.'!D41</f>
        <v>0</v>
      </c>
      <c r="E39" s="986">
        <f t="shared" si="0"/>
        <v>0</v>
      </c>
    </row>
    <row r="40" spans="1:5" s="42" customFormat="1" ht="12" customHeight="1" thickBot="1" x14ac:dyDescent="0.25">
      <c r="A40" s="25" t="s">
        <v>25</v>
      </c>
      <c r="B40" s="18" t="s">
        <v>452</v>
      </c>
      <c r="C40" s="282">
        <f>SUM(C41:C51)</f>
        <v>5405000</v>
      </c>
      <c r="D40" s="1028">
        <f>'[2]1.3.sz.mell.'!D42</f>
        <v>5405000</v>
      </c>
      <c r="E40" s="986">
        <f t="shared" si="0"/>
        <v>0</v>
      </c>
    </row>
    <row r="41" spans="1:5" s="42" customFormat="1" ht="12" customHeight="1" x14ac:dyDescent="0.2">
      <c r="A41" s="207" t="s">
        <v>93</v>
      </c>
      <c r="B41" s="193" t="s">
        <v>223</v>
      </c>
      <c r="C41" s="1219"/>
      <c r="D41" s="1028">
        <f>'[2]1.3.sz.mell.'!D43</f>
        <v>0</v>
      </c>
      <c r="E41" s="986">
        <f t="shared" si="0"/>
        <v>0</v>
      </c>
    </row>
    <row r="42" spans="1:5" s="42" customFormat="1" ht="12" customHeight="1" x14ac:dyDescent="0.2">
      <c r="A42" s="208" t="s">
        <v>94</v>
      </c>
      <c r="B42" s="194" t="s">
        <v>224</v>
      </c>
      <c r="C42" s="1207">
        <f>4303149-47244</f>
        <v>4255905</v>
      </c>
      <c r="D42" s="1028">
        <f>'[2]1.3.sz.mell.'!D44</f>
        <v>4255905</v>
      </c>
      <c r="E42" s="986">
        <f t="shared" si="0"/>
        <v>0</v>
      </c>
    </row>
    <row r="43" spans="1:5" s="42" customFormat="1" ht="12" customHeight="1" x14ac:dyDescent="0.2">
      <c r="A43" s="208" t="s">
        <v>95</v>
      </c>
      <c r="B43" s="194" t="s">
        <v>225</v>
      </c>
      <c r="C43" s="1207"/>
      <c r="D43" s="1028">
        <f>'[2]1.3.sz.mell.'!D45</f>
        <v>0</v>
      </c>
      <c r="E43" s="986">
        <f t="shared" si="0"/>
        <v>0</v>
      </c>
    </row>
    <row r="44" spans="1:5" s="42" customFormat="1" ht="12" customHeight="1" x14ac:dyDescent="0.2">
      <c r="A44" s="208" t="s">
        <v>141</v>
      </c>
      <c r="B44" s="194" t="s">
        <v>226</v>
      </c>
      <c r="C44" s="106"/>
      <c r="D44" s="1028">
        <f>'[2]1.3.sz.mell.'!D46</f>
        <v>0</v>
      </c>
      <c r="E44" s="986">
        <f t="shared" si="0"/>
        <v>0</v>
      </c>
    </row>
    <row r="45" spans="1:5" s="42" customFormat="1" ht="12" customHeight="1" x14ac:dyDescent="0.2">
      <c r="A45" s="208" t="s">
        <v>142</v>
      </c>
      <c r="B45" s="194" t="s">
        <v>227</v>
      </c>
      <c r="C45" s="106"/>
      <c r="D45" s="1028">
        <f>'[2]1.3.sz.mell.'!D47</f>
        <v>0</v>
      </c>
      <c r="E45" s="986">
        <f t="shared" si="0"/>
        <v>0</v>
      </c>
    </row>
    <row r="46" spans="1:5" s="42" customFormat="1" ht="12" customHeight="1" x14ac:dyDescent="0.2">
      <c r="A46" s="208" t="s">
        <v>143</v>
      </c>
      <c r="B46" s="194" t="s">
        <v>228</v>
      </c>
      <c r="C46" s="1207">
        <f>1161851-12756</f>
        <v>1149095</v>
      </c>
      <c r="D46" s="1028">
        <f>'[2]1.3.sz.mell.'!D48</f>
        <v>1149095</v>
      </c>
      <c r="E46" s="986">
        <f t="shared" si="0"/>
        <v>0</v>
      </c>
    </row>
    <row r="47" spans="1:5" s="42" customFormat="1" ht="12" customHeight="1" x14ac:dyDescent="0.2">
      <c r="A47" s="208" t="s">
        <v>144</v>
      </c>
      <c r="B47" s="194" t="s">
        <v>229</v>
      </c>
      <c r="C47" s="106"/>
      <c r="D47" s="1028">
        <f>'[2]1.3.sz.mell.'!D49</f>
        <v>0</v>
      </c>
      <c r="E47" s="986">
        <f t="shared" si="0"/>
        <v>0</v>
      </c>
    </row>
    <row r="48" spans="1:5" s="42" customFormat="1" ht="12" customHeight="1" x14ac:dyDescent="0.2">
      <c r="A48" s="208" t="s">
        <v>145</v>
      </c>
      <c r="B48" s="194" t="s">
        <v>230</v>
      </c>
      <c r="C48" s="106"/>
      <c r="D48" s="1028">
        <f>'[2]1.3.sz.mell.'!D50</f>
        <v>0</v>
      </c>
      <c r="E48" s="986">
        <f t="shared" si="0"/>
        <v>0</v>
      </c>
    </row>
    <row r="49" spans="1:5" s="42" customFormat="1" ht="12" customHeight="1" x14ac:dyDescent="0.2">
      <c r="A49" s="208" t="s">
        <v>221</v>
      </c>
      <c r="B49" s="194" t="s">
        <v>231</v>
      </c>
      <c r="C49" s="1207"/>
      <c r="D49" s="1028">
        <f>'[2]1.3.sz.mell.'!D51</f>
        <v>0</v>
      </c>
      <c r="E49" s="986">
        <f t="shared" si="0"/>
        <v>0</v>
      </c>
    </row>
    <row r="50" spans="1:5" s="42" customFormat="1" ht="12" customHeight="1" x14ac:dyDescent="0.2">
      <c r="A50" s="209" t="s">
        <v>222</v>
      </c>
      <c r="B50" s="195" t="s">
        <v>453</v>
      </c>
      <c r="C50" s="1208"/>
      <c r="D50" s="1028">
        <f>'[2]1.3.sz.mell.'!D52</f>
        <v>0</v>
      </c>
      <c r="E50" s="986">
        <f t="shared" si="0"/>
        <v>0</v>
      </c>
    </row>
    <row r="51" spans="1:5" s="42" customFormat="1" ht="12" customHeight="1" thickBot="1" x14ac:dyDescent="0.25">
      <c r="A51" s="209" t="s">
        <v>454</v>
      </c>
      <c r="B51" s="195" t="s">
        <v>232</v>
      </c>
      <c r="C51" s="1208"/>
      <c r="D51" s="1028">
        <f>'[2]1.3.sz.mell.'!D53</f>
        <v>0</v>
      </c>
      <c r="E51" s="986">
        <f t="shared" si="0"/>
        <v>0</v>
      </c>
    </row>
    <row r="52" spans="1:5" s="42" customFormat="1" ht="12" customHeight="1" thickBot="1" x14ac:dyDescent="0.25">
      <c r="A52" s="25" t="s">
        <v>26</v>
      </c>
      <c r="B52" s="18" t="s">
        <v>233</v>
      </c>
      <c r="C52" s="282">
        <f>SUM(C53:C57)</f>
        <v>0</v>
      </c>
      <c r="D52" s="1028">
        <f>'[2]1.3.sz.mell.'!D54</f>
        <v>0</v>
      </c>
      <c r="E52" s="986">
        <f t="shared" si="0"/>
        <v>0</v>
      </c>
    </row>
    <row r="53" spans="1:5" s="42" customFormat="1" ht="12" customHeight="1" x14ac:dyDescent="0.2">
      <c r="A53" s="207" t="s">
        <v>96</v>
      </c>
      <c r="B53" s="193" t="s">
        <v>237</v>
      </c>
      <c r="C53" s="1209"/>
      <c r="D53" s="1028">
        <f>'[2]1.3.sz.mell.'!D55</f>
        <v>0</v>
      </c>
      <c r="E53" s="986">
        <f t="shared" si="0"/>
        <v>0</v>
      </c>
    </row>
    <row r="54" spans="1:5" s="42" customFormat="1" ht="12" customHeight="1" x14ac:dyDescent="0.2">
      <c r="A54" s="208" t="s">
        <v>97</v>
      </c>
      <c r="B54" s="194" t="s">
        <v>238</v>
      </c>
      <c r="C54" s="1207"/>
      <c r="D54" s="1028">
        <f>'[2]1.3.sz.mell.'!D56</f>
        <v>0</v>
      </c>
      <c r="E54" s="986">
        <f t="shared" si="0"/>
        <v>0</v>
      </c>
    </row>
    <row r="55" spans="1:5" s="42" customFormat="1" ht="12" customHeight="1" x14ac:dyDescent="0.2">
      <c r="A55" s="208" t="s">
        <v>234</v>
      </c>
      <c r="B55" s="194" t="s">
        <v>239</v>
      </c>
      <c r="C55" s="1207"/>
      <c r="D55" s="1028">
        <f>'[2]1.3.sz.mell.'!D57</f>
        <v>0</v>
      </c>
      <c r="E55" s="986">
        <f t="shared" si="0"/>
        <v>0</v>
      </c>
    </row>
    <row r="56" spans="1:5" s="42" customFormat="1" ht="12" customHeight="1" x14ac:dyDescent="0.2">
      <c r="A56" s="208" t="s">
        <v>235</v>
      </c>
      <c r="B56" s="194" t="s">
        <v>240</v>
      </c>
      <c r="C56" s="1207"/>
      <c r="D56" s="1028">
        <f>'[2]1.3.sz.mell.'!D58</f>
        <v>0</v>
      </c>
      <c r="E56" s="986">
        <f t="shared" si="0"/>
        <v>0</v>
      </c>
    </row>
    <row r="57" spans="1:5" s="42" customFormat="1" ht="12" customHeight="1" thickBot="1" x14ac:dyDescent="0.25">
      <c r="A57" s="209" t="s">
        <v>236</v>
      </c>
      <c r="B57" s="195" t="s">
        <v>241</v>
      </c>
      <c r="C57" s="1208"/>
      <c r="D57" s="1028">
        <f>'[2]1.3.sz.mell.'!D59</f>
        <v>0</v>
      </c>
      <c r="E57" s="986">
        <f t="shared" si="0"/>
        <v>0</v>
      </c>
    </row>
    <row r="58" spans="1:5" s="42" customFormat="1" ht="12" customHeight="1" thickBot="1" x14ac:dyDescent="0.25">
      <c r="A58" s="25" t="s">
        <v>146</v>
      </c>
      <c r="B58" s="18" t="s">
        <v>242</v>
      </c>
      <c r="C58" s="282">
        <f>SUM(C59:C61)</f>
        <v>1109000</v>
      </c>
      <c r="D58" s="1028">
        <f>'[2]1.3.sz.mell.'!D60</f>
        <v>1109000</v>
      </c>
      <c r="E58" s="986">
        <f t="shared" si="0"/>
        <v>0</v>
      </c>
    </row>
    <row r="59" spans="1:5" s="42" customFormat="1" ht="12" customHeight="1" x14ac:dyDescent="0.2">
      <c r="A59" s="207" t="s">
        <v>98</v>
      </c>
      <c r="B59" s="193" t="s">
        <v>243</v>
      </c>
      <c r="C59" s="284"/>
      <c r="D59" s="1028">
        <f>'[2]1.3.sz.mell.'!D61</f>
        <v>0</v>
      </c>
      <c r="E59" s="986">
        <f t="shared" si="0"/>
        <v>0</v>
      </c>
    </row>
    <row r="60" spans="1:5" s="42" customFormat="1" ht="12" customHeight="1" x14ac:dyDescent="0.2">
      <c r="A60" s="208" t="s">
        <v>99</v>
      </c>
      <c r="B60" s="194" t="s">
        <v>374</v>
      </c>
      <c r="C60" s="1207">
        <v>400000</v>
      </c>
      <c r="D60" s="1028">
        <f>'[2]1.3.sz.mell.'!D62</f>
        <v>400000</v>
      </c>
      <c r="E60" s="986">
        <f t="shared" si="0"/>
        <v>0</v>
      </c>
    </row>
    <row r="61" spans="1:5" s="42" customFormat="1" ht="12" customHeight="1" x14ac:dyDescent="0.2">
      <c r="A61" s="208" t="s">
        <v>246</v>
      </c>
      <c r="B61" s="194" t="s">
        <v>244</v>
      </c>
      <c r="C61" s="1207">
        <f>675000+34000</f>
        <v>709000</v>
      </c>
      <c r="D61" s="1028">
        <f>'[2]1.3.sz.mell.'!D63</f>
        <v>709000</v>
      </c>
      <c r="E61" s="986">
        <f t="shared" si="0"/>
        <v>0</v>
      </c>
    </row>
    <row r="62" spans="1:5" s="42" customFormat="1" ht="12" customHeight="1" thickBot="1" x14ac:dyDescent="0.25">
      <c r="A62" s="209" t="s">
        <v>247</v>
      </c>
      <c r="B62" s="195" t="s">
        <v>245</v>
      </c>
      <c r="C62" s="107"/>
      <c r="D62" s="1028">
        <f>'[2]1.3.sz.mell.'!D64</f>
        <v>0</v>
      </c>
      <c r="E62" s="986">
        <f t="shared" si="0"/>
        <v>0</v>
      </c>
    </row>
    <row r="63" spans="1:5" s="42" customFormat="1" ht="12" customHeight="1" thickBot="1" x14ac:dyDescent="0.25">
      <c r="A63" s="25" t="s">
        <v>28</v>
      </c>
      <c r="B63" s="112" t="s">
        <v>248</v>
      </c>
      <c r="C63" s="282">
        <f>SUM(C64:C66)</f>
        <v>6000000</v>
      </c>
      <c r="D63" s="1028">
        <f>'[2]1.3.sz.mell.'!D65</f>
        <v>6000000</v>
      </c>
      <c r="E63" s="986">
        <f t="shared" si="0"/>
        <v>0</v>
      </c>
    </row>
    <row r="64" spans="1:5" s="42" customFormat="1" ht="12" customHeight="1" x14ac:dyDescent="0.2">
      <c r="A64" s="207" t="s">
        <v>147</v>
      </c>
      <c r="B64" s="193" t="s">
        <v>250</v>
      </c>
      <c r="C64" s="1207"/>
      <c r="D64" s="1028">
        <f>'[2]1.3.sz.mell.'!D66</f>
        <v>0</v>
      </c>
      <c r="E64" s="986">
        <f t="shared" si="0"/>
        <v>0</v>
      </c>
    </row>
    <row r="65" spans="1:5" s="42" customFormat="1" ht="12" customHeight="1" x14ac:dyDescent="0.2">
      <c r="A65" s="208" t="s">
        <v>148</v>
      </c>
      <c r="B65" s="194" t="s">
        <v>375</v>
      </c>
      <c r="C65" s="1207"/>
      <c r="D65" s="1028">
        <f>'[2]1.3.sz.mell.'!D67</f>
        <v>0</v>
      </c>
      <c r="E65" s="986">
        <f t="shared" si="0"/>
        <v>0</v>
      </c>
    </row>
    <row r="66" spans="1:5" s="42" customFormat="1" ht="12" customHeight="1" x14ac:dyDescent="0.2">
      <c r="A66" s="208" t="s">
        <v>174</v>
      </c>
      <c r="B66" s="194" t="s">
        <v>251</v>
      </c>
      <c r="C66" s="1207">
        <f>6000000</f>
        <v>6000000</v>
      </c>
      <c r="D66" s="1028">
        <f>'[2]1.3.sz.mell.'!D68</f>
        <v>6000000</v>
      </c>
      <c r="E66" s="986">
        <f t="shared" si="0"/>
        <v>0</v>
      </c>
    </row>
    <row r="67" spans="1:5" s="42" customFormat="1" ht="12" customHeight="1" thickBot="1" x14ac:dyDescent="0.25">
      <c r="A67" s="209" t="s">
        <v>249</v>
      </c>
      <c r="B67" s="195" t="s">
        <v>252</v>
      </c>
      <c r="C67" s="1207">
        <f>6000000</f>
        <v>6000000</v>
      </c>
      <c r="D67" s="1028">
        <f>'[2]1.3.sz.mell.'!D69</f>
        <v>6000000</v>
      </c>
      <c r="E67" s="986">
        <f t="shared" si="0"/>
        <v>0</v>
      </c>
    </row>
    <row r="68" spans="1:5" s="42" customFormat="1" ht="12" customHeight="1" thickBot="1" x14ac:dyDescent="0.25">
      <c r="A68" s="25" t="s">
        <v>29</v>
      </c>
      <c r="B68" s="18" t="s">
        <v>253</v>
      </c>
      <c r="C68" s="285">
        <f>+C9+C18+C25+C32+C40+C52+C58+C63</f>
        <v>330800145</v>
      </c>
      <c r="D68" s="1028">
        <f>'[2]1.3.sz.mell.'!D70</f>
        <v>309190028</v>
      </c>
      <c r="E68" s="986">
        <f t="shared" si="0"/>
        <v>21610117</v>
      </c>
    </row>
    <row r="69" spans="1:5" s="42" customFormat="1" ht="12" customHeight="1" thickBot="1" x14ac:dyDescent="0.2">
      <c r="A69" s="210" t="s">
        <v>343</v>
      </c>
      <c r="B69" s="112" t="s">
        <v>255</v>
      </c>
      <c r="C69" s="282">
        <f>SUM(C70:C72)</f>
        <v>0</v>
      </c>
      <c r="D69" s="1028">
        <f>'[2]1.3.sz.mell.'!D71</f>
        <v>0</v>
      </c>
      <c r="E69" s="986">
        <f t="shared" si="0"/>
        <v>0</v>
      </c>
    </row>
    <row r="70" spans="1:5" s="42" customFormat="1" ht="12" customHeight="1" x14ac:dyDescent="0.2">
      <c r="A70" s="207" t="s">
        <v>286</v>
      </c>
      <c r="B70" s="193" t="s">
        <v>256</v>
      </c>
      <c r="C70" s="1207"/>
      <c r="D70" s="1028">
        <f>'[2]1.3.sz.mell.'!D72</f>
        <v>0</v>
      </c>
      <c r="E70" s="986">
        <f t="shared" si="0"/>
        <v>0</v>
      </c>
    </row>
    <row r="71" spans="1:5" s="42" customFormat="1" ht="12" customHeight="1" x14ac:dyDescent="0.2">
      <c r="A71" s="208" t="s">
        <v>295</v>
      </c>
      <c r="B71" s="194" t="s">
        <v>257</v>
      </c>
      <c r="C71" s="1207"/>
      <c r="D71" s="1028">
        <f>'[2]1.3.sz.mell.'!D73</f>
        <v>0</v>
      </c>
      <c r="E71" s="986">
        <f t="shared" si="0"/>
        <v>0</v>
      </c>
    </row>
    <row r="72" spans="1:5" s="42" customFormat="1" ht="12" customHeight="1" thickBot="1" x14ac:dyDescent="0.25">
      <c r="A72" s="209" t="s">
        <v>296</v>
      </c>
      <c r="B72" s="196" t="s">
        <v>258</v>
      </c>
      <c r="C72" s="1207"/>
      <c r="D72" s="1028">
        <f>'[2]1.3.sz.mell.'!D74</f>
        <v>0</v>
      </c>
      <c r="E72" s="986">
        <f t="shared" si="0"/>
        <v>0</v>
      </c>
    </row>
    <row r="73" spans="1:5" s="42" customFormat="1" ht="12" customHeight="1" thickBot="1" x14ac:dyDescent="0.2">
      <c r="A73" s="210" t="s">
        <v>259</v>
      </c>
      <c r="B73" s="112" t="s">
        <v>260</v>
      </c>
      <c r="C73" s="282">
        <f>SUM(C74:C77)</f>
        <v>0</v>
      </c>
      <c r="D73" s="1028">
        <f>'[2]1.3.sz.mell.'!D75</f>
        <v>0</v>
      </c>
      <c r="E73" s="986">
        <f t="shared" si="0"/>
        <v>0</v>
      </c>
    </row>
    <row r="74" spans="1:5" s="42" customFormat="1" ht="12" customHeight="1" x14ac:dyDescent="0.2">
      <c r="A74" s="207" t="s">
        <v>127</v>
      </c>
      <c r="B74" s="193" t="s">
        <v>261</v>
      </c>
      <c r="C74" s="1207"/>
      <c r="D74" s="1028">
        <f>'[2]1.3.sz.mell.'!D76</f>
        <v>0</v>
      </c>
      <c r="E74" s="986">
        <f t="shared" si="0"/>
        <v>0</v>
      </c>
    </row>
    <row r="75" spans="1:5" s="42" customFormat="1" ht="12" customHeight="1" x14ac:dyDescent="0.2">
      <c r="A75" s="208" t="s">
        <v>128</v>
      </c>
      <c r="B75" s="194" t="s">
        <v>262</v>
      </c>
      <c r="C75" s="1207"/>
      <c r="D75" s="1028">
        <f>'[2]1.3.sz.mell.'!D77</f>
        <v>0</v>
      </c>
      <c r="E75" s="986">
        <f t="shared" si="0"/>
        <v>0</v>
      </c>
    </row>
    <row r="76" spans="1:5" s="42" customFormat="1" ht="12" customHeight="1" x14ac:dyDescent="0.2">
      <c r="A76" s="208" t="s">
        <v>287</v>
      </c>
      <c r="B76" s="194" t="s">
        <v>263</v>
      </c>
      <c r="C76" s="1207"/>
      <c r="D76" s="1028">
        <f>'[2]1.3.sz.mell.'!D78</f>
        <v>0</v>
      </c>
      <c r="E76" s="986">
        <f t="shared" ref="E76:E139" si="1">C76-D76</f>
        <v>0</v>
      </c>
    </row>
    <row r="77" spans="1:5" s="42" customFormat="1" ht="12" customHeight="1" thickBot="1" x14ac:dyDescent="0.25">
      <c r="A77" s="209" t="s">
        <v>288</v>
      </c>
      <c r="B77" s="195" t="s">
        <v>264</v>
      </c>
      <c r="C77" s="1207"/>
      <c r="D77" s="1028">
        <f>'[2]1.3.sz.mell.'!D79</f>
        <v>0</v>
      </c>
      <c r="E77" s="986">
        <f t="shared" si="1"/>
        <v>0</v>
      </c>
    </row>
    <row r="78" spans="1:5" s="42" customFormat="1" ht="12" customHeight="1" thickBot="1" x14ac:dyDescent="0.2">
      <c r="A78" s="210" t="s">
        <v>265</v>
      </c>
      <c r="B78" s="112" t="s">
        <v>266</v>
      </c>
      <c r="C78" s="282">
        <f>SUM(C79:C80)</f>
        <v>8179828</v>
      </c>
      <c r="D78" s="1028">
        <f>'[2]1.3.sz.mell.'!D80</f>
        <v>8179828</v>
      </c>
      <c r="E78" s="986">
        <f t="shared" si="1"/>
        <v>0</v>
      </c>
    </row>
    <row r="79" spans="1:5" s="42" customFormat="1" ht="12" customHeight="1" x14ac:dyDescent="0.2">
      <c r="A79" s="207" t="s">
        <v>289</v>
      </c>
      <c r="B79" s="193" t="s">
        <v>267</v>
      </c>
      <c r="C79" s="1207">
        <v>8179828</v>
      </c>
      <c r="D79" s="1028">
        <f>'[2]1.3.sz.mell.'!D81</f>
        <v>8179828</v>
      </c>
      <c r="E79" s="986">
        <f t="shared" si="1"/>
        <v>0</v>
      </c>
    </row>
    <row r="80" spans="1:5" s="42" customFormat="1" ht="12" customHeight="1" thickBot="1" x14ac:dyDescent="0.25">
      <c r="A80" s="209" t="s">
        <v>290</v>
      </c>
      <c r="B80" s="195" t="s">
        <v>268</v>
      </c>
      <c r="C80" s="1207"/>
      <c r="D80" s="1028">
        <f>'[2]1.3.sz.mell.'!D82</f>
        <v>0</v>
      </c>
      <c r="E80" s="986">
        <f t="shared" si="1"/>
        <v>0</v>
      </c>
    </row>
    <row r="81" spans="1:5" s="41" customFormat="1" ht="12" customHeight="1" thickBot="1" x14ac:dyDescent="0.2">
      <c r="A81" s="210" t="s">
        <v>269</v>
      </c>
      <c r="B81" s="112" t="s">
        <v>270</v>
      </c>
      <c r="C81" s="282">
        <f>SUM(C82:C84)</f>
        <v>0</v>
      </c>
      <c r="D81" s="1028">
        <f>'[2]1.3.sz.mell.'!D83</f>
        <v>0</v>
      </c>
      <c r="E81" s="986">
        <f t="shared" si="1"/>
        <v>0</v>
      </c>
    </row>
    <row r="82" spans="1:5" s="42" customFormat="1" ht="12" customHeight="1" x14ac:dyDescent="0.2">
      <c r="A82" s="207" t="s">
        <v>291</v>
      </c>
      <c r="B82" s="193" t="s">
        <v>271</v>
      </c>
      <c r="C82" s="1207"/>
      <c r="D82" s="1028">
        <f>'[2]1.3.sz.mell.'!D84</f>
        <v>0</v>
      </c>
      <c r="E82" s="986">
        <f t="shared" si="1"/>
        <v>0</v>
      </c>
    </row>
    <row r="83" spans="1:5" s="42" customFormat="1" ht="12" customHeight="1" x14ac:dyDescent="0.2">
      <c r="A83" s="208" t="s">
        <v>292</v>
      </c>
      <c r="B83" s="194" t="s">
        <v>272</v>
      </c>
      <c r="C83" s="1207"/>
      <c r="D83" s="1028">
        <f>'[2]1.3.sz.mell.'!D85</f>
        <v>0</v>
      </c>
      <c r="E83" s="986">
        <f t="shared" si="1"/>
        <v>0</v>
      </c>
    </row>
    <row r="84" spans="1:5" s="42" customFormat="1" ht="12" customHeight="1" thickBot="1" x14ac:dyDescent="0.25">
      <c r="A84" s="209" t="s">
        <v>293</v>
      </c>
      <c r="B84" s="195" t="s">
        <v>273</v>
      </c>
      <c r="C84" s="1207"/>
      <c r="D84" s="1028">
        <f>'[2]1.3.sz.mell.'!D86</f>
        <v>0</v>
      </c>
      <c r="E84" s="986">
        <f t="shared" si="1"/>
        <v>0</v>
      </c>
    </row>
    <row r="85" spans="1:5" s="42" customFormat="1" ht="12" customHeight="1" thickBot="1" x14ac:dyDescent="0.2">
      <c r="A85" s="210" t="s">
        <v>274</v>
      </c>
      <c r="B85" s="112" t="s">
        <v>294</v>
      </c>
      <c r="C85" s="282">
        <f>SUM(C86:C89)</f>
        <v>0</v>
      </c>
      <c r="D85" s="1028">
        <f>'[2]1.3.sz.mell.'!D87</f>
        <v>0</v>
      </c>
      <c r="E85" s="986">
        <f t="shared" si="1"/>
        <v>0</v>
      </c>
    </row>
    <row r="86" spans="1:5" s="42" customFormat="1" ht="12" customHeight="1" x14ac:dyDescent="0.2">
      <c r="A86" s="211" t="s">
        <v>275</v>
      </c>
      <c r="B86" s="193" t="s">
        <v>276</v>
      </c>
      <c r="C86" s="1207"/>
      <c r="D86" s="1028">
        <f>'[2]1.3.sz.mell.'!D88</f>
        <v>0</v>
      </c>
      <c r="E86" s="986">
        <f t="shared" si="1"/>
        <v>0</v>
      </c>
    </row>
    <row r="87" spans="1:5" s="42" customFormat="1" ht="12" customHeight="1" x14ac:dyDescent="0.2">
      <c r="A87" s="212" t="s">
        <v>277</v>
      </c>
      <c r="B87" s="194" t="s">
        <v>278</v>
      </c>
      <c r="C87" s="1207"/>
      <c r="D87" s="1028">
        <f>'[2]1.3.sz.mell.'!D89</f>
        <v>0</v>
      </c>
      <c r="E87" s="986">
        <f t="shared" si="1"/>
        <v>0</v>
      </c>
    </row>
    <row r="88" spans="1:5" s="42" customFormat="1" ht="12" customHeight="1" x14ac:dyDescent="0.2">
      <c r="A88" s="212" t="s">
        <v>279</v>
      </c>
      <c r="B88" s="194" t="s">
        <v>280</v>
      </c>
      <c r="C88" s="1207"/>
      <c r="D88" s="1028">
        <f>'[2]1.3.sz.mell.'!D90</f>
        <v>0</v>
      </c>
      <c r="E88" s="986">
        <f t="shared" si="1"/>
        <v>0</v>
      </c>
    </row>
    <row r="89" spans="1:5" s="41" customFormat="1" ht="12" customHeight="1" thickBot="1" x14ac:dyDescent="0.25">
      <c r="A89" s="213" t="s">
        <v>281</v>
      </c>
      <c r="B89" s="195" t="s">
        <v>282</v>
      </c>
      <c r="C89" s="1207"/>
      <c r="D89" s="1028">
        <f>'[2]1.3.sz.mell.'!D91</f>
        <v>0</v>
      </c>
      <c r="E89" s="986">
        <f t="shared" si="1"/>
        <v>0</v>
      </c>
    </row>
    <row r="90" spans="1:5" s="41" customFormat="1" ht="12" customHeight="1" thickBot="1" x14ac:dyDescent="0.2">
      <c r="A90" s="210" t="s">
        <v>283</v>
      </c>
      <c r="B90" s="112" t="s">
        <v>457</v>
      </c>
      <c r="C90" s="287"/>
      <c r="D90" s="1028">
        <f>'[2]1.3.sz.mell.'!D92</f>
        <v>0</v>
      </c>
      <c r="E90" s="986">
        <f t="shared" si="1"/>
        <v>0</v>
      </c>
    </row>
    <row r="91" spans="1:5" s="41" customFormat="1" ht="12" customHeight="1" thickBot="1" x14ac:dyDescent="0.2">
      <c r="A91" s="210" t="s">
        <v>509</v>
      </c>
      <c r="B91" s="112" t="s">
        <v>284</v>
      </c>
      <c r="C91" s="287"/>
      <c r="D91" s="1028">
        <f>'[2]1.3.sz.mell.'!D93</f>
        <v>0</v>
      </c>
      <c r="E91" s="986">
        <f t="shared" si="1"/>
        <v>0</v>
      </c>
    </row>
    <row r="92" spans="1:5" s="41" customFormat="1" ht="12" customHeight="1" thickBot="1" x14ac:dyDescent="0.2">
      <c r="A92" s="210" t="s">
        <v>510</v>
      </c>
      <c r="B92" s="200" t="s">
        <v>458</v>
      </c>
      <c r="C92" s="285">
        <f>+C69+C73+C78+C81+C85+C91+C90</f>
        <v>8179828</v>
      </c>
      <c r="D92" s="1028">
        <f>'[2]1.3.sz.mell.'!D94</f>
        <v>8179828</v>
      </c>
      <c r="E92" s="986">
        <f t="shared" si="1"/>
        <v>0</v>
      </c>
    </row>
    <row r="93" spans="1:5" s="41" customFormat="1" ht="12" customHeight="1" thickBot="1" x14ac:dyDescent="0.2">
      <c r="A93" s="214" t="s">
        <v>511</v>
      </c>
      <c r="B93" s="201" t="s">
        <v>512</v>
      </c>
      <c r="C93" s="285">
        <f>+C68+C92</f>
        <v>338979973</v>
      </c>
      <c r="D93" s="1028">
        <f>'[2]1.3.sz.mell.'!D95</f>
        <v>317369856</v>
      </c>
      <c r="E93" s="986">
        <f t="shared" si="1"/>
        <v>21610117</v>
      </c>
    </row>
    <row r="94" spans="1:5" s="42" customFormat="1" ht="15" customHeight="1" thickBot="1" x14ac:dyDescent="0.25">
      <c r="A94" s="94"/>
      <c r="B94" s="95"/>
      <c r="C94" s="170"/>
      <c r="E94" s="986">
        <f t="shared" si="1"/>
        <v>0</v>
      </c>
    </row>
    <row r="95" spans="1:5" s="33" customFormat="1" ht="16.5" customHeight="1" thickBot="1" x14ac:dyDescent="0.25">
      <c r="A95" s="98"/>
      <c r="B95" s="99" t="s">
        <v>59</v>
      </c>
      <c r="C95" s="172"/>
      <c r="E95" s="986">
        <f t="shared" si="1"/>
        <v>0</v>
      </c>
    </row>
    <row r="96" spans="1:5" s="1010" customFormat="1" ht="12" customHeight="1" thickBot="1" x14ac:dyDescent="0.25">
      <c r="A96" s="185" t="s">
        <v>21</v>
      </c>
      <c r="B96" s="23" t="s">
        <v>522</v>
      </c>
      <c r="C96" s="290">
        <f>+C97+C98+C99+C100+C101+C114</f>
        <v>87145207</v>
      </c>
      <c r="D96" s="1010">
        <f>'[2]1.3.sz.mell.'!D101</f>
        <v>84152091</v>
      </c>
      <c r="E96" s="986">
        <f t="shared" si="1"/>
        <v>2993116</v>
      </c>
    </row>
    <row r="97" spans="1:5" ht="12" customHeight="1" x14ac:dyDescent="0.2">
      <c r="A97" s="215" t="s">
        <v>100</v>
      </c>
      <c r="B97" s="7" t="s">
        <v>51</v>
      </c>
      <c r="C97" s="1216">
        <f>8164238-2106730+2417174+483000</f>
        <v>8957682</v>
      </c>
      <c r="D97" s="1010">
        <f>'[2]1.3.sz.mell.'!D102</f>
        <v>6764448</v>
      </c>
      <c r="E97" s="986">
        <f t="shared" si="1"/>
        <v>2193234</v>
      </c>
    </row>
    <row r="98" spans="1:5" ht="12" customHeight="1" x14ac:dyDescent="0.2">
      <c r="A98" s="208" t="s">
        <v>101</v>
      </c>
      <c r="B98" s="5" t="s">
        <v>149</v>
      </c>
      <c r="C98" s="1214">
        <f>2011190+296740+74865</f>
        <v>2382795</v>
      </c>
      <c r="D98" s="1010">
        <f>'[2]1.3.sz.mell.'!D103</f>
        <v>2186205</v>
      </c>
      <c r="E98" s="986">
        <f t="shared" si="1"/>
        <v>196590</v>
      </c>
    </row>
    <row r="99" spans="1:5" ht="12" customHeight="1" x14ac:dyDescent="0.2">
      <c r="A99" s="208" t="s">
        <v>102</v>
      </c>
      <c r="B99" s="463" t="s">
        <v>125</v>
      </c>
      <c r="C99" s="1172">
        <f>62807314+75039+2106730+488+176000+32000</f>
        <v>65197571</v>
      </c>
      <c r="D99" s="1010">
        <f>'[2]1.3.sz.mell.'!D104</f>
        <v>65580469</v>
      </c>
      <c r="E99" s="986">
        <f t="shared" si="1"/>
        <v>-382898</v>
      </c>
    </row>
    <row r="100" spans="1:5" ht="12" customHeight="1" x14ac:dyDescent="0.2">
      <c r="A100" s="208" t="s">
        <v>103</v>
      </c>
      <c r="B100" s="466" t="s">
        <v>150</v>
      </c>
      <c r="C100" s="182"/>
      <c r="D100" s="1010">
        <f>'[2]1.3.sz.mell.'!D105</f>
        <v>0</v>
      </c>
      <c r="E100" s="986">
        <f t="shared" si="1"/>
        <v>0</v>
      </c>
    </row>
    <row r="101" spans="1:5" ht="12" customHeight="1" x14ac:dyDescent="0.2">
      <c r="A101" s="208" t="s">
        <v>114</v>
      </c>
      <c r="B101" s="16" t="s">
        <v>151</v>
      </c>
      <c r="C101" s="182">
        <f>SUM(C102:C113)</f>
        <v>10607159</v>
      </c>
      <c r="D101" s="1010">
        <f>'[2]1.3.sz.mell.'!D106</f>
        <v>9620969</v>
      </c>
      <c r="E101" s="986">
        <f t="shared" si="1"/>
        <v>986190</v>
      </c>
    </row>
    <row r="102" spans="1:5" ht="12" customHeight="1" x14ac:dyDescent="0.2">
      <c r="A102" s="208" t="s">
        <v>104</v>
      </c>
      <c r="B102" s="463" t="s">
        <v>513</v>
      </c>
      <c r="C102" s="182"/>
      <c r="D102" s="1010">
        <f>'[2]1.3.sz.mell.'!D107</f>
        <v>0</v>
      </c>
      <c r="E102" s="986">
        <f t="shared" si="1"/>
        <v>0</v>
      </c>
    </row>
    <row r="103" spans="1:5" ht="12" customHeight="1" x14ac:dyDescent="0.2">
      <c r="A103" s="208" t="s">
        <v>105</v>
      </c>
      <c r="B103" s="474" t="s">
        <v>462</v>
      </c>
      <c r="C103" s="182"/>
      <c r="D103" s="1010">
        <f>'[2]1.3.sz.mell.'!D108</f>
        <v>0</v>
      </c>
      <c r="E103" s="986">
        <f t="shared" si="1"/>
        <v>0</v>
      </c>
    </row>
    <row r="104" spans="1:5" ht="12" customHeight="1" x14ac:dyDescent="0.2">
      <c r="A104" s="208" t="s">
        <v>115</v>
      </c>
      <c r="B104" s="474" t="s">
        <v>463</v>
      </c>
      <c r="C104" s="1206"/>
      <c r="D104" s="1010">
        <f>'[2]1.3.sz.mell.'!D109</f>
        <v>0</v>
      </c>
      <c r="E104" s="986">
        <f t="shared" si="1"/>
        <v>0</v>
      </c>
    </row>
    <row r="105" spans="1:5" ht="12" customHeight="1" x14ac:dyDescent="0.2">
      <c r="A105" s="208" t="s">
        <v>116</v>
      </c>
      <c r="B105" s="61" t="s">
        <v>300</v>
      </c>
      <c r="C105" s="1208"/>
      <c r="D105" s="1010">
        <f>'[2]1.3.sz.mell.'!D110</f>
        <v>0</v>
      </c>
      <c r="E105" s="986">
        <f t="shared" si="1"/>
        <v>0</v>
      </c>
    </row>
    <row r="106" spans="1:5" ht="12" customHeight="1" x14ac:dyDescent="0.2">
      <c r="A106" s="208" t="s">
        <v>117</v>
      </c>
      <c r="B106" s="62" t="s">
        <v>301</v>
      </c>
      <c r="C106" s="1208"/>
      <c r="D106" s="1010">
        <f>'[2]1.3.sz.mell.'!D111</f>
        <v>0</v>
      </c>
      <c r="E106" s="986">
        <f t="shared" si="1"/>
        <v>0</v>
      </c>
    </row>
    <row r="107" spans="1:5" ht="12" customHeight="1" x14ac:dyDescent="0.2">
      <c r="A107" s="208" t="s">
        <v>118</v>
      </c>
      <c r="B107" s="62" t="s">
        <v>302</v>
      </c>
      <c r="C107" s="1208"/>
      <c r="D107" s="1010">
        <f>'[2]1.3.sz.mell.'!D112</f>
        <v>0</v>
      </c>
      <c r="E107" s="986">
        <f t="shared" si="1"/>
        <v>0</v>
      </c>
    </row>
    <row r="108" spans="1:5" ht="12" customHeight="1" x14ac:dyDescent="0.2">
      <c r="A108" s="208" t="s">
        <v>120</v>
      </c>
      <c r="B108" s="61" t="s">
        <v>303</v>
      </c>
      <c r="C108" s="1208"/>
      <c r="D108" s="1010">
        <f>'[2]1.3.sz.mell.'!D113</f>
        <v>0</v>
      </c>
      <c r="E108" s="986">
        <f t="shared" si="1"/>
        <v>0</v>
      </c>
    </row>
    <row r="109" spans="1:5" ht="12" customHeight="1" x14ac:dyDescent="0.2">
      <c r="A109" s="208" t="s">
        <v>152</v>
      </c>
      <c r="B109" s="61" t="s">
        <v>304</v>
      </c>
      <c r="C109" s="1208"/>
      <c r="D109" s="1010">
        <f>'[2]1.3.sz.mell.'!D114</f>
        <v>0</v>
      </c>
      <c r="E109" s="986">
        <f t="shared" si="1"/>
        <v>0</v>
      </c>
    </row>
    <row r="110" spans="1:5" ht="12" customHeight="1" x14ac:dyDescent="0.2">
      <c r="A110" s="208" t="s">
        <v>298</v>
      </c>
      <c r="B110" s="62" t="s">
        <v>305</v>
      </c>
      <c r="C110" s="1208"/>
      <c r="D110" s="1010">
        <f>'[2]1.3.sz.mell.'!D115</f>
        <v>0</v>
      </c>
      <c r="E110" s="986">
        <f t="shared" si="1"/>
        <v>0</v>
      </c>
    </row>
    <row r="111" spans="1:5" ht="12" customHeight="1" x14ac:dyDescent="0.2">
      <c r="A111" s="216" t="s">
        <v>299</v>
      </c>
      <c r="B111" s="63" t="s">
        <v>306</v>
      </c>
      <c r="C111" s="1208"/>
      <c r="D111" s="1010">
        <f>'[2]1.3.sz.mell.'!D116</f>
        <v>0</v>
      </c>
      <c r="E111" s="986">
        <f t="shared" si="1"/>
        <v>0</v>
      </c>
    </row>
    <row r="112" spans="1:5" ht="12" customHeight="1" x14ac:dyDescent="0.2">
      <c r="A112" s="208" t="s">
        <v>464</v>
      </c>
      <c r="B112" s="63" t="s">
        <v>307</v>
      </c>
      <c r="C112" s="1208"/>
      <c r="D112" s="1010">
        <f>'[2]1.3.sz.mell.'!D117</f>
        <v>0</v>
      </c>
      <c r="E112" s="986">
        <f t="shared" si="1"/>
        <v>0</v>
      </c>
    </row>
    <row r="113" spans="1:5" ht="12" customHeight="1" x14ac:dyDescent="0.2">
      <c r="A113" s="208" t="s">
        <v>465</v>
      </c>
      <c r="B113" s="62" t="s">
        <v>308</v>
      </c>
      <c r="C113" s="1214">
        <f>8000000+1620969+986190</f>
        <v>10607159</v>
      </c>
      <c r="D113" s="1010">
        <f>'[2]1.3.sz.mell.'!D118</f>
        <v>9620969</v>
      </c>
      <c r="E113" s="986">
        <f t="shared" si="1"/>
        <v>986190</v>
      </c>
    </row>
    <row r="114" spans="1:5" ht="12" customHeight="1" x14ac:dyDescent="0.2">
      <c r="A114" s="208" t="s">
        <v>466</v>
      </c>
      <c r="B114" s="8" t="s">
        <v>52</v>
      </c>
      <c r="C114" s="106"/>
      <c r="D114" s="1010">
        <f>'[2]1.3.sz.mell.'!D119</f>
        <v>0</v>
      </c>
      <c r="E114" s="986">
        <f t="shared" si="1"/>
        <v>0</v>
      </c>
    </row>
    <row r="115" spans="1:5" ht="12" customHeight="1" x14ac:dyDescent="0.2">
      <c r="A115" s="209" t="s">
        <v>467</v>
      </c>
      <c r="B115" s="5" t="s">
        <v>514</v>
      </c>
      <c r="C115" s="107"/>
      <c r="D115" s="1010">
        <f>'[2]1.3.sz.mell.'!D120</f>
        <v>0</v>
      </c>
      <c r="E115" s="986">
        <f t="shared" si="1"/>
        <v>0</v>
      </c>
    </row>
    <row r="116" spans="1:5" ht="12" customHeight="1" thickBot="1" x14ac:dyDescent="0.25">
      <c r="A116" s="217" t="s">
        <v>469</v>
      </c>
      <c r="B116" s="64" t="s">
        <v>515</v>
      </c>
      <c r="C116" s="291"/>
      <c r="D116" s="1010">
        <f>'[2]1.3.sz.mell.'!D121</f>
        <v>0</v>
      </c>
      <c r="E116" s="986">
        <f t="shared" si="1"/>
        <v>0</v>
      </c>
    </row>
    <row r="117" spans="1:5" ht="12" customHeight="1" thickBot="1" x14ac:dyDescent="0.25">
      <c r="A117" s="25" t="s">
        <v>22</v>
      </c>
      <c r="B117" s="22" t="s">
        <v>309</v>
      </c>
      <c r="C117" s="282">
        <f>+C118+C120+C122</f>
        <v>10785208</v>
      </c>
      <c r="D117" s="1010">
        <f>'[2]1.3.sz.mell.'!D122</f>
        <v>11585208</v>
      </c>
      <c r="E117" s="986">
        <f t="shared" si="1"/>
        <v>-800000</v>
      </c>
    </row>
    <row r="118" spans="1:5" ht="12" customHeight="1" x14ac:dyDescent="0.2">
      <c r="A118" s="207" t="s">
        <v>106</v>
      </c>
      <c r="B118" s="5" t="s">
        <v>173</v>
      </c>
      <c r="C118" s="1219">
        <f>5411384+174312-488+5200000</f>
        <v>10785208</v>
      </c>
      <c r="D118" s="1010">
        <f>'[2]1.3.sz.mell.'!D123</f>
        <v>11585208</v>
      </c>
      <c r="E118" s="986">
        <f t="shared" si="1"/>
        <v>-800000</v>
      </c>
    </row>
    <row r="119" spans="1:5" ht="12" customHeight="1" x14ac:dyDescent="0.2">
      <c r="A119" s="207" t="s">
        <v>107</v>
      </c>
      <c r="B119" s="9" t="s">
        <v>313</v>
      </c>
      <c r="C119" s="1209">
        <f>5016896</f>
        <v>5016896</v>
      </c>
      <c r="D119" s="1010">
        <f>'[2]1.3.sz.mell.'!D124</f>
        <v>11016896</v>
      </c>
      <c r="E119" s="986">
        <f t="shared" si="1"/>
        <v>-6000000</v>
      </c>
    </row>
    <row r="120" spans="1:5" ht="12" customHeight="1" x14ac:dyDescent="0.2">
      <c r="A120" s="207" t="s">
        <v>108</v>
      </c>
      <c r="B120" s="9" t="s">
        <v>153</v>
      </c>
      <c r="C120" s="106"/>
      <c r="D120" s="1010">
        <f>'[2]1.3.sz.mell.'!D125</f>
        <v>0</v>
      </c>
      <c r="E120" s="986">
        <f t="shared" si="1"/>
        <v>0</v>
      </c>
    </row>
    <row r="121" spans="1:5" ht="12" customHeight="1" x14ac:dyDescent="0.2">
      <c r="A121" s="207" t="s">
        <v>109</v>
      </c>
      <c r="B121" s="9" t="s">
        <v>314</v>
      </c>
      <c r="C121" s="106"/>
      <c r="D121" s="1010">
        <f>'[2]1.3.sz.mell.'!D126</f>
        <v>0</v>
      </c>
      <c r="E121" s="986">
        <f t="shared" si="1"/>
        <v>0</v>
      </c>
    </row>
    <row r="122" spans="1:5" ht="12" customHeight="1" x14ac:dyDescent="0.2">
      <c r="A122" s="207" t="s">
        <v>110</v>
      </c>
      <c r="B122" s="114" t="s">
        <v>175</v>
      </c>
      <c r="C122" s="272"/>
      <c r="D122" s="1010">
        <f>'[2]1.3.sz.mell.'!D127</f>
        <v>0</v>
      </c>
      <c r="E122" s="986">
        <f t="shared" si="1"/>
        <v>0</v>
      </c>
    </row>
    <row r="123" spans="1:5" ht="12" customHeight="1" x14ac:dyDescent="0.2">
      <c r="A123" s="207" t="s">
        <v>119</v>
      </c>
      <c r="B123" s="113" t="s">
        <v>376</v>
      </c>
      <c r="C123" s="272"/>
      <c r="D123" s="1010">
        <f>'[2]1.3.sz.mell.'!D128</f>
        <v>0</v>
      </c>
      <c r="E123" s="986">
        <f t="shared" si="1"/>
        <v>0</v>
      </c>
    </row>
    <row r="124" spans="1:5" ht="12" customHeight="1" x14ac:dyDescent="0.2">
      <c r="A124" s="207" t="s">
        <v>121</v>
      </c>
      <c r="B124" s="189" t="s">
        <v>319</v>
      </c>
      <c r="C124" s="272"/>
      <c r="D124" s="1010">
        <f>'[2]1.3.sz.mell.'!D129</f>
        <v>0</v>
      </c>
      <c r="E124" s="986">
        <f t="shared" si="1"/>
        <v>0</v>
      </c>
    </row>
    <row r="125" spans="1:5" ht="12" customHeight="1" x14ac:dyDescent="0.2">
      <c r="A125" s="207" t="s">
        <v>154</v>
      </c>
      <c r="B125" s="62" t="s">
        <v>302</v>
      </c>
      <c r="C125" s="272"/>
      <c r="D125" s="1010">
        <f>'[2]1.3.sz.mell.'!D130</f>
        <v>0</v>
      </c>
      <c r="E125" s="986">
        <f t="shared" si="1"/>
        <v>0</v>
      </c>
    </row>
    <row r="126" spans="1:5" ht="12" customHeight="1" x14ac:dyDescent="0.2">
      <c r="A126" s="207" t="s">
        <v>155</v>
      </c>
      <c r="B126" s="62" t="s">
        <v>318</v>
      </c>
      <c r="C126" s="272"/>
      <c r="D126" s="1010">
        <f>'[2]1.3.sz.mell.'!D131</f>
        <v>0</v>
      </c>
      <c r="E126" s="986">
        <f t="shared" si="1"/>
        <v>0</v>
      </c>
    </row>
    <row r="127" spans="1:5" ht="12" customHeight="1" x14ac:dyDescent="0.2">
      <c r="A127" s="207" t="s">
        <v>156</v>
      </c>
      <c r="B127" s="62" t="s">
        <v>317</v>
      </c>
      <c r="C127" s="272"/>
      <c r="D127" s="1010">
        <f>'[2]1.3.sz.mell.'!D132</f>
        <v>0</v>
      </c>
      <c r="E127" s="986">
        <f t="shared" si="1"/>
        <v>0</v>
      </c>
    </row>
    <row r="128" spans="1:5" ht="12" customHeight="1" x14ac:dyDescent="0.2">
      <c r="A128" s="207" t="s">
        <v>310</v>
      </c>
      <c r="B128" s="62" t="s">
        <v>305</v>
      </c>
      <c r="C128" s="272"/>
      <c r="D128" s="1010">
        <f>'[2]1.3.sz.mell.'!D133</f>
        <v>0</v>
      </c>
      <c r="E128" s="986">
        <f t="shared" si="1"/>
        <v>0</v>
      </c>
    </row>
    <row r="129" spans="1:11" ht="12" customHeight="1" x14ac:dyDescent="0.2">
      <c r="A129" s="207" t="s">
        <v>311</v>
      </c>
      <c r="B129" s="62" t="s">
        <v>316</v>
      </c>
      <c r="C129" s="272"/>
      <c r="D129" s="1010">
        <f>'[2]1.3.sz.mell.'!D134</f>
        <v>0</v>
      </c>
      <c r="E129" s="986">
        <f t="shared" si="1"/>
        <v>0</v>
      </c>
    </row>
    <row r="130" spans="1:11" ht="12" customHeight="1" thickBot="1" x14ac:dyDescent="0.25">
      <c r="A130" s="216" t="s">
        <v>312</v>
      </c>
      <c r="B130" s="62" t="s">
        <v>315</v>
      </c>
      <c r="C130" s="273"/>
      <c r="D130" s="1010">
        <f>'[2]1.3.sz.mell.'!D135</f>
        <v>0</v>
      </c>
      <c r="E130" s="986">
        <f t="shared" si="1"/>
        <v>0</v>
      </c>
    </row>
    <row r="131" spans="1:11" ht="12" customHeight="1" thickBot="1" x14ac:dyDescent="0.25">
      <c r="A131" s="25" t="s">
        <v>23</v>
      </c>
      <c r="B131" s="57" t="s">
        <v>471</v>
      </c>
      <c r="C131" s="282">
        <f>+C96+C117</f>
        <v>97930415</v>
      </c>
      <c r="D131" s="1010">
        <f>'[2]1.3.sz.mell.'!D136</f>
        <v>95737299</v>
      </c>
      <c r="E131" s="986">
        <f t="shared" si="1"/>
        <v>2193116</v>
      </c>
    </row>
    <row r="132" spans="1:11" ht="12" customHeight="1" thickBot="1" x14ac:dyDescent="0.25">
      <c r="A132" s="25" t="s">
        <v>24</v>
      </c>
      <c r="B132" s="57" t="s">
        <v>472</v>
      </c>
      <c r="C132" s="282">
        <f>+C133+C134+C135</f>
        <v>3474590</v>
      </c>
      <c r="D132" s="1010">
        <f>'[2]1.3.sz.mell.'!D137</f>
        <v>3474590</v>
      </c>
      <c r="E132" s="986">
        <f t="shared" si="1"/>
        <v>0</v>
      </c>
    </row>
    <row r="133" spans="1:11" s="1010" customFormat="1" ht="12" customHeight="1" x14ac:dyDescent="0.2">
      <c r="A133" s="207" t="s">
        <v>211</v>
      </c>
      <c r="B133" s="6" t="s">
        <v>516</v>
      </c>
      <c r="C133" s="1207">
        <v>3474590</v>
      </c>
      <c r="D133" s="1010">
        <f>'[2]1.3.sz.mell.'!D138</f>
        <v>3474590</v>
      </c>
      <c r="E133" s="986">
        <f t="shared" si="1"/>
        <v>0</v>
      </c>
    </row>
    <row r="134" spans="1:11" ht="12" customHeight="1" x14ac:dyDescent="0.2">
      <c r="A134" s="207" t="s">
        <v>214</v>
      </c>
      <c r="B134" s="6" t="s">
        <v>474</v>
      </c>
      <c r="C134" s="106"/>
      <c r="D134" s="1010">
        <f>'[2]1.3.sz.mell.'!D139</f>
        <v>0</v>
      </c>
      <c r="E134" s="986">
        <f t="shared" si="1"/>
        <v>0</v>
      </c>
    </row>
    <row r="135" spans="1:11" ht="12" customHeight="1" thickBot="1" x14ac:dyDescent="0.25">
      <c r="A135" s="216" t="s">
        <v>215</v>
      </c>
      <c r="B135" s="4" t="s">
        <v>517</v>
      </c>
      <c r="C135" s="106"/>
      <c r="D135" s="1010">
        <f>'[2]1.3.sz.mell.'!D140</f>
        <v>0</v>
      </c>
      <c r="E135" s="986">
        <f t="shared" si="1"/>
        <v>0</v>
      </c>
    </row>
    <row r="136" spans="1:11" ht="12" customHeight="1" thickBot="1" x14ac:dyDescent="0.25">
      <c r="A136" s="25" t="s">
        <v>25</v>
      </c>
      <c r="B136" s="57" t="s">
        <v>476</v>
      </c>
      <c r="C136" s="282">
        <f>+C137+C138+C139+C140+C141+C142</f>
        <v>0</v>
      </c>
      <c r="D136" s="1010">
        <f>'[2]1.3.sz.mell.'!D141</f>
        <v>0</v>
      </c>
      <c r="E136" s="986">
        <f t="shared" si="1"/>
        <v>0</v>
      </c>
    </row>
    <row r="137" spans="1:11" ht="12" customHeight="1" x14ac:dyDescent="0.2">
      <c r="A137" s="207" t="s">
        <v>93</v>
      </c>
      <c r="B137" s="6" t="s">
        <v>477</v>
      </c>
      <c r="C137" s="106"/>
      <c r="D137" s="1010">
        <f>'[2]1.3.sz.mell.'!D142</f>
        <v>0</v>
      </c>
      <c r="E137" s="986">
        <f t="shared" si="1"/>
        <v>0</v>
      </c>
    </row>
    <row r="138" spans="1:11" ht="12" customHeight="1" x14ac:dyDescent="0.2">
      <c r="A138" s="207" t="s">
        <v>94</v>
      </c>
      <c r="B138" s="6" t="s">
        <v>478</v>
      </c>
      <c r="C138" s="106"/>
      <c r="D138" s="1010">
        <f>'[2]1.3.sz.mell.'!D143</f>
        <v>0</v>
      </c>
      <c r="E138" s="986">
        <f t="shared" si="1"/>
        <v>0</v>
      </c>
    </row>
    <row r="139" spans="1:11" ht="12" customHeight="1" x14ac:dyDescent="0.2">
      <c r="A139" s="207" t="s">
        <v>95</v>
      </c>
      <c r="B139" s="6" t="s">
        <v>479</v>
      </c>
      <c r="C139" s="106"/>
      <c r="D139" s="1010">
        <f>'[2]1.3.sz.mell.'!D144</f>
        <v>0</v>
      </c>
      <c r="E139" s="986">
        <f t="shared" si="1"/>
        <v>0</v>
      </c>
    </row>
    <row r="140" spans="1:11" ht="12" customHeight="1" x14ac:dyDescent="0.2">
      <c r="A140" s="207" t="s">
        <v>141</v>
      </c>
      <c r="B140" s="6" t="s">
        <v>518</v>
      </c>
      <c r="C140" s="106"/>
      <c r="D140" s="1010">
        <f>'[2]1.3.sz.mell.'!D145</f>
        <v>0</v>
      </c>
      <c r="E140" s="986">
        <f t="shared" ref="E140:E157" si="2">C140-D140</f>
        <v>0</v>
      </c>
    </row>
    <row r="141" spans="1:11" ht="12" customHeight="1" x14ac:dyDescent="0.2">
      <c r="A141" s="207" t="s">
        <v>142</v>
      </c>
      <c r="B141" s="6" t="s">
        <v>481</v>
      </c>
      <c r="C141" s="106"/>
      <c r="D141" s="1010">
        <f>'[2]1.3.sz.mell.'!D146</f>
        <v>0</v>
      </c>
      <c r="E141" s="986">
        <f t="shared" si="2"/>
        <v>0</v>
      </c>
    </row>
    <row r="142" spans="1:11" s="1010" customFormat="1" ht="12" customHeight="1" thickBot="1" x14ac:dyDescent="0.25">
      <c r="A142" s="216" t="s">
        <v>143</v>
      </c>
      <c r="B142" s="4" t="s">
        <v>482</v>
      </c>
      <c r="C142" s="106"/>
      <c r="D142" s="1010">
        <f>'[2]1.3.sz.mell.'!D147</f>
        <v>0</v>
      </c>
      <c r="E142" s="986">
        <f t="shared" si="2"/>
        <v>0</v>
      </c>
    </row>
    <row r="143" spans="1:11" ht="12" customHeight="1" thickBot="1" x14ac:dyDescent="0.25">
      <c r="A143" s="25" t="s">
        <v>26</v>
      </c>
      <c r="B143" s="57" t="s">
        <v>519</v>
      </c>
      <c r="C143" s="285">
        <f>+C144+C145+C146+C147</f>
        <v>0</v>
      </c>
      <c r="D143" s="1010">
        <f>'[2]1.3.sz.mell.'!D148</f>
        <v>0</v>
      </c>
      <c r="E143" s="986">
        <f t="shared" si="2"/>
        <v>0</v>
      </c>
      <c r="K143" s="105"/>
    </row>
    <row r="144" spans="1:11" ht="15.75" x14ac:dyDescent="0.2">
      <c r="A144" s="207" t="s">
        <v>96</v>
      </c>
      <c r="B144" s="6" t="s">
        <v>320</v>
      </c>
      <c r="C144" s="106"/>
      <c r="D144" s="1010">
        <f>'[2]1.3.sz.mell.'!D149</f>
        <v>0</v>
      </c>
      <c r="E144" s="986">
        <f t="shared" si="2"/>
        <v>0</v>
      </c>
    </row>
    <row r="145" spans="1:5" ht="12" customHeight="1" x14ac:dyDescent="0.2">
      <c r="A145" s="207" t="s">
        <v>97</v>
      </c>
      <c r="B145" s="6" t="s">
        <v>321</v>
      </c>
      <c r="C145" s="106"/>
      <c r="D145" s="1010">
        <f>'[2]1.3.sz.mell.'!D150</f>
        <v>0</v>
      </c>
      <c r="E145" s="986">
        <f t="shared" si="2"/>
        <v>0</v>
      </c>
    </row>
    <row r="146" spans="1:5" s="1010" customFormat="1" ht="12" customHeight="1" x14ac:dyDescent="0.2">
      <c r="A146" s="207" t="s">
        <v>234</v>
      </c>
      <c r="B146" s="6" t="s">
        <v>484</v>
      </c>
      <c r="C146" s="106"/>
      <c r="D146" s="1010">
        <f>'[2]1.3.sz.mell.'!D151</f>
        <v>0</v>
      </c>
      <c r="E146" s="986">
        <f t="shared" si="2"/>
        <v>0</v>
      </c>
    </row>
    <row r="147" spans="1:5" s="1010" customFormat="1" ht="12" customHeight="1" thickBot="1" x14ac:dyDescent="0.25">
      <c r="A147" s="216" t="s">
        <v>235</v>
      </c>
      <c r="B147" s="4" t="s">
        <v>339</v>
      </c>
      <c r="C147" s="106"/>
      <c r="D147" s="1010">
        <f>'[2]1.3.sz.mell.'!D152</f>
        <v>0</v>
      </c>
      <c r="E147" s="986">
        <f t="shared" si="2"/>
        <v>0</v>
      </c>
    </row>
    <row r="148" spans="1:5" s="1010" customFormat="1" ht="12" customHeight="1" thickBot="1" x14ac:dyDescent="0.25">
      <c r="A148" s="25" t="s">
        <v>27</v>
      </c>
      <c r="B148" s="57" t="s">
        <v>485</v>
      </c>
      <c r="C148" s="292">
        <f>+C149+C150+C151+C152+C153</f>
        <v>0</v>
      </c>
      <c r="D148" s="1010">
        <f>'[2]1.3.sz.mell.'!D153</f>
        <v>0</v>
      </c>
      <c r="E148" s="986">
        <f t="shared" si="2"/>
        <v>0</v>
      </c>
    </row>
    <row r="149" spans="1:5" s="1010" customFormat="1" ht="12" customHeight="1" x14ac:dyDescent="0.2">
      <c r="A149" s="207" t="s">
        <v>98</v>
      </c>
      <c r="B149" s="6" t="s">
        <v>486</v>
      </c>
      <c r="C149" s="106"/>
      <c r="D149" s="1010">
        <f>'[2]1.3.sz.mell.'!D154</f>
        <v>0</v>
      </c>
      <c r="E149" s="986">
        <f t="shared" si="2"/>
        <v>0</v>
      </c>
    </row>
    <row r="150" spans="1:5" s="1010" customFormat="1" ht="12" customHeight="1" x14ac:dyDescent="0.2">
      <c r="A150" s="207" t="s">
        <v>99</v>
      </c>
      <c r="B150" s="6" t="s">
        <v>487</v>
      </c>
      <c r="C150" s="106"/>
      <c r="D150" s="1010">
        <f>'[2]1.3.sz.mell.'!D155</f>
        <v>0</v>
      </c>
      <c r="E150" s="986">
        <f t="shared" si="2"/>
        <v>0</v>
      </c>
    </row>
    <row r="151" spans="1:5" s="1010" customFormat="1" ht="12" customHeight="1" x14ac:dyDescent="0.2">
      <c r="A151" s="207" t="s">
        <v>246</v>
      </c>
      <c r="B151" s="6" t="s">
        <v>488</v>
      </c>
      <c r="C151" s="106"/>
      <c r="D151" s="1010">
        <f>'[2]1.3.sz.mell.'!D156</f>
        <v>0</v>
      </c>
      <c r="E151" s="986">
        <f t="shared" si="2"/>
        <v>0</v>
      </c>
    </row>
    <row r="152" spans="1:5" ht="12.75" customHeight="1" x14ac:dyDescent="0.2">
      <c r="A152" s="207" t="s">
        <v>247</v>
      </c>
      <c r="B152" s="6" t="s">
        <v>520</v>
      </c>
      <c r="C152" s="106"/>
      <c r="D152" s="1010">
        <f>'[2]1.3.sz.mell.'!D157</f>
        <v>0</v>
      </c>
      <c r="E152" s="986">
        <f t="shared" si="2"/>
        <v>0</v>
      </c>
    </row>
    <row r="153" spans="1:5" ht="12.75" customHeight="1" thickBot="1" x14ac:dyDescent="0.25">
      <c r="A153" s="216" t="s">
        <v>490</v>
      </c>
      <c r="B153" s="4" t="s">
        <v>491</v>
      </c>
      <c r="C153" s="107"/>
      <c r="D153" s="1010">
        <f>'[2]1.3.sz.mell.'!D158</f>
        <v>0</v>
      </c>
      <c r="E153" s="986">
        <f t="shared" si="2"/>
        <v>0</v>
      </c>
    </row>
    <row r="154" spans="1:5" ht="12.75" customHeight="1" thickBot="1" x14ac:dyDescent="0.25">
      <c r="A154" s="264" t="s">
        <v>28</v>
      </c>
      <c r="B154" s="57" t="s">
        <v>492</v>
      </c>
      <c r="C154" s="292"/>
      <c r="D154" s="1010">
        <f>'[2]1.3.sz.mell.'!D159</f>
        <v>0</v>
      </c>
      <c r="E154" s="986">
        <f t="shared" si="2"/>
        <v>0</v>
      </c>
    </row>
    <row r="155" spans="1:5" ht="12" customHeight="1" thickBot="1" x14ac:dyDescent="0.25">
      <c r="A155" s="264" t="s">
        <v>29</v>
      </c>
      <c r="B155" s="57" t="s">
        <v>493</v>
      </c>
      <c r="C155" s="292"/>
      <c r="D155" s="1010">
        <f>'[2]1.3.sz.mell.'!D160</f>
        <v>0</v>
      </c>
      <c r="E155" s="986">
        <f t="shared" si="2"/>
        <v>0</v>
      </c>
    </row>
    <row r="156" spans="1:5" ht="15" customHeight="1" thickBot="1" x14ac:dyDescent="0.25">
      <c r="A156" s="25" t="s">
        <v>30</v>
      </c>
      <c r="B156" s="57" t="s">
        <v>494</v>
      </c>
      <c r="C156" s="293">
        <f>+C132+C136+C143+C148+C154+C155</f>
        <v>3474590</v>
      </c>
      <c r="D156" s="1010">
        <f>'[2]1.3.sz.mell.'!D161</f>
        <v>3474590</v>
      </c>
      <c r="E156" s="986">
        <f t="shared" si="2"/>
        <v>0</v>
      </c>
    </row>
    <row r="157" spans="1:5" ht="16.5" thickBot="1" x14ac:dyDescent="0.25">
      <c r="A157" s="218" t="s">
        <v>31</v>
      </c>
      <c r="B157" s="178" t="s">
        <v>495</v>
      </c>
      <c r="C157" s="293">
        <f>+C131+C156</f>
        <v>101405005</v>
      </c>
      <c r="D157" s="1010">
        <f>'[2]1.3.sz.mell.'!D162</f>
        <v>99211889</v>
      </c>
      <c r="E157" s="986">
        <f t="shared" si="2"/>
        <v>2193116</v>
      </c>
    </row>
    <row r="158" spans="1:5" ht="15" customHeight="1" thickBot="1" x14ac:dyDescent="0.25"/>
    <row r="159" spans="1:5" ht="14.25" customHeight="1" thickBot="1" x14ac:dyDescent="0.25">
      <c r="A159" s="102" t="s">
        <v>946</v>
      </c>
      <c r="B159" s="103"/>
      <c r="C159" s="1059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zoomScale="115" zoomScaleNormal="115" zoomScaleSheetLayoutView="100" zoomScalePageLayoutView="85" workbookViewId="0">
      <selection sqref="A1:C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12.6640625" style="365" bestFit="1" customWidth="1"/>
    <col min="4" max="4" width="10" style="1019" hidden="1" customWidth="1"/>
    <col min="5" max="5" width="10.5" style="1019" hidden="1" customWidth="1"/>
    <col min="6" max="6" width="9.33203125" style="1030" hidden="1" customWidth="1"/>
    <col min="7" max="9" width="9.33203125" style="1030" customWidth="1"/>
    <col min="10" max="19" width="9.33203125" style="1030"/>
    <col min="20" max="16384" width="9.33203125" style="1013"/>
  </cols>
  <sheetData>
    <row r="1" spans="1:19" x14ac:dyDescent="0.2">
      <c r="A1" s="1490" t="str">
        <f>CONCATENATE("14. melléklet"," ",ALAPADATOK!A7," ",ALAPADATOK!B7," ",ALAPADATOK!C7," ",ALAPADATOK!D7," ",ALAPADATOK!E7," ",ALAPADATOK!F7," ",ALAPADATOK!G7," ",ALAPADATOK!H7)</f>
        <v>14. melléklet a 21 / 2020. ( IX.25. ) önkormányzati rendelethez</v>
      </c>
      <c r="B1" s="1490"/>
      <c r="C1" s="1490"/>
    </row>
    <row r="2" spans="1:19" s="81" customFormat="1" ht="21" customHeight="1" thickBot="1" x14ac:dyDescent="0.25">
      <c r="A2" s="80"/>
      <c r="B2" s="82"/>
      <c r="C2" s="225"/>
      <c r="D2" s="1019"/>
      <c r="E2" s="1019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</row>
    <row r="3" spans="1:19" s="226" customFormat="1" ht="36" customHeight="1" x14ac:dyDescent="0.2">
      <c r="A3" s="183" t="s">
        <v>167</v>
      </c>
      <c r="B3" s="162" t="s">
        <v>445</v>
      </c>
      <c r="C3" s="175" t="s">
        <v>62</v>
      </c>
      <c r="D3" s="400"/>
      <c r="E3" s="400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</row>
    <row r="4" spans="1:19" s="226" customFormat="1" ht="24.75" thickBot="1" x14ac:dyDescent="0.25">
      <c r="A4" s="219" t="s">
        <v>166</v>
      </c>
      <c r="B4" s="163" t="s">
        <v>347</v>
      </c>
      <c r="C4" s="176" t="s">
        <v>55</v>
      </c>
      <c r="D4" s="400"/>
      <c r="E4" s="400"/>
      <c r="F4" s="578"/>
      <c r="G4" s="578"/>
      <c r="H4" s="578"/>
      <c r="I4" s="579"/>
      <c r="J4" s="578"/>
      <c r="K4" s="578"/>
      <c r="L4" s="578"/>
      <c r="M4" s="578"/>
      <c r="N4" s="578"/>
      <c r="O4" s="578"/>
      <c r="P4" s="578"/>
      <c r="Q4" s="578"/>
      <c r="R4" s="578"/>
      <c r="S4" s="578"/>
    </row>
    <row r="5" spans="1:19" s="227" customFormat="1" ht="15.95" customHeight="1" thickBot="1" x14ac:dyDescent="0.3">
      <c r="A5" s="84"/>
      <c r="B5" s="84"/>
      <c r="C5" s="85" t="s">
        <v>556</v>
      </c>
      <c r="D5" s="400"/>
      <c r="E5" s="40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</row>
    <row r="6" spans="1:19" ht="13.5" thickBot="1" x14ac:dyDescent="0.25">
      <c r="A6" s="184" t="s">
        <v>168</v>
      </c>
      <c r="B6" s="86" t="s">
        <v>56</v>
      </c>
      <c r="C6" s="87" t="s">
        <v>57</v>
      </c>
    </row>
    <row r="7" spans="1:19" s="228" customFormat="1" ht="12.95" customHeight="1" thickBot="1" x14ac:dyDescent="0.25">
      <c r="A7" s="74" t="s">
        <v>447</v>
      </c>
      <c r="B7" s="75" t="s">
        <v>448</v>
      </c>
      <c r="C7" s="76" t="s">
        <v>449</v>
      </c>
      <c r="D7" s="401"/>
      <c r="E7" s="40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</row>
    <row r="8" spans="1:19" s="228" customFormat="1" ht="15.95" customHeight="1" thickBot="1" x14ac:dyDescent="0.25">
      <c r="A8" s="88"/>
      <c r="B8" s="89" t="s">
        <v>58</v>
      </c>
      <c r="C8" s="90"/>
      <c r="D8" s="401"/>
      <c r="E8" s="40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</row>
    <row r="9" spans="1:19" s="177" customFormat="1" ht="12" customHeight="1" thickBot="1" x14ac:dyDescent="0.25">
      <c r="A9" s="74" t="s">
        <v>21</v>
      </c>
      <c r="B9" s="91" t="s">
        <v>523</v>
      </c>
      <c r="C9" s="1197">
        <f>SUM(C10:C20)</f>
        <v>10182614</v>
      </c>
      <c r="D9" s="402">
        <f>'9.2.1. sz. mell'!C9+'9.2.2. sz.  mell'!C9+'9.2.3. sz. mell.'!C9</f>
        <v>10182614</v>
      </c>
      <c r="E9" s="582">
        <f t="shared" ref="E9:E43" si="0">C9-D9</f>
        <v>0</v>
      </c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</row>
    <row r="10" spans="1:19" s="177" customFormat="1" ht="12" customHeight="1" x14ac:dyDescent="0.2">
      <c r="A10" s="220" t="s">
        <v>100</v>
      </c>
      <c r="B10" s="7" t="s">
        <v>223</v>
      </c>
      <c r="C10" s="167"/>
      <c r="D10" s="402">
        <f>'9.2.1. sz. mell'!C10+'9.2.2. sz.  mell'!C10+'9.2.3. sz. mell.'!C10</f>
        <v>0</v>
      </c>
      <c r="E10" s="582">
        <f t="shared" si="0"/>
        <v>0</v>
      </c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</row>
    <row r="11" spans="1:19" s="177" customFormat="1" ht="12" customHeight="1" x14ac:dyDescent="0.2">
      <c r="A11" s="221" t="s">
        <v>101</v>
      </c>
      <c r="B11" s="5" t="s">
        <v>224</v>
      </c>
      <c r="C11" s="1195">
        <v>7565050</v>
      </c>
      <c r="D11" s="402">
        <f>'9.2.1. sz. mell'!C11+'9.2.2. sz.  mell'!C11+'9.2.3. sz. mell.'!C11</f>
        <v>7565050</v>
      </c>
      <c r="E11" s="582">
        <f t="shared" si="0"/>
        <v>0</v>
      </c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</row>
    <row r="12" spans="1:19" s="177" customFormat="1" ht="12" customHeight="1" x14ac:dyDescent="0.2">
      <c r="A12" s="221" t="s">
        <v>102</v>
      </c>
      <c r="B12" s="5" t="s">
        <v>225</v>
      </c>
      <c r="C12" s="1195">
        <v>200000</v>
      </c>
      <c r="D12" s="402">
        <f>'9.2.1. sz. mell'!C12+'9.2.2. sz.  mell'!C12+'9.2.3. sz. mell.'!C12</f>
        <v>200000</v>
      </c>
      <c r="E12" s="582">
        <f t="shared" si="0"/>
        <v>0</v>
      </c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</row>
    <row r="13" spans="1:19" s="177" customFormat="1" ht="12" customHeight="1" x14ac:dyDescent="0.2">
      <c r="A13" s="221" t="s">
        <v>103</v>
      </c>
      <c r="B13" s="5" t="s">
        <v>226</v>
      </c>
      <c r="C13" s="1195"/>
      <c r="D13" s="402">
        <f>'9.2.1. sz. mell'!C13+'9.2.2. sz.  mell'!C13+'9.2.3. sz. mell.'!C13</f>
        <v>0</v>
      </c>
      <c r="E13" s="582">
        <f t="shared" si="0"/>
        <v>0</v>
      </c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</row>
    <row r="14" spans="1:19" s="177" customFormat="1" ht="12" customHeight="1" x14ac:dyDescent="0.2">
      <c r="A14" s="221" t="s">
        <v>126</v>
      </c>
      <c r="B14" s="5" t="s">
        <v>227</v>
      </c>
      <c r="C14" s="1195"/>
      <c r="D14" s="402">
        <f>'9.2.1. sz. mell'!C14+'9.2.2. sz.  mell'!C14+'9.2.3. sz. mell.'!C14</f>
        <v>0</v>
      </c>
      <c r="E14" s="582">
        <f t="shared" si="0"/>
        <v>0</v>
      </c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</row>
    <row r="15" spans="1:19" s="177" customFormat="1" ht="12" customHeight="1" x14ac:dyDescent="0.2">
      <c r="A15" s="221" t="s">
        <v>104</v>
      </c>
      <c r="B15" s="5" t="s">
        <v>348</v>
      </c>
      <c r="C15" s="1195">
        <v>2177564</v>
      </c>
      <c r="D15" s="402">
        <f>'9.2.1. sz. mell'!C15+'9.2.2. sz.  mell'!C15+'9.2.3. sz. mell.'!C15</f>
        <v>2177564</v>
      </c>
      <c r="E15" s="582">
        <f t="shared" si="0"/>
        <v>0</v>
      </c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</row>
    <row r="16" spans="1:19" s="177" customFormat="1" ht="12" customHeight="1" x14ac:dyDescent="0.2">
      <c r="A16" s="221" t="s">
        <v>105</v>
      </c>
      <c r="B16" s="4" t="s">
        <v>349</v>
      </c>
      <c r="C16" s="1195"/>
      <c r="D16" s="402">
        <f>'9.2.1. sz. mell'!C16+'9.2.2. sz.  mell'!C16+'9.2.3. sz. mell.'!C16</f>
        <v>0</v>
      </c>
      <c r="E16" s="582">
        <f t="shared" si="0"/>
        <v>0</v>
      </c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</row>
    <row r="17" spans="1:19" s="177" customFormat="1" ht="12" customHeight="1" x14ac:dyDescent="0.2">
      <c r="A17" s="221" t="s">
        <v>115</v>
      </c>
      <c r="B17" s="5" t="s">
        <v>230</v>
      </c>
      <c r="C17" s="132"/>
      <c r="D17" s="402">
        <f>'9.2.1. sz. mell'!C17+'9.2.2. sz.  mell'!C17+'9.2.3. sz. mell.'!C17</f>
        <v>0</v>
      </c>
      <c r="E17" s="582">
        <f t="shared" si="0"/>
        <v>0</v>
      </c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</row>
    <row r="18" spans="1:19" s="229" customFormat="1" ht="12" customHeight="1" x14ac:dyDescent="0.2">
      <c r="A18" s="221" t="s">
        <v>116</v>
      </c>
      <c r="B18" s="5" t="s">
        <v>231</v>
      </c>
      <c r="C18" s="1195"/>
      <c r="D18" s="402">
        <f>'9.2.1. sz. mell'!C18+'9.2.2. sz.  mell'!C18+'9.2.3. sz. mell.'!C18</f>
        <v>0</v>
      </c>
      <c r="E18" s="582">
        <f t="shared" si="0"/>
        <v>0</v>
      </c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4"/>
    </row>
    <row r="19" spans="1:19" s="229" customFormat="1" ht="12" customHeight="1" x14ac:dyDescent="0.2">
      <c r="A19" s="221" t="s">
        <v>117</v>
      </c>
      <c r="B19" s="5" t="s">
        <v>453</v>
      </c>
      <c r="C19" s="481"/>
      <c r="D19" s="402">
        <f>'9.2.1. sz. mell'!C19+'9.2.2. sz.  mell'!C19+'9.2.3. sz. mell.'!C19</f>
        <v>0</v>
      </c>
      <c r="E19" s="582">
        <f t="shared" si="0"/>
        <v>0</v>
      </c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584"/>
      <c r="S19" s="584"/>
    </row>
    <row r="20" spans="1:19" s="229" customFormat="1" ht="12" customHeight="1" thickBot="1" x14ac:dyDescent="0.25">
      <c r="A20" s="221" t="s">
        <v>118</v>
      </c>
      <c r="B20" s="4" t="s">
        <v>232</v>
      </c>
      <c r="C20" s="481">
        <v>240000</v>
      </c>
      <c r="D20" s="402">
        <f>'9.2.1. sz. mell'!C20+'9.2.2. sz.  mell'!C20+'9.2.3. sz. mell.'!C20</f>
        <v>240000</v>
      </c>
      <c r="E20" s="582">
        <f t="shared" si="0"/>
        <v>0</v>
      </c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</row>
    <row r="21" spans="1:19" s="177" customFormat="1" ht="12" customHeight="1" thickBot="1" x14ac:dyDescent="0.25">
      <c r="A21" s="74" t="s">
        <v>22</v>
      </c>
      <c r="B21" s="91" t="s">
        <v>350</v>
      </c>
      <c r="C21" s="1197">
        <f>SUM(C22:C24)</f>
        <v>0</v>
      </c>
      <c r="D21" s="402">
        <f>'9.2.1. sz. mell'!C21+'9.2.2. sz.  mell'!C21+'9.2.3. sz. mell.'!C21</f>
        <v>0</v>
      </c>
      <c r="E21" s="582">
        <f t="shared" si="0"/>
        <v>0</v>
      </c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</row>
    <row r="22" spans="1:19" s="229" customFormat="1" ht="12" customHeight="1" x14ac:dyDescent="0.2">
      <c r="A22" s="221" t="s">
        <v>106</v>
      </c>
      <c r="B22" s="6" t="s">
        <v>201</v>
      </c>
      <c r="C22" s="129"/>
      <c r="D22" s="402">
        <f>'9.2.1. sz. mell'!C22+'9.2.2. sz.  mell'!C22+'9.2.3. sz. mell.'!C22</f>
        <v>0</v>
      </c>
      <c r="E22" s="582">
        <f t="shared" si="0"/>
        <v>0</v>
      </c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</row>
    <row r="23" spans="1:19" s="229" customFormat="1" ht="12" customHeight="1" x14ac:dyDescent="0.2">
      <c r="A23" s="221" t="s">
        <v>107</v>
      </c>
      <c r="B23" s="5" t="s">
        <v>351</v>
      </c>
      <c r="C23" s="1195"/>
      <c r="D23" s="402">
        <f>'9.2.1. sz. mell'!C23+'9.2.2. sz.  mell'!C23+'9.2.3. sz. mell.'!C23</f>
        <v>0</v>
      </c>
      <c r="E23" s="582">
        <f t="shared" si="0"/>
        <v>0</v>
      </c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4"/>
    </row>
    <row r="24" spans="1:19" s="229" customFormat="1" ht="12" customHeight="1" x14ac:dyDescent="0.2">
      <c r="A24" s="221" t="s">
        <v>108</v>
      </c>
      <c r="B24" s="5" t="s">
        <v>352</v>
      </c>
      <c r="C24" s="1200"/>
      <c r="D24" s="402">
        <f>'9.2.1. sz. mell'!C24+'9.2.2. sz.  mell'!C24+'9.2.3. sz. mell.'!C24</f>
        <v>0</v>
      </c>
      <c r="E24" s="582">
        <f t="shared" si="0"/>
        <v>0</v>
      </c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</row>
    <row r="25" spans="1:19" s="229" customFormat="1" ht="12" customHeight="1" thickBot="1" x14ac:dyDescent="0.25">
      <c r="A25" s="221" t="s">
        <v>109</v>
      </c>
      <c r="B25" s="5" t="s">
        <v>524</v>
      </c>
      <c r="C25" s="1195"/>
      <c r="D25" s="402">
        <f>'9.2.1. sz. mell'!C25+'9.2.2. sz.  mell'!C25+'9.2.3. sz. mell.'!C25</f>
        <v>0</v>
      </c>
      <c r="E25" s="582">
        <f t="shared" si="0"/>
        <v>0</v>
      </c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</row>
    <row r="26" spans="1:19" s="229" customFormat="1" ht="12" customHeight="1" thickBot="1" x14ac:dyDescent="0.25">
      <c r="A26" s="77" t="s">
        <v>23</v>
      </c>
      <c r="B26" s="57" t="s">
        <v>140</v>
      </c>
      <c r="C26" s="152"/>
      <c r="D26" s="402">
        <f>'9.2.1. sz. mell'!C26+'9.2.2. sz.  mell'!C26+'9.2.3. sz. mell.'!C26</f>
        <v>0</v>
      </c>
      <c r="E26" s="582">
        <f t="shared" si="0"/>
        <v>0</v>
      </c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</row>
    <row r="27" spans="1:19" s="229" customFormat="1" ht="12" customHeight="1" thickBot="1" x14ac:dyDescent="0.25">
      <c r="A27" s="77" t="s">
        <v>24</v>
      </c>
      <c r="B27" s="57" t="s">
        <v>525</v>
      </c>
      <c r="C27" s="1197">
        <f>+C28+C29+C30</f>
        <v>0</v>
      </c>
      <c r="D27" s="402">
        <f>'9.2.1. sz. mell'!C27+'9.2.2. sz.  mell'!C27+'9.2.3. sz. mell.'!C27</f>
        <v>0</v>
      </c>
      <c r="E27" s="582">
        <f t="shared" si="0"/>
        <v>0</v>
      </c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4"/>
      <c r="R27" s="584"/>
      <c r="S27" s="584"/>
    </row>
    <row r="28" spans="1:19" s="229" customFormat="1" ht="12" customHeight="1" x14ac:dyDescent="0.2">
      <c r="A28" s="222" t="s">
        <v>211</v>
      </c>
      <c r="B28" s="223" t="s">
        <v>206</v>
      </c>
      <c r="C28" s="1194"/>
      <c r="D28" s="402">
        <f>'9.2.1. sz. mell'!C28+'9.2.2. sz.  mell'!C28+'9.2.3. sz. mell.'!C28</f>
        <v>0</v>
      </c>
      <c r="E28" s="582">
        <f t="shared" si="0"/>
        <v>0</v>
      </c>
      <c r="F28" s="584"/>
      <c r="G28" s="584"/>
      <c r="H28" s="584"/>
      <c r="I28" s="584"/>
      <c r="J28" s="584"/>
      <c r="K28" s="584"/>
      <c r="L28" s="584"/>
      <c r="M28" s="584"/>
      <c r="N28" s="584"/>
      <c r="O28" s="584"/>
      <c r="P28" s="584"/>
      <c r="Q28" s="584"/>
      <c r="R28" s="584"/>
      <c r="S28" s="584"/>
    </row>
    <row r="29" spans="1:19" s="229" customFormat="1" ht="12" customHeight="1" x14ac:dyDescent="0.2">
      <c r="A29" s="222" t="s">
        <v>214</v>
      </c>
      <c r="B29" s="223" t="s">
        <v>351</v>
      </c>
      <c r="C29" s="129"/>
      <c r="D29" s="402">
        <f>'9.2.1. sz. mell'!C29+'9.2.2. sz.  mell'!C29+'9.2.3. sz. mell.'!C29</f>
        <v>0</v>
      </c>
      <c r="E29" s="582">
        <f t="shared" si="0"/>
        <v>0</v>
      </c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4"/>
      <c r="R29" s="584"/>
      <c r="S29" s="584"/>
    </row>
    <row r="30" spans="1:19" s="229" customFormat="1" ht="12" customHeight="1" x14ac:dyDescent="0.2">
      <c r="A30" s="222" t="s">
        <v>215</v>
      </c>
      <c r="B30" s="224" t="s">
        <v>353</v>
      </c>
      <c r="C30" s="129"/>
      <c r="D30" s="402">
        <f>'9.2.1. sz. mell'!C30+'9.2.2. sz.  mell'!C30+'9.2.3. sz. mell.'!C30</f>
        <v>0</v>
      </c>
      <c r="E30" s="582">
        <f t="shared" si="0"/>
        <v>0</v>
      </c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</row>
    <row r="31" spans="1:19" s="229" customFormat="1" ht="12" customHeight="1" thickBot="1" x14ac:dyDescent="0.25">
      <c r="A31" s="221" t="s">
        <v>216</v>
      </c>
      <c r="B31" s="60" t="s">
        <v>526</v>
      </c>
      <c r="C31" s="1196"/>
      <c r="D31" s="402">
        <f>'9.2.1. sz. mell'!C31+'9.2.2. sz.  mell'!C31+'9.2.3. sz. mell.'!C31</f>
        <v>0</v>
      </c>
      <c r="E31" s="582">
        <f t="shared" si="0"/>
        <v>0</v>
      </c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</row>
    <row r="32" spans="1:19" s="229" customFormat="1" ht="12" customHeight="1" thickBot="1" x14ac:dyDescent="0.25">
      <c r="A32" s="77" t="s">
        <v>25</v>
      </c>
      <c r="B32" s="57" t="s">
        <v>354</v>
      </c>
      <c r="C32" s="1197">
        <f>+C33+C34+C35</f>
        <v>300000</v>
      </c>
      <c r="D32" s="402">
        <f>'9.2.1. sz. mell'!C32+'9.2.2. sz.  mell'!C32+'9.2.3. sz. mell.'!C32</f>
        <v>300000</v>
      </c>
      <c r="E32" s="582">
        <f t="shared" si="0"/>
        <v>0</v>
      </c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4"/>
      <c r="R32" s="584"/>
      <c r="S32" s="584"/>
    </row>
    <row r="33" spans="1:19" s="229" customFormat="1" ht="12" customHeight="1" x14ac:dyDescent="0.2">
      <c r="A33" s="222" t="s">
        <v>93</v>
      </c>
      <c r="B33" s="223" t="s">
        <v>237</v>
      </c>
      <c r="C33" s="1194"/>
      <c r="D33" s="402">
        <f>'9.2.1. sz. mell'!C33+'9.2.2. sz.  mell'!C33+'9.2.3. sz. mell.'!C33</f>
        <v>0</v>
      </c>
      <c r="E33" s="582">
        <f t="shared" si="0"/>
        <v>0</v>
      </c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</row>
    <row r="34" spans="1:19" s="229" customFormat="1" ht="12" customHeight="1" x14ac:dyDescent="0.2">
      <c r="A34" s="222" t="s">
        <v>94</v>
      </c>
      <c r="B34" s="224" t="s">
        <v>238</v>
      </c>
      <c r="C34" s="132"/>
      <c r="D34" s="402">
        <f>'9.2.1. sz. mell'!C34+'9.2.2. sz.  mell'!C34+'9.2.3. sz. mell.'!C34</f>
        <v>0</v>
      </c>
      <c r="E34" s="582">
        <f t="shared" si="0"/>
        <v>0</v>
      </c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</row>
    <row r="35" spans="1:19" s="229" customFormat="1" ht="12" customHeight="1" thickBot="1" x14ac:dyDescent="0.25">
      <c r="A35" s="221" t="s">
        <v>95</v>
      </c>
      <c r="B35" s="60" t="s">
        <v>239</v>
      </c>
      <c r="C35" s="1196">
        <v>300000</v>
      </c>
      <c r="D35" s="402">
        <f>'9.2.1. sz. mell'!C35+'9.2.2. sz.  mell'!C35+'9.2.3. sz. mell.'!C35</f>
        <v>300000</v>
      </c>
      <c r="E35" s="582">
        <f t="shared" si="0"/>
        <v>0</v>
      </c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584"/>
      <c r="S35" s="584"/>
    </row>
    <row r="36" spans="1:19" s="177" customFormat="1" ht="12" customHeight="1" thickBot="1" x14ac:dyDescent="0.25">
      <c r="A36" s="77" t="s">
        <v>26</v>
      </c>
      <c r="B36" s="57" t="s">
        <v>325</v>
      </c>
      <c r="C36" s="152"/>
      <c r="D36" s="402">
        <f>'9.2.1. sz. mell'!C36+'9.2.2. sz.  mell'!C36+'9.2.3. sz. mell.'!C36</f>
        <v>0</v>
      </c>
      <c r="E36" s="582">
        <f t="shared" si="0"/>
        <v>0</v>
      </c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</row>
    <row r="37" spans="1:19" s="177" customFormat="1" ht="12" customHeight="1" thickBot="1" x14ac:dyDescent="0.25">
      <c r="A37" s="77" t="s">
        <v>27</v>
      </c>
      <c r="B37" s="57" t="s">
        <v>355</v>
      </c>
      <c r="C37" s="169"/>
      <c r="D37" s="402">
        <f>'9.2.1. sz. mell'!C37+'9.2.2. sz.  mell'!C37+'9.2.3. sz. mell.'!C37</f>
        <v>0</v>
      </c>
      <c r="E37" s="582">
        <f t="shared" si="0"/>
        <v>0</v>
      </c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</row>
    <row r="38" spans="1:19" s="177" customFormat="1" ht="12" customHeight="1" thickBot="1" x14ac:dyDescent="0.25">
      <c r="A38" s="74" t="s">
        <v>28</v>
      </c>
      <c r="B38" s="57" t="s">
        <v>356</v>
      </c>
      <c r="C38" s="1198">
        <f>+C9+C21+C26+C27+C32+C36+C37</f>
        <v>10482614</v>
      </c>
      <c r="D38" s="402">
        <f>'9.2.1. sz. mell'!C38+'9.2.2. sz.  mell'!C38+'9.2.3. sz. mell.'!C38</f>
        <v>10482614</v>
      </c>
      <c r="E38" s="582">
        <f t="shared" si="0"/>
        <v>0</v>
      </c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</row>
    <row r="39" spans="1:19" s="177" customFormat="1" ht="12" customHeight="1" thickBot="1" x14ac:dyDescent="0.25">
      <c r="A39" s="92" t="s">
        <v>29</v>
      </c>
      <c r="B39" s="57" t="s">
        <v>357</v>
      </c>
      <c r="C39" s="1198">
        <f>+C40+C41+C42</f>
        <v>235026090</v>
      </c>
      <c r="D39" s="402">
        <f>'9.2.1. sz. mell'!C39+'9.2.2. sz.  mell'!C39+'9.2.3. sz. mell.'!C39</f>
        <v>235026090</v>
      </c>
      <c r="E39" s="582">
        <f t="shared" si="0"/>
        <v>0</v>
      </c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</row>
    <row r="40" spans="1:19" s="177" customFormat="1" ht="12" customHeight="1" x14ac:dyDescent="0.2">
      <c r="A40" s="222" t="s">
        <v>358</v>
      </c>
      <c r="B40" s="223" t="s">
        <v>182</v>
      </c>
      <c r="C40" s="1194">
        <f>327465-69011</f>
        <v>258454</v>
      </c>
      <c r="D40" s="402">
        <f>'9.2.1. sz. mell'!C40+'9.2.2. sz.  mell'!C40+'9.2.3. sz. mell.'!C40</f>
        <v>258454</v>
      </c>
      <c r="E40" s="582">
        <f t="shared" si="0"/>
        <v>0</v>
      </c>
      <c r="F40" s="583"/>
      <c r="G40" s="583"/>
      <c r="H40" s="583"/>
      <c r="I40" s="583"/>
      <c r="J40" s="583"/>
      <c r="K40" s="1308"/>
      <c r="L40" s="583"/>
      <c r="M40" s="583"/>
      <c r="N40" s="583"/>
      <c r="O40" s="583"/>
      <c r="P40" s="583"/>
      <c r="Q40" s="583"/>
      <c r="R40" s="583"/>
      <c r="S40" s="583"/>
    </row>
    <row r="41" spans="1:19" s="177" customFormat="1" ht="12" customHeight="1" x14ac:dyDescent="0.2">
      <c r="A41" s="222" t="s">
        <v>359</v>
      </c>
      <c r="B41" s="224" t="s">
        <v>9</v>
      </c>
      <c r="C41" s="132"/>
      <c r="D41" s="402">
        <f>'9.2.1. sz. mell'!C41+'9.2.2. sz.  mell'!C41+'9.2.3. sz. mell.'!C41</f>
        <v>0</v>
      </c>
      <c r="E41" s="582">
        <f t="shared" si="0"/>
        <v>0</v>
      </c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</row>
    <row r="42" spans="1:19" s="229" customFormat="1" ht="12" customHeight="1" thickBot="1" x14ac:dyDescent="0.25">
      <c r="A42" s="221" t="s">
        <v>360</v>
      </c>
      <c r="B42" s="60" t="s">
        <v>361</v>
      </c>
      <c r="C42" s="1201">
        <f>232822178+356651+378924+1207300+2583</f>
        <v>234767636</v>
      </c>
      <c r="D42" s="402">
        <f>'9.2.1. sz. mell'!C42+'9.2.2. sz.  mell'!C42+'9.2.3. sz. mell.'!C42</f>
        <v>234767636</v>
      </c>
      <c r="E42" s="582">
        <f t="shared" si="0"/>
        <v>0</v>
      </c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4"/>
    </row>
    <row r="43" spans="1:19" s="229" customFormat="1" ht="15" customHeight="1" thickBot="1" x14ac:dyDescent="0.25">
      <c r="A43" s="92" t="s">
        <v>30</v>
      </c>
      <c r="B43" s="93" t="s">
        <v>362</v>
      </c>
      <c r="C43" s="172">
        <f>+C38+C39</f>
        <v>245508704</v>
      </c>
      <c r="D43" s="402">
        <f>'9.2.1. sz. mell'!C43+'9.2.2. sz.  mell'!C43+'9.2.3. sz. mell.'!C43</f>
        <v>245508704</v>
      </c>
      <c r="E43" s="582">
        <f t="shared" si="0"/>
        <v>0</v>
      </c>
      <c r="F43" s="584"/>
      <c r="G43" s="584"/>
      <c r="H43" s="584"/>
      <c r="I43" s="584"/>
      <c r="J43" s="584"/>
      <c r="K43" s="584"/>
      <c r="L43" s="584"/>
      <c r="M43" s="584"/>
      <c r="N43" s="584"/>
      <c r="O43" s="584"/>
      <c r="P43" s="584"/>
      <c r="Q43" s="584"/>
      <c r="R43" s="584"/>
      <c r="S43" s="584"/>
    </row>
    <row r="44" spans="1:19" s="229" customFormat="1" ht="15" customHeight="1" x14ac:dyDescent="0.2">
      <c r="A44" s="94"/>
      <c r="B44" s="95"/>
      <c r="C44" s="170"/>
      <c r="D44" s="402">
        <f>'9.2.1. sz. mell'!C44+'9.2.2. sz.  mell'!C44+'9.2.3. sz. mell.'!C44</f>
        <v>0</v>
      </c>
      <c r="E44" s="1019"/>
      <c r="F44" s="584"/>
      <c r="G44" s="584"/>
      <c r="H44" s="584"/>
      <c r="I44" s="584"/>
      <c r="J44" s="584"/>
      <c r="K44" s="584"/>
      <c r="L44" s="584"/>
      <c r="M44" s="584"/>
      <c r="N44" s="584"/>
      <c r="O44" s="584"/>
      <c r="P44" s="584"/>
      <c r="Q44" s="584"/>
      <c r="R44" s="584"/>
      <c r="S44" s="584"/>
    </row>
    <row r="45" spans="1:19" ht="13.5" thickBot="1" x14ac:dyDescent="0.25">
      <c r="A45" s="96"/>
      <c r="B45" s="97"/>
      <c r="C45" s="171"/>
      <c r="D45" s="402">
        <f>'9.2.1. sz. mell'!C45+'9.2.2. sz.  mell'!C45+'9.2.3. sz. mell.'!C45</f>
        <v>0</v>
      </c>
    </row>
    <row r="46" spans="1:19" s="228" customFormat="1" ht="16.5" customHeight="1" thickBot="1" x14ac:dyDescent="0.25">
      <c r="A46" s="98"/>
      <c r="B46" s="99" t="s">
        <v>59</v>
      </c>
      <c r="C46" s="172"/>
      <c r="D46" s="402">
        <f>'9.2.1. sz. mell'!C46+'9.2.2. sz.  mell'!C46+'9.2.3. sz. mell.'!C46</f>
        <v>0</v>
      </c>
      <c r="E46" s="401"/>
      <c r="F46" s="581"/>
      <c r="G46" s="581"/>
      <c r="H46" s="581"/>
      <c r="I46" s="581"/>
      <c r="J46" s="581"/>
      <c r="K46" s="581"/>
      <c r="L46" s="581"/>
      <c r="M46" s="581"/>
      <c r="N46" s="581"/>
      <c r="O46" s="581"/>
      <c r="P46" s="581"/>
      <c r="Q46" s="581"/>
      <c r="R46" s="581"/>
      <c r="S46" s="581"/>
    </row>
    <row r="47" spans="1:19" s="230" customFormat="1" ht="12" customHeight="1" thickBot="1" x14ac:dyDescent="0.25">
      <c r="A47" s="77" t="s">
        <v>21</v>
      </c>
      <c r="B47" s="57" t="s">
        <v>363</v>
      </c>
      <c r="C47" s="1197">
        <f>SUM(C48:C52)</f>
        <v>240461304</v>
      </c>
      <c r="D47" s="402">
        <f>'9.2.1. sz. mell'!C47+'9.2.2. sz.  mell'!C47+'9.2.3. sz. mell.'!C47</f>
        <v>240461304</v>
      </c>
      <c r="E47" s="582">
        <f t="shared" ref="E47:E59" si="1">C47-D47</f>
        <v>0</v>
      </c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</row>
    <row r="48" spans="1:19" ht="12" customHeight="1" x14ac:dyDescent="0.2">
      <c r="A48" s="221" t="s">
        <v>100</v>
      </c>
      <c r="B48" s="6" t="s">
        <v>51</v>
      </c>
      <c r="C48" s="682">
        <f>164405869+244800+967861</f>
        <v>165618530</v>
      </c>
      <c r="D48" s="402">
        <f>'9.2.1. sz. mell'!C48+'9.2.2. sz.  mell'!C48+'9.2.3. sz. mell.'!C48</f>
        <v>165618530</v>
      </c>
      <c r="E48" s="582">
        <f t="shared" si="1"/>
        <v>0</v>
      </c>
    </row>
    <row r="49" spans="1:19" ht="12" customHeight="1" x14ac:dyDescent="0.2">
      <c r="A49" s="221" t="s">
        <v>101</v>
      </c>
      <c r="B49" s="5" t="s">
        <v>149</v>
      </c>
      <c r="C49" s="676">
        <f>32731163+42840-588937</f>
        <v>32185066</v>
      </c>
      <c r="D49" s="402">
        <f>'9.2.1. sz. mell'!C49+'9.2.2. sz.  mell'!C49+'9.2.3. sz. mell.'!C49</f>
        <v>32185066</v>
      </c>
      <c r="E49" s="582">
        <f t="shared" si="1"/>
        <v>0</v>
      </c>
    </row>
    <row r="50" spans="1:19" ht="12" customHeight="1" x14ac:dyDescent="0.2">
      <c r="A50" s="221" t="s">
        <v>102</v>
      </c>
      <c r="B50" s="5" t="s">
        <v>125</v>
      </c>
      <c r="C50" s="1200">
        <f>41447825+1207300+2583</f>
        <v>42657708</v>
      </c>
      <c r="D50" s="402">
        <f>'9.2.1. sz. mell'!C50+'9.2.2. sz.  mell'!C50+'9.2.3. sz. mell.'!C50</f>
        <v>42657708</v>
      </c>
      <c r="E50" s="582">
        <f t="shared" si="1"/>
        <v>0</v>
      </c>
    </row>
    <row r="51" spans="1:19" ht="12" customHeight="1" x14ac:dyDescent="0.2">
      <c r="A51" s="221" t="s">
        <v>103</v>
      </c>
      <c r="B51" s="5" t="s">
        <v>150</v>
      </c>
      <c r="C51" s="1195"/>
      <c r="D51" s="402">
        <f>'9.2.1. sz. mell'!C51+'9.2.2. sz.  mell'!C51+'9.2.3. sz. mell.'!C51</f>
        <v>0</v>
      </c>
      <c r="E51" s="582">
        <f t="shared" si="1"/>
        <v>0</v>
      </c>
    </row>
    <row r="52" spans="1:19" ht="12" customHeight="1" thickBot="1" x14ac:dyDescent="0.25">
      <c r="A52" s="221" t="s">
        <v>126</v>
      </c>
      <c r="B52" s="5" t="s">
        <v>151</v>
      </c>
      <c r="C52" s="1195"/>
      <c r="D52" s="402">
        <f>'9.2.1. sz. mell'!C52+'9.2.2. sz.  mell'!C52+'9.2.3. sz. mell.'!C52</f>
        <v>0</v>
      </c>
      <c r="E52" s="582">
        <f t="shared" si="1"/>
        <v>0</v>
      </c>
    </row>
    <row r="53" spans="1:19" ht="12" customHeight="1" thickBot="1" x14ac:dyDescent="0.25">
      <c r="A53" s="77" t="s">
        <v>22</v>
      </c>
      <c r="B53" s="57" t="s">
        <v>364</v>
      </c>
      <c r="C53" s="1197">
        <f>SUM(C54:C56)</f>
        <v>5047400</v>
      </c>
      <c r="D53" s="402">
        <f>'9.2.1. sz. mell'!C53+'9.2.2. sz.  mell'!C53+'9.2.3. sz. mell.'!C53</f>
        <v>5047400</v>
      </c>
      <c r="E53" s="582">
        <f t="shared" si="1"/>
        <v>0</v>
      </c>
    </row>
    <row r="54" spans="1:19" s="230" customFormat="1" ht="12" customHeight="1" x14ac:dyDescent="0.2">
      <c r="A54" s="221" t="s">
        <v>106</v>
      </c>
      <c r="B54" s="6" t="s">
        <v>173</v>
      </c>
      <c r="C54" s="1194">
        <v>5047400</v>
      </c>
      <c r="D54" s="402">
        <f>'9.2.1. sz. mell'!C54+'9.2.2. sz.  mell'!C54+'9.2.3. sz. mell.'!C54</f>
        <v>5047400</v>
      </c>
      <c r="E54" s="582">
        <f t="shared" si="1"/>
        <v>0</v>
      </c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</row>
    <row r="55" spans="1:19" ht="12" customHeight="1" x14ac:dyDescent="0.2">
      <c r="A55" s="221" t="s">
        <v>107</v>
      </c>
      <c r="B55" s="5" t="s">
        <v>153</v>
      </c>
      <c r="C55" s="1195"/>
      <c r="D55" s="402">
        <f>'9.2.1. sz. mell'!C55+'9.2.2. sz.  mell'!C55+'9.2.3. sz. mell.'!C55</f>
        <v>0</v>
      </c>
      <c r="E55" s="582">
        <f t="shared" si="1"/>
        <v>0</v>
      </c>
    </row>
    <row r="56" spans="1:19" ht="12" customHeight="1" x14ac:dyDescent="0.2">
      <c r="A56" s="221" t="s">
        <v>108</v>
      </c>
      <c r="B56" s="5" t="s">
        <v>60</v>
      </c>
      <c r="C56" s="1195"/>
      <c r="D56" s="402">
        <f>'9.2.1. sz. mell'!C56+'9.2.2. sz.  mell'!C56+'9.2.3. sz. mell.'!C56</f>
        <v>0</v>
      </c>
      <c r="E56" s="582">
        <f t="shared" si="1"/>
        <v>0</v>
      </c>
    </row>
    <row r="57" spans="1:19" ht="12" customHeight="1" thickBot="1" x14ac:dyDescent="0.25">
      <c r="A57" s="221" t="s">
        <v>109</v>
      </c>
      <c r="B57" s="5" t="s">
        <v>527</v>
      </c>
      <c r="C57" s="1195"/>
      <c r="D57" s="402">
        <f>'9.2.1. sz. mell'!C57+'9.2.2. sz.  mell'!C57+'9.2.3. sz. mell.'!C57</f>
        <v>0</v>
      </c>
      <c r="E57" s="582">
        <f t="shared" si="1"/>
        <v>0</v>
      </c>
    </row>
    <row r="58" spans="1:19" ht="12" customHeight="1" thickBot="1" x14ac:dyDescent="0.25">
      <c r="A58" s="77" t="s">
        <v>23</v>
      </c>
      <c r="B58" s="57" t="s">
        <v>15</v>
      </c>
      <c r="C58" s="152"/>
      <c r="D58" s="402">
        <f>'9.2.1. sz. mell'!C58+'9.2.2. sz.  mell'!C58+'9.2.3. sz. mell.'!C58</f>
        <v>0</v>
      </c>
      <c r="E58" s="582">
        <f t="shared" si="1"/>
        <v>0</v>
      </c>
    </row>
    <row r="59" spans="1:19" ht="15" customHeight="1" thickBot="1" x14ac:dyDescent="0.25">
      <c r="A59" s="77" t="s">
        <v>24</v>
      </c>
      <c r="B59" s="100" t="s">
        <v>528</v>
      </c>
      <c r="C59" s="173">
        <f>+C47+C53+C58</f>
        <v>245508704</v>
      </c>
      <c r="D59" s="402">
        <f>'9.2.1. sz. mell'!C59+'9.2.2. sz.  mell'!C59+'9.2.3. sz. mell.'!C59</f>
        <v>245508704</v>
      </c>
      <c r="E59" s="582">
        <f t="shared" si="1"/>
        <v>0</v>
      </c>
    </row>
    <row r="60" spans="1:19" ht="13.5" thickBot="1" x14ac:dyDescent="0.25">
      <c r="C60" s="364"/>
      <c r="D60" s="402">
        <f>'9.2.1. sz. mell'!C60+'9.2.2. sz.  mell'!C60+'9.2.3. sz. mell.'!C60</f>
        <v>0</v>
      </c>
      <c r="E60" s="403"/>
    </row>
    <row r="61" spans="1:19" ht="15" customHeight="1" thickBot="1" x14ac:dyDescent="0.25">
      <c r="A61" s="102" t="s">
        <v>521</v>
      </c>
      <c r="B61" s="103"/>
      <c r="C61" s="623">
        <f>47.375+1</f>
        <v>48.375</v>
      </c>
      <c r="D61" s="402">
        <f>'9.2.1. sz. mell'!C61+'9.2.2. sz.  mell'!C61+'9.2.3. sz. mell.'!C61</f>
        <v>48.38</v>
      </c>
      <c r="E61" s="582">
        <f>C61-D61</f>
        <v>-5.000000000002558E-3</v>
      </c>
    </row>
    <row r="62" spans="1:19" x14ac:dyDescent="0.2">
      <c r="I62" s="586"/>
    </row>
    <row r="64" spans="1:19" x14ac:dyDescent="0.2">
      <c r="B64" s="36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zoomScale="115" zoomScaleNormal="115" zoomScalePageLayoutView="70" workbookViewId="0">
      <selection sqref="A1:C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1013" customWidth="1"/>
    <col min="4" max="16384" width="9.33203125" style="1013"/>
  </cols>
  <sheetData>
    <row r="1" spans="1:3" x14ac:dyDescent="0.2">
      <c r="A1" s="1490" t="str">
        <f>CONCATENATE("15. melléklet"," ",ALAPADATOK!A7," ",ALAPADATOK!B7," ",ALAPADATOK!C7," ",ALAPADATOK!D7," ",ALAPADATOK!E7," ",ALAPADATOK!F7," ",ALAPADATOK!G7," ",ALAPADATOK!H7)</f>
        <v>15. melléklet a 21 / 2020. ( IX.25.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225"/>
    </row>
    <row r="3" spans="1:3" s="226" customFormat="1" ht="35.25" customHeight="1" x14ac:dyDescent="0.2">
      <c r="A3" s="183" t="s">
        <v>167</v>
      </c>
      <c r="B3" s="162" t="s">
        <v>445</v>
      </c>
      <c r="C3" s="175" t="s">
        <v>62</v>
      </c>
    </row>
    <row r="4" spans="1:3" s="226" customFormat="1" ht="24.75" thickBot="1" x14ac:dyDescent="0.25">
      <c r="A4" s="219" t="s">
        <v>166</v>
      </c>
      <c r="B4" s="163" t="s">
        <v>365</v>
      </c>
      <c r="C4" s="176" t="s">
        <v>62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197">
        <f>SUM(C10:C20)</f>
        <v>3257614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29">
        <v>2565050</v>
      </c>
    </row>
    <row r="12" spans="1:3" s="177" customFormat="1" ht="12" customHeight="1" x14ac:dyDescent="0.2">
      <c r="A12" s="221" t="s">
        <v>102</v>
      </c>
      <c r="B12" s="5" t="s">
        <v>225</v>
      </c>
      <c r="C12" s="129"/>
    </row>
    <row r="13" spans="1:3" s="177" customFormat="1" ht="12" customHeight="1" x14ac:dyDescent="0.2">
      <c r="A13" s="221" t="s">
        <v>103</v>
      </c>
      <c r="B13" s="5" t="s">
        <v>226</v>
      </c>
      <c r="C13" s="129"/>
    </row>
    <row r="14" spans="1:3" s="177" customFormat="1" ht="12" customHeight="1" x14ac:dyDescent="0.2">
      <c r="A14" s="221" t="s">
        <v>126</v>
      </c>
      <c r="B14" s="5" t="s">
        <v>227</v>
      </c>
      <c r="C14" s="129"/>
    </row>
    <row r="15" spans="1:3" s="177" customFormat="1" ht="12" customHeight="1" x14ac:dyDescent="0.2">
      <c r="A15" s="221" t="s">
        <v>104</v>
      </c>
      <c r="B15" s="5" t="s">
        <v>348</v>
      </c>
      <c r="C15" s="129">
        <v>692564</v>
      </c>
    </row>
    <row r="16" spans="1:3" s="177" customFormat="1" ht="12" customHeight="1" x14ac:dyDescent="0.2">
      <c r="A16" s="221" t="s">
        <v>105</v>
      </c>
      <c r="B16" s="4" t="s">
        <v>349</v>
      </c>
      <c r="C16" s="129"/>
    </row>
    <row r="17" spans="1:3" s="177" customFormat="1" ht="12" customHeight="1" x14ac:dyDescent="0.2">
      <c r="A17" s="221" t="s">
        <v>115</v>
      </c>
      <c r="B17" s="5" t="s">
        <v>230</v>
      </c>
      <c r="C17" s="168"/>
    </row>
    <row r="18" spans="1:3" s="229" customFormat="1" ht="12" customHeight="1" x14ac:dyDescent="0.2">
      <c r="A18" s="221" t="s">
        <v>116</v>
      </c>
      <c r="B18" s="5" t="s">
        <v>231</v>
      </c>
      <c r="C18" s="129"/>
    </row>
    <row r="19" spans="1:3" s="229" customFormat="1" ht="12" customHeight="1" x14ac:dyDescent="0.2">
      <c r="A19" s="221" t="s">
        <v>117</v>
      </c>
      <c r="B19" s="5" t="s">
        <v>453</v>
      </c>
      <c r="C19" s="130"/>
    </row>
    <row r="20" spans="1:3" s="229" customFormat="1" ht="12" customHeight="1" thickBot="1" x14ac:dyDescent="0.25">
      <c r="A20" s="221" t="s">
        <v>118</v>
      </c>
      <c r="B20" s="4" t="s">
        <v>232</v>
      </c>
      <c r="C20" s="130"/>
    </row>
    <row r="21" spans="1:3" s="177" customFormat="1" ht="12" customHeight="1" thickBot="1" x14ac:dyDescent="0.25">
      <c r="A21" s="74" t="s">
        <v>22</v>
      </c>
      <c r="B21" s="91" t="s">
        <v>350</v>
      </c>
      <c r="C21" s="1197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195"/>
    </row>
    <row r="24" spans="1:3" s="229" customFormat="1" ht="12" customHeight="1" x14ac:dyDescent="0.2">
      <c r="A24" s="221" t="s">
        <v>108</v>
      </c>
      <c r="B24" s="5" t="s">
        <v>352</v>
      </c>
      <c r="C24" s="1200"/>
    </row>
    <row r="25" spans="1:3" s="229" customFormat="1" ht="12" customHeight="1" thickBot="1" x14ac:dyDescent="0.25">
      <c r="A25" s="221" t="s">
        <v>109</v>
      </c>
      <c r="B25" s="5" t="s">
        <v>524</v>
      </c>
      <c r="C25" s="1195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197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194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196"/>
    </row>
    <row r="32" spans="1:3" s="229" customFormat="1" ht="12" customHeight="1" thickBot="1" x14ac:dyDescent="0.25">
      <c r="A32" s="77" t="s">
        <v>25</v>
      </c>
      <c r="B32" s="57" t="s">
        <v>354</v>
      </c>
      <c r="C32" s="1197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1194"/>
    </row>
    <row r="34" spans="1:3" s="229" customFormat="1" ht="12" customHeight="1" x14ac:dyDescent="0.2">
      <c r="A34" s="222" t="s">
        <v>94</v>
      </c>
      <c r="B34" s="224" t="s">
        <v>238</v>
      </c>
      <c r="C34" s="132"/>
    </row>
    <row r="35" spans="1:3" s="229" customFormat="1" ht="12" customHeight="1" thickBot="1" x14ac:dyDescent="0.25">
      <c r="A35" s="221" t="s">
        <v>95</v>
      </c>
      <c r="B35" s="60" t="s">
        <v>239</v>
      </c>
      <c r="C35" s="1196"/>
    </row>
    <row r="36" spans="1:3" s="177" customFormat="1" ht="12" customHeight="1" thickBot="1" x14ac:dyDescent="0.25">
      <c r="A36" s="77" t="s">
        <v>26</v>
      </c>
      <c r="B36" s="57" t="s">
        <v>325</v>
      </c>
      <c r="C36" s="152"/>
    </row>
    <row r="37" spans="1:3" s="177" customFormat="1" ht="12" customHeight="1" thickBot="1" x14ac:dyDescent="0.25">
      <c r="A37" s="77" t="s">
        <v>27</v>
      </c>
      <c r="B37" s="57" t="s">
        <v>355</v>
      </c>
      <c r="C37" s="169"/>
    </row>
    <row r="38" spans="1:3" s="177" customFormat="1" ht="12" customHeight="1" thickBot="1" x14ac:dyDescent="0.25">
      <c r="A38" s="74" t="s">
        <v>28</v>
      </c>
      <c r="B38" s="57" t="s">
        <v>356</v>
      </c>
      <c r="C38" s="1198">
        <f>+C9+C21+C26+C27+C32+C36+C37</f>
        <v>3257614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198">
        <f>+C40+C41+C42</f>
        <v>5580893</v>
      </c>
    </row>
    <row r="40" spans="1:3" s="177" customFormat="1" ht="12" customHeight="1" x14ac:dyDescent="0.2">
      <c r="A40" s="222" t="s">
        <v>358</v>
      </c>
      <c r="B40" s="223" t="s">
        <v>182</v>
      </c>
      <c r="C40" s="1194">
        <f>327465-69011</f>
        <v>258454</v>
      </c>
    </row>
    <row r="41" spans="1:3" s="177" customFormat="1" ht="12" customHeight="1" x14ac:dyDescent="0.2">
      <c r="A41" s="222" t="s">
        <v>359</v>
      </c>
      <c r="B41" s="224" t="s">
        <v>9</v>
      </c>
      <c r="C41" s="132"/>
    </row>
    <row r="42" spans="1:3" s="229" customFormat="1" ht="12" customHeight="1" thickBot="1" x14ac:dyDescent="0.25">
      <c r="A42" s="221" t="s">
        <v>360</v>
      </c>
      <c r="B42" s="60" t="s">
        <v>361</v>
      </c>
      <c r="C42" s="1201">
        <f>3002388+2308446+9022+2583</f>
        <v>5322439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172">
        <f>+C38+C39</f>
        <v>8838507</v>
      </c>
    </row>
    <row r="44" spans="1:3" s="229" customFormat="1" ht="15" customHeight="1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s="228" customFormat="1" ht="16.5" customHeight="1" thickBot="1" x14ac:dyDescent="0.25">
      <c r="A46" s="98"/>
      <c r="B46" s="99" t="s">
        <v>59</v>
      </c>
      <c r="C46" s="172"/>
    </row>
    <row r="47" spans="1:3" s="230" customFormat="1" ht="12" customHeight="1" thickBot="1" x14ac:dyDescent="0.25">
      <c r="A47" s="77" t="s">
        <v>21</v>
      </c>
      <c r="B47" s="57" t="s">
        <v>363</v>
      </c>
      <c r="C47" s="1197">
        <f>SUM(C48:C52)</f>
        <v>8608507</v>
      </c>
    </row>
    <row r="48" spans="1:3" ht="12" customHeight="1" x14ac:dyDescent="0.2">
      <c r="A48" s="221" t="s">
        <v>100</v>
      </c>
      <c r="B48" s="6" t="s">
        <v>51</v>
      </c>
      <c r="C48" s="1194">
        <f>4072814+1888592+41795</f>
        <v>6003201</v>
      </c>
    </row>
    <row r="49" spans="1:3" ht="12" customHeight="1" x14ac:dyDescent="0.2">
      <c r="A49" s="221" t="s">
        <v>101</v>
      </c>
      <c r="B49" s="5" t="s">
        <v>149</v>
      </c>
      <c r="C49" s="1195">
        <f>748356+350843-32773</f>
        <v>1066426</v>
      </c>
    </row>
    <row r="50" spans="1:3" ht="12" customHeight="1" x14ac:dyDescent="0.2">
      <c r="A50" s="221" t="s">
        <v>102</v>
      </c>
      <c r="B50" s="5" t="s">
        <v>125</v>
      </c>
      <c r="C50" s="1200">
        <f>1536297+2583</f>
        <v>1538880</v>
      </c>
    </row>
    <row r="51" spans="1:3" ht="12" customHeight="1" x14ac:dyDescent="0.2">
      <c r="A51" s="221" t="s">
        <v>103</v>
      </c>
      <c r="B51" s="5" t="s">
        <v>150</v>
      </c>
      <c r="C51" s="1195"/>
    </row>
    <row r="52" spans="1:3" ht="12" customHeight="1" thickBot="1" x14ac:dyDescent="0.25">
      <c r="A52" s="221" t="s">
        <v>126</v>
      </c>
      <c r="B52" s="5" t="s">
        <v>151</v>
      </c>
      <c r="C52" s="1195"/>
    </row>
    <row r="53" spans="1:3" ht="12" customHeight="1" thickBot="1" x14ac:dyDescent="0.25">
      <c r="A53" s="77" t="s">
        <v>22</v>
      </c>
      <c r="B53" s="57" t="s">
        <v>364</v>
      </c>
      <c r="C53" s="1197">
        <f>SUM(C54:C56)</f>
        <v>230000</v>
      </c>
    </row>
    <row r="54" spans="1:3" s="230" customFormat="1" ht="12" customHeight="1" x14ac:dyDescent="0.2">
      <c r="A54" s="221" t="s">
        <v>106</v>
      </c>
      <c r="B54" s="6" t="s">
        <v>173</v>
      </c>
      <c r="C54" s="1194">
        <v>230000</v>
      </c>
    </row>
    <row r="55" spans="1:3" ht="12" customHeight="1" x14ac:dyDescent="0.2">
      <c r="A55" s="221" t="s">
        <v>107</v>
      </c>
      <c r="B55" s="5" t="s">
        <v>153</v>
      </c>
      <c r="C55" s="1195"/>
    </row>
    <row r="56" spans="1:3" ht="12" customHeight="1" x14ac:dyDescent="0.2">
      <c r="A56" s="221" t="s">
        <v>108</v>
      </c>
      <c r="B56" s="5" t="s">
        <v>60</v>
      </c>
      <c r="C56" s="1195"/>
    </row>
    <row r="57" spans="1:3" ht="12" customHeight="1" thickBot="1" x14ac:dyDescent="0.25">
      <c r="A57" s="221" t="s">
        <v>109</v>
      </c>
      <c r="B57" s="5" t="s">
        <v>527</v>
      </c>
      <c r="C57" s="1195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528</v>
      </c>
      <c r="C59" s="173">
        <f>+C47+C53+C58</f>
        <v>8838507</v>
      </c>
    </row>
    <row r="60" spans="1:3" ht="15" customHeight="1" thickBot="1" x14ac:dyDescent="0.25">
      <c r="C60" s="364"/>
    </row>
    <row r="61" spans="1:3" ht="14.25" customHeight="1" thickBot="1" x14ac:dyDescent="0.25">
      <c r="A61" s="102" t="s">
        <v>521</v>
      </c>
      <c r="B61" s="103"/>
      <c r="C61" s="484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C61"/>
  <sheetViews>
    <sheetView zoomScale="130" zoomScaleNormal="130" workbookViewId="0">
      <selection activeCell="D14" sqref="D14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65" customWidth="1"/>
    <col min="4" max="16384" width="9.33203125" style="1013"/>
  </cols>
  <sheetData>
    <row r="1" spans="1:3" x14ac:dyDescent="0.2">
      <c r="A1" s="1490" t="str">
        <f>CONCATENATE("9.2.2. melléklet ",[2]ALAPADATOK!A7," ",[2]ALAPADATOK!B7," ",[2]ALAPADATOK!C7," ",[2]ALAPADATOK!D7," ",[2]ALAPADATOK!E7," ",[2]ALAPADATOK!F7," ",[2]ALAPADATOK!G7," ",[2]ALAPADATOK!H7)</f>
        <v>9.2.2. melléklet a 14. / 2020. ( V.28.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225"/>
    </row>
    <row r="3" spans="1:3" s="226" customFormat="1" ht="35.25" customHeight="1" x14ac:dyDescent="0.2">
      <c r="A3" s="183" t="s">
        <v>167</v>
      </c>
      <c r="B3" s="162" t="s">
        <v>445</v>
      </c>
      <c r="C3" s="175" t="s">
        <v>62</v>
      </c>
    </row>
    <row r="4" spans="1:3" s="226" customFormat="1" ht="24.75" thickBot="1" x14ac:dyDescent="0.25">
      <c r="A4" s="219" t="s">
        <v>166</v>
      </c>
      <c r="B4" s="163" t="s">
        <v>366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197">
        <f>SUM(C10:C20)</f>
        <v>0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195"/>
    </row>
    <row r="12" spans="1:3" s="177" customFormat="1" ht="12" customHeight="1" x14ac:dyDescent="0.2">
      <c r="A12" s="221" t="s">
        <v>102</v>
      </c>
      <c r="B12" s="5" t="s">
        <v>225</v>
      </c>
      <c r="C12" s="1195"/>
    </row>
    <row r="13" spans="1:3" s="177" customFormat="1" ht="12" customHeight="1" x14ac:dyDescent="0.2">
      <c r="A13" s="221" t="s">
        <v>103</v>
      </c>
      <c r="B13" s="5" t="s">
        <v>226</v>
      </c>
      <c r="C13" s="1195"/>
    </row>
    <row r="14" spans="1:3" s="177" customFormat="1" ht="12" customHeight="1" x14ac:dyDescent="0.2">
      <c r="A14" s="221" t="s">
        <v>126</v>
      </c>
      <c r="B14" s="5" t="s">
        <v>227</v>
      </c>
      <c r="C14" s="1195"/>
    </row>
    <row r="15" spans="1:3" s="177" customFormat="1" ht="12" customHeight="1" x14ac:dyDescent="0.2">
      <c r="A15" s="221" t="s">
        <v>104</v>
      </c>
      <c r="B15" s="5" t="s">
        <v>348</v>
      </c>
      <c r="C15" s="1195"/>
    </row>
    <row r="16" spans="1:3" s="177" customFormat="1" ht="12" customHeight="1" x14ac:dyDescent="0.2">
      <c r="A16" s="221" t="s">
        <v>105</v>
      </c>
      <c r="B16" s="4" t="s">
        <v>349</v>
      </c>
      <c r="C16" s="1195"/>
    </row>
    <row r="17" spans="1:3" s="177" customFormat="1" ht="12" customHeight="1" x14ac:dyDescent="0.2">
      <c r="A17" s="221" t="s">
        <v>115</v>
      </c>
      <c r="B17" s="5" t="s">
        <v>230</v>
      </c>
      <c r="C17" s="132"/>
    </row>
    <row r="18" spans="1:3" s="229" customFormat="1" ht="12" customHeight="1" x14ac:dyDescent="0.2">
      <c r="A18" s="221" t="s">
        <v>116</v>
      </c>
      <c r="B18" s="5" t="s">
        <v>231</v>
      </c>
      <c r="C18" s="1195"/>
    </row>
    <row r="19" spans="1:3" s="229" customFormat="1" ht="12" customHeight="1" x14ac:dyDescent="0.2">
      <c r="A19" s="221" t="s">
        <v>117</v>
      </c>
      <c r="B19" s="5" t="s">
        <v>453</v>
      </c>
      <c r="C19" s="481"/>
    </row>
    <row r="20" spans="1:3" s="229" customFormat="1" ht="12" customHeight="1" thickBot="1" x14ac:dyDescent="0.25">
      <c r="A20" s="221" t="s">
        <v>118</v>
      </c>
      <c r="B20" s="4" t="s">
        <v>232</v>
      </c>
      <c r="C20" s="481"/>
    </row>
    <row r="21" spans="1:3" s="177" customFormat="1" ht="12" customHeight="1" thickBot="1" x14ac:dyDescent="0.25">
      <c r="A21" s="74" t="s">
        <v>22</v>
      </c>
      <c r="B21" s="91" t="s">
        <v>350</v>
      </c>
      <c r="C21" s="1197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195"/>
    </row>
    <row r="24" spans="1:3" s="229" customFormat="1" ht="12" customHeight="1" x14ac:dyDescent="0.2">
      <c r="A24" s="221" t="s">
        <v>108</v>
      </c>
      <c r="B24" s="5" t="s">
        <v>352</v>
      </c>
      <c r="C24" s="1200"/>
    </row>
    <row r="25" spans="1:3" s="229" customFormat="1" ht="12" customHeight="1" thickBot="1" x14ac:dyDescent="0.25">
      <c r="A25" s="221" t="s">
        <v>109</v>
      </c>
      <c r="B25" s="5" t="s">
        <v>524</v>
      </c>
      <c r="C25" s="1195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197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194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196"/>
    </row>
    <row r="32" spans="1:3" s="229" customFormat="1" ht="12" customHeight="1" thickBot="1" x14ac:dyDescent="0.25">
      <c r="A32" s="77" t="s">
        <v>25</v>
      </c>
      <c r="B32" s="57" t="s">
        <v>354</v>
      </c>
      <c r="C32" s="1197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1194"/>
    </row>
    <row r="34" spans="1:3" s="229" customFormat="1" ht="12" customHeight="1" x14ac:dyDescent="0.2">
      <c r="A34" s="222" t="s">
        <v>94</v>
      </c>
      <c r="B34" s="224" t="s">
        <v>238</v>
      </c>
      <c r="C34" s="132"/>
    </row>
    <row r="35" spans="1:3" s="229" customFormat="1" ht="12" customHeight="1" thickBot="1" x14ac:dyDescent="0.25">
      <c r="A35" s="221" t="s">
        <v>95</v>
      </c>
      <c r="B35" s="60" t="s">
        <v>239</v>
      </c>
      <c r="C35" s="1196"/>
    </row>
    <row r="36" spans="1:3" s="177" customFormat="1" ht="12" customHeight="1" thickBot="1" x14ac:dyDescent="0.25">
      <c r="A36" s="77" t="s">
        <v>26</v>
      </c>
      <c r="B36" s="57" t="s">
        <v>325</v>
      </c>
      <c r="C36" s="152"/>
    </row>
    <row r="37" spans="1:3" s="177" customFormat="1" ht="12" customHeight="1" thickBot="1" x14ac:dyDescent="0.25">
      <c r="A37" s="77" t="s">
        <v>27</v>
      </c>
      <c r="B37" s="57" t="s">
        <v>355</v>
      </c>
      <c r="C37" s="169"/>
    </row>
    <row r="38" spans="1:3" s="177" customFormat="1" ht="12" customHeight="1" thickBot="1" x14ac:dyDescent="0.25">
      <c r="A38" s="74" t="s">
        <v>28</v>
      </c>
      <c r="B38" s="57" t="s">
        <v>356</v>
      </c>
      <c r="C38" s="1198">
        <f>+C9+C21+C26+C27+C32+C36+C37</f>
        <v>0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198">
        <f>+C40+C41+C42</f>
        <v>0</v>
      </c>
    </row>
    <row r="40" spans="1:3" s="177" customFormat="1" ht="12" customHeight="1" x14ac:dyDescent="0.2">
      <c r="A40" s="222" t="s">
        <v>358</v>
      </c>
      <c r="B40" s="223" t="s">
        <v>182</v>
      </c>
      <c r="C40" s="1194"/>
    </row>
    <row r="41" spans="1:3" s="177" customFormat="1" ht="12" customHeight="1" x14ac:dyDescent="0.2">
      <c r="A41" s="222" t="s">
        <v>359</v>
      </c>
      <c r="B41" s="224" t="s">
        <v>9</v>
      </c>
      <c r="C41" s="132"/>
    </row>
    <row r="42" spans="1:3" s="229" customFormat="1" ht="12" customHeight="1" thickBot="1" x14ac:dyDescent="0.25">
      <c r="A42" s="221" t="s">
        <v>360</v>
      </c>
      <c r="B42" s="60" t="s">
        <v>361</v>
      </c>
      <c r="C42" s="1196"/>
    </row>
    <row r="43" spans="1:3" s="229" customFormat="1" ht="15" customHeight="1" thickBot="1" x14ac:dyDescent="0.25">
      <c r="A43" s="92" t="s">
        <v>30</v>
      </c>
      <c r="B43" s="93" t="s">
        <v>362</v>
      </c>
      <c r="C43" s="172">
        <f>+C38+C39</f>
        <v>0</v>
      </c>
    </row>
    <row r="44" spans="1:3" s="229" customFormat="1" ht="15" customHeight="1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s="228" customFormat="1" ht="16.5" customHeight="1" thickBot="1" x14ac:dyDescent="0.25">
      <c r="A46" s="98"/>
      <c r="B46" s="99" t="s">
        <v>59</v>
      </c>
      <c r="C46" s="172"/>
    </row>
    <row r="47" spans="1:3" s="230" customFormat="1" ht="12" customHeight="1" thickBot="1" x14ac:dyDescent="0.25">
      <c r="A47" s="77" t="s">
        <v>21</v>
      </c>
      <c r="B47" s="57" t="s">
        <v>363</v>
      </c>
      <c r="C47" s="1197">
        <f>SUM(C48:C52)</f>
        <v>0</v>
      </c>
    </row>
    <row r="48" spans="1:3" ht="12" customHeight="1" x14ac:dyDescent="0.2">
      <c r="A48" s="221" t="s">
        <v>100</v>
      </c>
      <c r="B48" s="6" t="s">
        <v>51</v>
      </c>
      <c r="C48" s="1199"/>
    </row>
    <row r="49" spans="1:3" ht="12" customHeight="1" x14ac:dyDescent="0.2">
      <c r="A49" s="221" t="s">
        <v>101</v>
      </c>
      <c r="B49" s="5" t="s">
        <v>149</v>
      </c>
      <c r="C49" s="1200"/>
    </row>
    <row r="50" spans="1:3" ht="12" customHeight="1" x14ac:dyDescent="0.2">
      <c r="A50" s="221" t="s">
        <v>102</v>
      </c>
      <c r="B50" s="5" t="s">
        <v>125</v>
      </c>
      <c r="C50" s="1200"/>
    </row>
    <row r="51" spans="1:3" ht="12" customHeight="1" x14ac:dyDescent="0.2">
      <c r="A51" s="221" t="s">
        <v>103</v>
      </c>
      <c r="B51" s="5" t="s">
        <v>150</v>
      </c>
      <c r="C51" s="1195"/>
    </row>
    <row r="52" spans="1:3" ht="12" customHeight="1" thickBot="1" x14ac:dyDescent="0.25">
      <c r="A52" s="221" t="s">
        <v>126</v>
      </c>
      <c r="B52" s="5" t="s">
        <v>151</v>
      </c>
      <c r="C52" s="1195"/>
    </row>
    <row r="53" spans="1:3" ht="12" customHeight="1" thickBot="1" x14ac:dyDescent="0.25">
      <c r="A53" s="77" t="s">
        <v>22</v>
      </c>
      <c r="B53" s="57" t="s">
        <v>364</v>
      </c>
      <c r="C53" s="1197">
        <f>SUM(C54:C56)</f>
        <v>0</v>
      </c>
    </row>
    <row r="54" spans="1:3" s="230" customFormat="1" ht="12" customHeight="1" x14ac:dyDescent="0.2">
      <c r="A54" s="221" t="s">
        <v>106</v>
      </c>
      <c r="B54" s="6" t="s">
        <v>173</v>
      </c>
      <c r="C54" s="1199"/>
    </row>
    <row r="55" spans="1:3" ht="12" customHeight="1" x14ac:dyDescent="0.2">
      <c r="A55" s="221" t="s">
        <v>107</v>
      </c>
      <c r="B55" s="5" t="s">
        <v>153</v>
      </c>
      <c r="C55" s="1195"/>
    </row>
    <row r="56" spans="1:3" ht="12" customHeight="1" x14ac:dyDescent="0.2">
      <c r="A56" s="221" t="s">
        <v>108</v>
      </c>
      <c r="B56" s="5" t="s">
        <v>60</v>
      </c>
      <c r="C56" s="1195"/>
    </row>
    <row r="57" spans="1:3" ht="12" customHeight="1" thickBot="1" x14ac:dyDescent="0.25">
      <c r="A57" s="221" t="s">
        <v>109</v>
      </c>
      <c r="B57" s="5" t="s">
        <v>527</v>
      </c>
      <c r="C57" s="1195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528</v>
      </c>
      <c r="C59" s="173">
        <f>+C47+C53+C58</f>
        <v>0</v>
      </c>
    </row>
    <row r="60" spans="1:3" ht="15" customHeight="1" thickBot="1" x14ac:dyDescent="0.25">
      <c r="C60" s="364"/>
    </row>
    <row r="61" spans="1:3" ht="14.25" customHeight="1" thickBot="1" x14ac:dyDescent="0.25">
      <c r="A61" s="102" t="s">
        <v>521</v>
      </c>
      <c r="B61" s="103"/>
      <c r="C61" s="48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topLeftCell="A43" zoomScale="115" zoomScaleNormal="115" workbookViewId="0">
      <selection activeCell="C48" sqref="C48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65" customWidth="1"/>
    <col min="4" max="16384" width="9.33203125" style="1013"/>
  </cols>
  <sheetData>
    <row r="1" spans="1:3" x14ac:dyDescent="0.2">
      <c r="A1" s="1490" t="str">
        <f>CONCATENATE("16. melléklet"," ",ALAPADATOK!A7," ",ALAPADATOK!B7," ",ALAPADATOK!C7," ",ALAPADATOK!D7," ",ALAPADATOK!E7," ",ALAPADATOK!F7," ",ALAPADATOK!G7," ",ALAPADATOK!H7)</f>
        <v>16. melléklet a 21 / 2020. ( IX.25.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225"/>
    </row>
    <row r="3" spans="1:3" s="226" customFormat="1" ht="33.75" customHeight="1" x14ac:dyDescent="0.2">
      <c r="A3" s="183" t="s">
        <v>167</v>
      </c>
      <c r="B3" s="162" t="s">
        <v>445</v>
      </c>
      <c r="C3" s="175" t="s">
        <v>62</v>
      </c>
    </row>
    <row r="4" spans="1:3" s="226" customFormat="1" ht="24.75" thickBot="1" x14ac:dyDescent="0.25">
      <c r="A4" s="219" t="s">
        <v>166</v>
      </c>
      <c r="B4" s="163" t="s">
        <v>529</v>
      </c>
      <c r="C4" s="176" t="s">
        <v>379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197">
        <f>SUM(C10:C20)</f>
        <v>6925000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195">
        <v>5000000</v>
      </c>
    </row>
    <row r="12" spans="1:3" s="177" customFormat="1" ht="12" customHeight="1" x14ac:dyDescent="0.2">
      <c r="A12" s="221" t="s">
        <v>102</v>
      </c>
      <c r="B12" s="5" t="s">
        <v>225</v>
      </c>
      <c r="C12" s="1195">
        <v>200000</v>
      </c>
    </row>
    <row r="13" spans="1:3" s="177" customFormat="1" ht="12" customHeight="1" x14ac:dyDescent="0.2">
      <c r="A13" s="221" t="s">
        <v>103</v>
      </c>
      <c r="B13" s="5" t="s">
        <v>226</v>
      </c>
      <c r="C13" s="1195"/>
    </row>
    <row r="14" spans="1:3" s="177" customFormat="1" ht="12" customHeight="1" x14ac:dyDescent="0.2">
      <c r="A14" s="221" t="s">
        <v>126</v>
      </c>
      <c r="B14" s="5" t="s">
        <v>227</v>
      </c>
      <c r="C14" s="1195"/>
    </row>
    <row r="15" spans="1:3" s="177" customFormat="1" ht="12" customHeight="1" x14ac:dyDescent="0.2">
      <c r="A15" s="221" t="s">
        <v>104</v>
      </c>
      <c r="B15" s="5" t="s">
        <v>348</v>
      </c>
      <c r="C15" s="1195">
        <v>1485000</v>
      </c>
    </row>
    <row r="16" spans="1:3" s="177" customFormat="1" ht="12" customHeight="1" x14ac:dyDescent="0.2">
      <c r="A16" s="221" t="s">
        <v>105</v>
      </c>
      <c r="B16" s="4" t="s">
        <v>349</v>
      </c>
      <c r="C16" s="1195"/>
    </row>
    <row r="17" spans="1:3" s="177" customFormat="1" ht="12" customHeight="1" x14ac:dyDescent="0.2">
      <c r="A17" s="221" t="s">
        <v>115</v>
      </c>
      <c r="B17" s="5" t="s">
        <v>230</v>
      </c>
      <c r="C17" s="132"/>
    </row>
    <row r="18" spans="1:3" s="229" customFormat="1" ht="12" customHeight="1" x14ac:dyDescent="0.2">
      <c r="A18" s="221" t="s">
        <v>116</v>
      </c>
      <c r="B18" s="5" t="s">
        <v>231</v>
      </c>
      <c r="C18" s="1195"/>
    </row>
    <row r="19" spans="1:3" s="229" customFormat="1" ht="12" customHeight="1" x14ac:dyDescent="0.2">
      <c r="A19" s="221" t="s">
        <v>117</v>
      </c>
      <c r="B19" s="5" t="s">
        <v>453</v>
      </c>
      <c r="C19" s="481"/>
    </row>
    <row r="20" spans="1:3" s="229" customFormat="1" ht="12" customHeight="1" thickBot="1" x14ac:dyDescent="0.25">
      <c r="A20" s="221" t="s">
        <v>118</v>
      </c>
      <c r="B20" s="4" t="s">
        <v>232</v>
      </c>
      <c r="C20" s="481">
        <v>240000</v>
      </c>
    </row>
    <row r="21" spans="1:3" s="177" customFormat="1" ht="12" customHeight="1" thickBot="1" x14ac:dyDescent="0.25">
      <c r="A21" s="74" t="s">
        <v>22</v>
      </c>
      <c r="B21" s="91" t="s">
        <v>350</v>
      </c>
      <c r="C21" s="1197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195"/>
    </row>
    <row r="24" spans="1:3" s="229" customFormat="1" ht="12" customHeight="1" x14ac:dyDescent="0.2">
      <c r="A24" s="221" t="s">
        <v>108</v>
      </c>
      <c r="B24" s="5" t="s">
        <v>352</v>
      </c>
      <c r="C24" s="1200"/>
    </row>
    <row r="25" spans="1:3" s="229" customFormat="1" ht="12" customHeight="1" thickBot="1" x14ac:dyDescent="0.25">
      <c r="A25" s="221" t="s">
        <v>109</v>
      </c>
      <c r="B25" s="5" t="s">
        <v>524</v>
      </c>
      <c r="C25" s="1195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197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194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196"/>
    </row>
    <row r="32" spans="1:3" s="229" customFormat="1" ht="12" customHeight="1" thickBot="1" x14ac:dyDescent="0.25">
      <c r="A32" s="77" t="s">
        <v>25</v>
      </c>
      <c r="B32" s="57" t="s">
        <v>354</v>
      </c>
      <c r="C32" s="1197">
        <f>+C33+C34+C35</f>
        <v>300000</v>
      </c>
    </row>
    <row r="33" spans="1:4" s="229" customFormat="1" ht="12" customHeight="1" x14ac:dyDescent="0.2">
      <c r="A33" s="222" t="s">
        <v>93</v>
      </c>
      <c r="B33" s="223" t="s">
        <v>237</v>
      </c>
      <c r="C33" s="1194"/>
    </row>
    <row r="34" spans="1:4" s="229" customFormat="1" ht="12" customHeight="1" x14ac:dyDescent="0.2">
      <c r="A34" s="222" t="s">
        <v>94</v>
      </c>
      <c r="B34" s="224" t="s">
        <v>238</v>
      </c>
      <c r="C34" s="132"/>
    </row>
    <row r="35" spans="1:4" s="229" customFormat="1" ht="12" customHeight="1" thickBot="1" x14ac:dyDescent="0.25">
      <c r="A35" s="221" t="s">
        <v>95</v>
      </c>
      <c r="B35" s="60" t="s">
        <v>239</v>
      </c>
      <c r="C35" s="1196">
        <v>300000</v>
      </c>
    </row>
    <row r="36" spans="1:4" s="177" customFormat="1" ht="12" customHeight="1" thickBot="1" x14ac:dyDescent="0.25">
      <c r="A36" s="77" t="s">
        <v>26</v>
      </c>
      <c r="B36" s="57" t="s">
        <v>325</v>
      </c>
      <c r="C36" s="152"/>
    </row>
    <row r="37" spans="1:4" s="177" customFormat="1" ht="12" customHeight="1" thickBot="1" x14ac:dyDescent="0.25">
      <c r="A37" s="77" t="s">
        <v>27</v>
      </c>
      <c r="B37" s="57" t="s">
        <v>355</v>
      </c>
      <c r="C37" s="169"/>
    </row>
    <row r="38" spans="1:4" s="177" customFormat="1" ht="12" customHeight="1" thickBot="1" x14ac:dyDescent="0.25">
      <c r="A38" s="74" t="s">
        <v>28</v>
      </c>
      <c r="B38" s="57" t="s">
        <v>356</v>
      </c>
      <c r="C38" s="1198">
        <f>+C9+C21+C26+C27+C32+C36+C37</f>
        <v>7225000</v>
      </c>
    </row>
    <row r="39" spans="1:4" s="177" customFormat="1" ht="12" customHeight="1" thickBot="1" x14ac:dyDescent="0.25">
      <c r="A39" s="92" t="s">
        <v>29</v>
      </c>
      <c r="B39" s="57" t="s">
        <v>357</v>
      </c>
      <c r="C39" s="1198">
        <f>+C40+C41+C42</f>
        <v>229445197</v>
      </c>
    </row>
    <row r="40" spans="1:4" s="177" customFormat="1" ht="12" customHeight="1" x14ac:dyDescent="0.2">
      <c r="A40" s="222" t="s">
        <v>358</v>
      </c>
      <c r="B40" s="223" t="s">
        <v>182</v>
      </c>
      <c r="C40" s="1194"/>
      <c r="D40" s="277"/>
    </row>
    <row r="41" spans="1:4" s="177" customFormat="1" ht="12" customHeight="1" x14ac:dyDescent="0.2">
      <c r="A41" s="222" t="s">
        <v>359</v>
      </c>
      <c r="B41" s="224" t="s">
        <v>9</v>
      </c>
      <c r="C41" s="132"/>
    </row>
    <row r="42" spans="1:4" s="229" customFormat="1" ht="12" customHeight="1" thickBot="1" x14ac:dyDescent="0.25">
      <c r="A42" s="221" t="s">
        <v>360</v>
      </c>
      <c r="B42" s="60" t="s">
        <v>361</v>
      </c>
      <c r="C42" s="1201">
        <f>229819790-1951795+1577202</f>
        <v>229445197</v>
      </c>
    </row>
    <row r="43" spans="1:4" s="229" customFormat="1" ht="15" customHeight="1" thickBot="1" x14ac:dyDescent="0.25">
      <c r="A43" s="92" t="s">
        <v>30</v>
      </c>
      <c r="B43" s="93" t="s">
        <v>362</v>
      </c>
      <c r="C43" s="172">
        <f>+C38+C39</f>
        <v>236670197</v>
      </c>
    </row>
    <row r="44" spans="1:4" s="229" customFormat="1" ht="15" customHeight="1" x14ac:dyDescent="0.2">
      <c r="A44" s="94"/>
      <c r="B44" s="95"/>
      <c r="C44" s="170"/>
    </row>
    <row r="45" spans="1:4" ht="13.5" thickBot="1" x14ac:dyDescent="0.25">
      <c r="A45" s="96"/>
      <c r="B45" s="97"/>
      <c r="C45" s="171"/>
    </row>
    <row r="46" spans="1:4" s="228" customFormat="1" ht="16.5" customHeight="1" thickBot="1" x14ac:dyDescent="0.25">
      <c r="A46" s="98"/>
      <c r="B46" s="99" t="s">
        <v>59</v>
      </c>
      <c r="C46" s="172"/>
    </row>
    <row r="47" spans="1:4" s="230" customFormat="1" ht="12" customHeight="1" thickBot="1" x14ac:dyDescent="0.25">
      <c r="A47" s="77" t="s">
        <v>21</v>
      </c>
      <c r="B47" s="57" t="s">
        <v>363</v>
      </c>
      <c r="C47" s="1197">
        <f>SUM(C48:C52)</f>
        <v>231852797</v>
      </c>
    </row>
    <row r="48" spans="1:4" ht="12" customHeight="1" x14ac:dyDescent="0.2">
      <c r="A48" s="221" t="s">
        <v>100</v>
      </c>
      <c r="B48" s="6" t="s">
        <v>51</v>
      </c>
      <c r="C48" s="1199">
        <f>160333055-1643792+926066</f>
        <v>159615329</v>
      </c>
    </row>
    <row r="49" spans="1:3" ht="12" customHeight="1" x14ac:dyDescent="0.2">
      <c r="A49" s="221" t="s">
        <v>101</v>
      </c>
      <c r="B49" s="5" t="s">
        <v>149</v>
      </c>
      <c r="C49" s="1200">
        <f>31982807-308003-556164</f>
        <v>31118640</v>
      </c>
    </row>
    <row r="50" spans="1:3" ht="12" customHeight="1" x14ac:dyDescent="0.2">
      <c r="A50" s="221" t="s">
        <v>102</v>
      </c>
      <c r="B50" s="5" t="s">
        <v>125</v>
      </c>
      <c r="C50" s="1200">
        <f>39911528+1207300</f>
        <v>41118828</v>
      </c>
    </row>
    <row r="51" spans="1:3" ht="12" customHeight="1" x14ac:dyDescent="0.2">
      <c r="A51" s="221" t="s">
        <v>103</v>
      </c>
      <c r="B51" s="5" t="s">
        <v>150</v>
      </c>
      <c r="C51" s="1195"/>
    </row>
    <row r="52" spans="1:3" ht="12" customHeight="1" thickBot="1" x14ac:dyDescent="0.25">
      <c r="A52" s="221" t="s">
        <v>126</v>
      </c>
      <c r="B52" s="5" t="s">
        <v>151</v>
      </c>
      <c r="C52" s="1195"/>
    </row>
    <row r="53" spans="1:3" ht="12" customHeight="1" thickBot="1" x14ac:dyDescent="0.25">
      <c r="A53" s="77" t="s">
        <v>22</v>
      </c>
      <c r="B53" s="57" t="s">
        <v>364</v>
      </c>
      <c r="C53" s="1197">
        <f>SUM(C54:C56)</f>
        <v>4817400</v>
      </c>
    </row>
    <row r="54" spans="1:3" s="230" customFormat="1" ht="12" customHeight="1" x14ac:dyDescent="0.2">
      <c r="A54" s="221" t="s">
        <v>106</v>
      </c>
      <c r="B54" s="6" t="s">
        <v>173</v>
      </c>
      <c r="C54" s="1194">
        <v>4817400</v>
      </c>
    </row>
    <row r="55" spans="1:3" ht="12" customHeight="1" x14ac:dyDescent="0.2">
      <c r="A55" s="221" t="s">
        <v>107</v>
      </c>
      <c r="B55" s="5" t="s">
        <v>153</v>
      </c>
      <c r="C55" s="1195"/>
    </row>
    <row r="56" spans="1:3" ht="12" customHeight="1" x14ac:dyDescent="0.2">
      <c r="A56" s="221" t="s">
        <v>108</v>
      </c>
      <c r="B56" s="5" t="s">
        <v>60</v>
      </c>
      <c r="C56" s="1195"/>
    </row>
    <row r="57" spans="1:3" ht="12" customHeight="1" thickBot="1" x14ac:dyDescent="0.25">
      <c r="A57" s="221" t="s">
        <v>109</v>
      </c>
      <c r="B57" s="5" t="s">
        <v>527</v>
      </c>
      <c r="C57" s="1195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528</v>
      </c>
      <c r="C59" s="173">
        <f>+C47+C53+C58</f>
        <v>236670197</v>
      </c>
    </row>
    <row r="60" spans="1:3" ht="15" customHeight="1" thickBot="1" x14ac:dyDescent="0.25">
      <c r="C60" s="364"/>
    </row>
    <row r="61" spans="1:3" ht="14.25" customHeight="1" thickBot="1" x14ac:dyDescent="0.25">
      <c r="A61" s="102" t="s">
        <v>521</v>
      </c>
      <c r="B61" s="103"/>
      <c r="C61" s="484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topLeftCell="A10" workbookViewId="0">
      <selection activeCell="H62" sqref="H62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33203125" style="1013"/>
    <col min="5" max="5" width="11.83203125" style="1037" hidden="1" customWidth="1"/>
    <col min="6" max="6" width="9.83203125" style="1037" hidden="1" customWidth="1"/>
    <col min="7" max="7" width="8" style="1013" customWidth="1"/>
    <col min="8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490" t="str">
        <f>CONCATENATE("17. melléklet"," ",ALAPADATOK!A7," ",ALAPADATOK!B7," ",ALAPADATOK!C7," ",ALAPADATOK!D7," ",ALAPADATOK!E7," ",ALAPADATOK!F7," ",ALAPADATOK!G7," ",ALAPADATOK!H7)</f>
        <v>17. melléklet a 21 / 2020. ( IX.25. ) önkormányzati rendelethez</v>
      </c>
      <c r="B1" s="1490"/>
      <c r="C1" s="1490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3" customHeight="1" x14ac:dyDescent="0.2">
      <c r="A3" s="183" t="s">
        <v>167</v>
      </c>
      <c r="B3" s="162" t="s">
        <v>404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166</v>
      </c>
      <c r="B4" s="163" t="s">
        <v>347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556</v>
      </c>
      <c r="E5" s="573"/>
      <c r="F5" s="573"/>
    </row>
    <row r="6" spans="1:6" ht="13.5" thickBot="1" x14ac:dyDescent="0.25">
      <c r="A6" s="184" t="s">
        <v>168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79" t="s">
        <v>449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523</v>
      </c>
      <c r="C9" s="674">
        <f>SUM(C10:C20)</f>
        <v>8511510</v>
      </c>
      <c r="E9" s="575">
        <f>'9.3.1. sz. mell EOI'!C9+'9.3.2.sz.mell EOI'!C9</f>
        <v>8511510</v>
      </c>
      <c r="F9" s="575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5"/>
      <c r="E10" s="575">
        <f>'9.3.1. sz. mell EOI'!C10+'9.3.2.sz.mell EOI'!C10</f>
        <v>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6">
        <v>600000</v>
      </c>
      <c r="E11" s="575">
        <f>'9.3.1. sz. mell EOI'!C11+'9.3.2.sz.mell EOI'!C11</f>
        <v>600000</v>
      </c>
      <c r="F11" s="575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6">
        <v>4600000</v>
      </c>
      <c r="E12" s="575">
        <f>'9.3.1. sz. mell EOI'!C12+'9.3.2.sz.mell EOI'!C12</f>
        <v>4600000</v>
      </c>
      <c r="F12" s="575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6"/>
      <c r="E13" s="575">
        <f>'9.3.1. sz. mell EOI'!C13+'9.3.2.sz.mell EOI'!C13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6">
        <f>1472860-259860</f>
        <v>1213000</v>
      </c>
      <c r="E14" s="575">
        <f>'9.3.1. sz. mell EOI'!C14+'9.3.2.sz.mell EOI'!C14</f>
        <v>1213000</v>
      </c>
      <c r="F14" s="575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6">
        <f>1801672-70162</f>
        <v>1731510</v>
      </c>
      <c r="E15" s="575">
        <f>'9.3.1. sz. mell EOI'!C15+'9.3.2.sz.mell EOI'!C15</f>
        <v>1731510</v>
      </c>
      <c r="F15" s="575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6">
        <v>366000</v>
      </c>
      <c r="E16" s="575">
        <f>'9.3.1. sz. mell EOI'!C16+'9.3.2.sz.mell EOI'!C16</f>
        <v>366000</v>
      </c>
      <c r="F16" s="575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7"/>
      <c r="E17" s="575">
        <f>'9.3.1. sz. mell EOI'!C17+'9.3.2.sz.mell EOI'!C17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6"/>
      <c r="E18" s="575">
        <f>'9.3.1. sz. mell EOI'!C18+'9.3.2.sz.mell EOI'!C18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8"/>
      <c r="E19" s="575">
        <f>'9.3.1. sz. mell EOI'!C19+'9.3.2.sz.mell EOI'!C19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8">
        <v>1000</v>
      </c>
      <c r="E20" s="575">
        <f>'9.3.1. sz. mell EOI'!C20+'9.3.2.sz.mell EOI'!C20</f>
        <v>1000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674">
        <f>SUM(C22:C24)</f>
        <v>0</v>
      </c>
      <c r="E21" s="575">
        <f>'9.3.1. sz. mell EOI'!C21+'9.3.2.sz.mell EOI'!C21</f>
        <v>0</v>
      </c>
      <c r="F21" s="575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79"/>
      <c r="E22" s="575">
        <f>'9.3.1. sz. mell EOI'!C22+'9.3.2.sz.mell EOI'!C22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6"/>
      <c r="E23" s="575">
        <f>'9.3.1. sz. mell EOI'!C23+'9.3.2.sz.mell EOI'!C23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680"/>
      <c r="E24" s="575">
        <f>'9.3.1. sz. mell EOI'!C24+'9.3.2.sz.mell EOI'!C24</f>
        <v>0</v>
      </c>
      <c r="F24" s="575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676"/>
      <c r="E25" s="575">
        <f>'9.3.1. sz. mell EOI'!C25+'9.3.2.sz.mell EOI'!C25</f>
        <v>0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1"/>
      <c r="E26" s="575">
        <f>'9.3.1. sz. mell EOI'!C26+'9.3.2.sz.mell EOI'!C26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  <c r="E27" s="575">
        <f>'9.3.1. sz. mell EOI'!C27+'9.3.2.sz.mell EOI'!C27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2"/>
      <c r="E28" s="575">
        <f>'9.3.1. sz. mell EOI'!C28+'9.3.2.sz.mell EOI'!C28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79"/>
      <c r="E29" s="575">
        <f>'9.3.1. sz. mell EOI'!C29+'9.3.2.sz.mell EOI'!C29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679"/>
      <c r="E30" s="575">
        <f>'9.3.1. sz. mell EOI'!C30+'9.3.2.sz.mell EOI'!C30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683"/>
      <c r="E31" s="575">
        <f>'9.3.1. sz. mell EOI'!C31+'9.3.2.sz.mell EOI'!C31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  <c r="E32" s="575">
        <f>'9.3.1. sz. mell EOI'!C32+'9.3.2.sz.mell EOI'!C32</f>
        <v>0</v>
      </c>
      <c r="F32" s="575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2"/>
      <c r="E33" s="575">
        <f>'9.3.1. sz. mell EOI'!C33+'9.3.2.sz.mell EOI'!C33</f>
        <v>0</v>
      </c>
      <c r="F33" s="575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7"/>
      <c r="E34" s="575">
        <f>'9.3.1. sz. mell EOI'!C34+'9.3.2.sz.mell EOI'!C34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3"/>
      <c r="E35" s="575">
        <f>'9.3.1. sz. mell EOI'!C35+'9.3.2.sz.mell EOI'!C35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681"/>
      <c r="E36" s="575">
        <f>'9.3.1. sz. mell EOI'!C36+'9.3.2.sz.mell EOI'!C36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4"/>
      <c r="E37" s="575">
        <f>'9.3.1. sz. mell EOI'!C37+'9.3.2.sz.mell EOI'!C37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8511510</v>
      </c>
      <c r="E38" s="575">
        <f>'9.3.1. sz. mell EOI'!C38+'9.3.2.sz.mell EOI'!C38</f>
        <v>8511510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685">
        <f>+C40+C41+C42</f>
        <v>328160001</v>
      </c>
      <c r="E39" s="575">
        <f>'9.3.1. sz. mell EOI'!C39+'9.3.2.sz.mell EOI'!C39</f>
        <v>328160001</v>
      </c>
      <c r="F39" s="575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2">
        <v>752726</v>
      </c>
      <c r="E40" s="575">
        <f>'9.3.1. sz. mell EOI'!C40+'9.3.2.sz.mell EOI'!C40</f>
        <v>752726</v>
      </c>
      <c r="F40" s="575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7"/>
      <c r="E41" s="575">
        <f>'9.3.1. sz. mell EOI'!C41+'9.3.2.sz.mell EOI'!C41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1201">
        <f>324957833-8876513+8124501+102000+2863661+235793</f>
        <v>327407275</v>
      </c>
      <c r="E42" s="575">
        <f>'9.3.1. sz. mell EOI'!C42+'9.3.2.sz.mell EOI'!C42</f>
        <v>327407275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686">
        <f>+C38+C39</f>
        <v>336671511</v>
      </c>
      <c r="E43" s="575">
        <f>'9.3.1. sz. mell EOI'!C43+'9.3.2.sz.mell EOI'!C43</f>
        <v>336671511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'9.3.1. sz. mell EOI'!C44+'9.3.2.sz.mell EOI'!C44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'9.3.1. sz. mell EOI'!C45+'9.3.2.sz.mell EOI'!C45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'9.3.1. sz. mell EOI'!C46+'9.3.2.sz.mell EOI'!C46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674">
        <f>SUM(C48:C52)</f>
        <v>335248961</v>
      </c>
      <c r="E47" s="575">
        <f>'9.3.1. sz. mell EOI'!C47+'9.3.2.sz.mell EOI'!C47</f>
        <v>335248961</v>
      </c>
      <c r="F47" s="575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1199">
        <f>200165718+7034200+2479360</f>
        <v>209679278</v>
      </c>
      <c r="E48" s="575">
        <f>'9.3.1. sz. mell EOI'!C48+'9.3.2.sz.mell EOI'!C48</f>
        <v>209679278</v>
      </c>
      <c r="F48" s="575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1200">
        <f>40236890+1090301+384301</f>
        <v>41711492</v>
      </c>
      <c r="E49" s="575">
        <f>'9.3.1. sz. mell EOI'!C49+'9.3.2.sz.mell EOI'!C49</f>
        <v>41711492</v>
      </c>
      <c r="F49" s="575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1200">
        <f>92726933-9206535+102000+235793</f>
        <v>83858191</v>
      </c>
      <c r="E50" s="575">
        <f>'9.3.1. sz. mell EOI'!C50+'9.3.2.sz.mell EOI'!C50</f>
        <v>83858191</v>
      </c>
      <c r="F50" s="575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6"/>
      <c r="E51" s="575">
        <f>'9.3.1. sz. mell EOI'!C51+'9.3.2.sz.mell EOI'!C51</f>
        <v>0</v>
      </c>
      <c r="F51" s="575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6"/>
      <c r="E52" s="575">
        <f>'9.3.1. sz. mell EOI'!C52+'9.3.2.sz.mell EOI'!C52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4">
        <f>SUM(C54:C56)</f>
        <v>1422550</v>
      </c>
      <c r="E53" s="575">
        <f>'9.3.1. sz. mell EOI'!C53+'9.3.2.sz.mell EOI'!C53</f>
        <v>1422550</v>
      </c>
      <c r="F53" s="575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682">
        <v>712620</v>
      </c>
      <c r="E54" s="575">
        <f>'9.3.1. sz. mell EOI'!C54+'9.3.2.sz.mell EOI'!C54</f>
        <v>712620</v>
      </c>
      <c r="F54" s="575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6">
        <v>709930</v>
      </c>
      <c r="E55" s="575">
        <f>'9.3.1. sz. mell EOI'!C55+'9.3.2.sz.mell EOI'!C55</f>
        <v>709930</v>
      </c>
      <c r="F55" s="575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6"/>
      <c r="E56" s="575">
        <f>'9.3.1. sz. mell EOI'!C56+'9.3.2.sz.mell EOI'!C56</f>
        <v>0</v>
      </c>
      <c r="F56" s="575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6"/>
      <c r="E57" s="575">
        <f>'9.3.1. sz. mell EOI'!C57+'9.3.2.sz.mell EOI'!C57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'9.3.1. sz. mell EOI'!C58+'9.3.2.sz.mell EOI'!C58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689">
        <f>+C47+C53+C58</f>
        <v>336671511</v>
      </c>
      <c r="E59" s="575">
        <f>'9.3.1. sz. mell EOI'!C59+'9.3.2.sz.mell EOI'!C59</f>
        <v>336671511</v>
      </c>
      <c r="F59" s="575">
        <f t="shared" si="0"/>
        <v>0</v>
      </c>
    </row>
    <row r="60" spans="1:6" ht="14.25" customHeight="1" thickBot="1" x14ac:dyDescent="0.25">
      <c r="C60" s="690"/>
      <c r="E60" s="575">
        <f>'9.3.1. sz. mell EOI'!C60+'9.3.2.sz.mell EOI'!C60</f>
        <v>0</v>
      </c>
      <c r="F60" s="575">
        <f t="shared" si="0"/>
        <v>0</v>
      </c>
    </row>
    <row r="61" spans="1:6" ht="13.5" thickBot="1" x14ac:dyDescent="0.25">
      <c r="A61" s="102" t="s">
        <v>521</v>
      </c>
      <c r="B61" s="103"/>
      <c r="C61" s="691">
        <v>55</v>
      </c>
      <c r="E61" s="575">
        <f>'9.3.1. sz. mell EOI'!C61+'9.3.2.sz.mell EOI'!C61</f>
        <v>55</v>
      </c>
      <c r="F61" s="575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topLeftCell="A34" workbookViewId="0">
      <selection activeCell="F20" sqref="F20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490" t="str">
        <f>CONCATENATE("18. melléklet"," ",ALAPADATOK!A7," ",ALAPADATOK!B7," ",ALAPADATOK!C7," ",ALAPADATOK!D7," ",ALAPADATOK!E7," ",ALAPADATOK!F7," ",ALAPADATOK!G7," ",ALAPADATOK!H7)</f>
        <v>18. melléklet a 21 / 2020. ( IX.25.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374"/>
    </row>
    <row r="3" spans="1:3" s="226" customFormat="1" ht="33.75" customHeight="1" x14ac:dyDescent="0.2">
      <c r="A3" s="183" t="s">
        <v>167</v>
      </c>
      <c r="B3" s="162" t="s">
        <v>404</v>
      </c>
      <c r="C3" s="375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6" t="s">
        <v>55</v>
      </c>
    </row>
    <row r="5" spans="1:3" s="227" customFormat="1" ht="15.95" customHeight="1" thickBot="1" x14ac:dyDescent="0.3">
      <c r="A5" s="84"/>
      <c r="B5" s="84"/>
      <c r="C5" s="377" t="s">
        <v>556</v>
      </c>
    </row>
    <row r="6" spans="1:3" ht="13.5" thickBot="1" x14ac:dyDescent="0.25">
      <c r="A6" s="184" t="s">
        <v>168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79" t="s">
        <v>449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523</v>
      </c>
      <c r="C9" s="674">
        <f>SUM(C10:C20)</f>
        <v>8511510</v>
      </c>
    </row>
    <row r="10" spans="1:3" s="177" customFormat="1" ht="12" customHeight="1" x14ac:dyDescent="0.2">
      <c r="A10" s="220" t="s">
        <v>100</v>
      </c>
      <c r="B10" s="7" t="s">
        <v>223</v>
      </c>
      <c r="C10" s="675"/>
    </row>
    <row r="11" spans="1:3" s="177" customFormat="1" ht="12" customHeight="1" x14ac:dyDescent="0.2">
      <c r="A11" s="221" t="s">
        <v>101</v>
      </c>
      <c r="B11" s="5" t="s">
        <v>224</v>
      </c>
      <c r="C11" s="676">
        <v>600000</v>
      </c>
    </row>
    <row r="12" spans="1:3" s="177" customFormat="1" ht="12" customHeight="1" x14ac:dyDescent="0.2">
      <c r="A12" s="221" t="s">
        <v>102</v>
      </c>
      <c r="B12" s="5" t="s">
        <v>225</v>
      </c>
      <c r="C12" s="676">
        <v>4600000</v>
      </c>
    </row>
    <row r="13" spans="1:3" s="177" customFormat="1" ht="12" customHeight="1" x14ac:dyDescent="0.2">
      <c r="A13" s="221" t="s">
        <v>103</v>
      </c>
      <c r="B13" s="5" t="s">
        <v>226</v>
      </c>
      <c r="C13" s="676"/>
    </row>
    <row r="14" spans="1:3" s="177" customFormat="1" ht="12" customHeight="1" x14ac:dyDescent="0.2">
      <c r="A14" s="221" t="s">
        <v>126</v>
      </c>
      <c r="B14" s="5" t="s">
        <v>227</v>
      </c>
      <c r="C14" s="676">
        <f>1472860-259860</f>
        <v>1213000</v>
      </c>
    </row>
    <row r="15" spans="1:3" s="177" customFormat="1" ht="12" customHeight="1" x14ac:dyDescent="0.2">
      <c r="A15" s="221" t="s">
        <v>104</v>
      </c>
      <c r="B15" s="5" t="s">
        <v>348</v>
      </c>
      <c r="C15" s="676">
        <f>1801672-70162</f>
        <v>1731510</v>
      </c>
    </row>
    <row r="16" spans="1:3" s="177" customFormat="1" ht="12" customHeight="1" x14ac:dyDescent="0.2">
      <c r="A16" s="221" t="s">
        <v>105</v>
      </c>
      <c r="B16" s="4" t="s">
        <v>349</v>
      </c>
      <c r="C16" s="676">
        <v>366000</v>
      </c>
    </row>
    <row r="17" spans="1:3" s="177" customFormat="1" ht="12" customHeight="1" x14ac:dyDescent="0.2">
      <c r="A17" s="221" t="s">
        <v>115</v>
      </c>
      <c r="B17" s="5" t="s">
        <v>230</v>
      </c>
      <c r="C17" s="677"/>
    </row>
    <row r="18" spans="1:3" s="229" customFormat="1" ht="12" customHeight="1" x14ac:dyDescent="0.2">
      <c r="A18" s="221" t="s">
        <v>116</v>
      </c>
      <c r="B18" s="5" t="s">
        <v>231</v>
      </c>
      <c r="C18" s="676"/>
    </row>
    <row r="19" spans="1:3" s="229" customFormat="1" ht="12" customHeight="1" x14ac:dyDescent="0.2">
      <c r="A19" s="221" t="s">
        <v>117</v>
      </c>
      <c r="B19" s="5" t="s">
        <v>453</v>
      </c>
      <c r="C19" s="678"/>
    </row>
    <row r="20" spans="1:3" s="229" customFormat="1" ht="12" customHeight="1" thickBot="1" x14ac:dyDescent="0.25">
      <c r="A20" s="221" t="s">
        <v>118</v>
      </c>
      <c r="B20" s="4" t="s">
        <v>232</v>
      </c>
      <c r="C20" s="678">
        <v>1000</v>
      </c>
    </row>
    <row r="21" spans="1:3" s="177" customFormat="1" ht="12" customHeight="1" thickBot="1" x14ac:dyDescent="0.25">
      <c r="A21" s="74" t="s">
        <v>22</v>
      </c>
      <c r="B21" s="91" t="s">
        <v>350</v>
      </c>
      <c r="C21" s="674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679"/>
    </row>
    <row r="23" spans="1:3" s="229" customFormat="1" ht="12" customHeight="1" x14ac:dyDescent="0.2">
      <c r="A23" s="221" t="s">
        <v>107</v>
      </c>
      <c r="B23" s="5" t="s">
        <v>351</v>
      </c>
      <c r="C23" s="676"/>
    </row>
    <row r="24" spans="1:3" s="229" customFormat="1" ht="12" customHeight="1" x14ac:dyDescent="0.2">
      <c r="A24" s="221" t="s">
        <v>108</v>
      </c>
      <c r="B24" s="5" t="s">
        <v>352</v>
      </c>
      <c r="C24" s="680"/>
    </row>
    <row r="25" spans="1:3" s="229" customFormat="1" ht="12" customHeight="1" thickBot="1" x14ac:dyDescent="0.25">
      <c r="A25" s="221" t="s">
        <v>109</v>
      </c>
      <c r="B25" s="5" t="s">
        <v>524</v>
      </c>
      <c r="C25" s="676"/>
    </row>
    <row r="26" spans="1:3" s="229" customFormat="1" ht="12" customHeight="1" thickBot="1" x14ac:dyDescent="0.25">
      <c r="A26" s="77" t="s">
        <v>23</v>
      </c>
      <c r="B26" s="57" t="s">
        <v>140</v>
      </c>
      <c r="C26" s="681"/>
    </row>
    <row r="27" spans="1:3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2"/>
    </row>
    <row r="29" spans="1:3" s="229" customFormat="1" ht="12" customHeight="1" x14ac:dyDescent="0.2">
      <c r="A29" s="222" t="s">
        <v>214</v>
      </c>
      <c r="B29" s="223" t="s">
        <v>351</v>
      </c>
      <c r="C29" s="679"/>
    </row>
    <row r="30" spans="1:3" s="229" customFormat="1" ht="12" customHeight="1" x14ac:dyDescent="0.2">
      <c r="A30" s="222" t="s">
        <v>215</v>
      </c>
      <c r="B30" s="224" t="s">
        <v>353</v>
      </c>
      <c r="C30" s="679"/>
    </row>
    <row r="31" spans="1:3" s="229" customFormat="1" ht="12" customHeight="1" thickBot="1" x14ac:dyDescent="0.25">
      <c r="A31" s="221" t="s">
        <v>216</v>
      </c>
      <c r="B31" s="60" t="s">
        <v>526</v>
      </c>
      <c r="C31" s="683"/>
    </row>
    <row r="32" spans="1:3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2"/>
    </row>
    <row r="34" spans="1:3" s="229" customFormat="1" ht="12" customHeight="1" x14ac:dyDescent="0.2">
      <c r="A34" s="222" t="s">
        <v>94</v>
      </c>
      <c r="B34" s="224" t="s">
        <v>238</v>
      </c>
      <c r="C34" s="677"/>
    </row>
    <row r="35" spans="1:3" s="177" customFormat="1" ht="12" customHeight="1" thickBot="1" x14ac:dyDescent="0.25">
      <c r="A35" s="221" t="s">
        <v>95</v>
      </c>
      <c r="B35" s="60" t="s">
        <v>239</v>
      </c>
      <c r="C35" s="683"/>
    </row>
    <row r="36" spans="1:3" s="177" customFormat="1" ht="12" customHeight="1" thickBot="1" x14ac:dyDescent="0.25">
      <c r="A36" s="77" t="s">
        <v>26</v>
      </c>
      <c r="B36" s="57" t="s">
        <v>325</v>
      </c>
      <c r="C36" s="681"/>
    </row>
    <row r="37" spans="1:3" s="177" customFormat="1" ht="12" customHeight="1" thickBot="1" x14ac:dyDescent="0.25">
      <c r="A37" s="77" t="s">
        <v>27</v>
      </c>
      <c r="B37" s="57" t="s">
        <v>355</v>
      </c>
      <c r="C37" s="684"/>
    </row>
    <row r="38" spans="1:3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8511510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5">
        <f>+C40+C41+C42</f>
        <v>328160001</v>
      </c>
    </row>
    <row r="40" spans="1:3" s="177" customFormat="1" ht="12" customHeight="1" x14ac:dyDescent="0.2">
      <c r="A40" s="222" t="s">
        <v>358</v>
      </c>
      <c r="B40" s="223" t="s">
        <v>182</v>
      </c>
      <c r="C40" s="682">
        <v>752726</v>
      </c>
    </row>
    <row r="41" spans="1:3" s="229" customFormat="1" ht="12" customHeight="1" x14ac:dyDescent="0.2">
      <c r="A41" s="222" t="s">
        <v>359</v>
      </c>
      <c r="B41" s="224" t="s">
        <v>9</v>
      </c>
      <c r="C41" s="677"/>
    </row>
    <row r="42" spans="1:3" s="229" customFormat="1" ht="15" customHeight="1" thickBot="1" x14ac:dyDescent="0.25">
      <c r="A42" s="221" t="s">
        <v>360</v>
      </c>
      <c r="B42" s="60" t="s">
        <v>361</v>
      </c>
      <c r="C42" s="683">
        <f>324957833-8876513+8124501+102000+2863661+235793</f>
        <v>327407275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686">
        <f>+C38+C39</f>
        <v>336671511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363</v>
      </c>
      <c r="C47" s="674">
        <f>SUM(C48:C52)</f>
        <v>335248961</v>
      </c>
    </row>
    <row r="48" spans="1:3" ht="12" customHeight="1" x14ac:dyDescent="0.2">
      <c r="A48" s="221" t="s">
        <v>100</v>
      </c>
      <c r="B48" s="6" t="s">
        <v>51</v>
      </c>
      <c r="C48" s="682">
        <f>200165718+7034200+2479360</f>
        <v>209679278</v>
      </c>
    </row>
    <row r="49" spans="1:3" ht="12" customHeight="1" x14ac:dyDescent="0.2">
      <c r="A49" s="221" t="s">
        <v>101</v>
      </c>
      <c r="B49" s="5" t="s">
        <v>149</v>
      </c>
      <c r="C49" s="676">
        <f>40236890+1090301+384301</f>
        <v>41711492</v>
      </c>
    </row>
    <row r="50" spans="1:3" ht="12" customHeight="1" x14ac:dyDescent="0.2">
      <c r="A50" s="221" t="s">
        <v>102</v>
      </c>
      <c r="B50" s="5" t="s">
        <v>125</v>
      </c>
      <c r="C50" s="676">
        <f>92726933-9206535+102000+235793</f>
        <v>83858191</v>
      </c>
    </row>
    <row r="51" spans="1:3" ht="12" customHeight="1" x14ac:dyDescent="0.2">
      <c r="A51" s="221" t="s">
        <v>103</v>
      </c>
      <c r="B51" s="5" t="s">
        <v>150</v>
      </c>
      <c r="C51" s="676"/>
    </row>
    <row r="52" spans="1:3" ht="12" customHeight="1" thickBot="1" x14ac:dyDescent="0.25">
      <c r="A52" s="221" t="s">
        <v>126</v>
      </c>
      <c r="B52" s="5" t="s">
        <v>151</v>
      </c>
      <c r="C52" s="676"/>
    </row>
    <row r="53" spans="1:3" s="230" customFormat="1" ht="12" customHeight="1" thickBot="1" x14ac:dyDescent="0.25">
      <c r="A53" s="77" t="s">
        <v>22</v>
      </c>
      <c r="B53" s="57" t="s">
        <v>364</v>
      </c>
      <c r="C53" s="674">
        <f>SUM(C54:C56)</f>
        <v>1422550</v>
      </c>
    </row>
    <row r="54" spans="1:3" ht="12" customHeight="1" x14ac:dyDescent="0.2">
      <c r="A54" s="221" t="s">
        <v>106</v>
      </c>
      <c r="B54" s="6" t="s">
        <v>173</v>
      </c>
      <c r="C54" s="682">
        <v>712620</v>
      </c>
    </row>
    <row r="55" spans="1:3" ht="12" customHeight="1" x14ac:dyDescent="0.2">
      <c r="A55" s="221" t="s">
        <v>107</v>
      </c>
      <c r="B55" s="5" t="s">
        <v>153</v>
      </c>
      <c r="C55" s="676">
        <v>709930</v>
      </c>
    </row>
    <row r="56" spans="1:3" ht="12" customHeight="1" x14ac:dyDescent="0.2">
      <c r="A56" s="221" t="s">
        <v>108</v>
      </c>
      <c r="B56" s="5" t="s">
        <v>60</v>
      </c>
      <c r="C56" s="676"/>
    </row>
    <row r="57" spans="1:3" ht="15" customHeight="1" thickBot="1" x14ac:dyDescent="0.25">
      <c r="A57" s="221" t="s">
        <v>109</v>
      </c>
      <c r="B57" s="5" t="s">
        <v>527</v>
      </c>
      <c r="C57" s="676"/>
    </row>
    <row r="58" spans="1:3" ht="13.5" thickBot="1" x14ac:dyDescent="0.25">
      <c r="A58" s="77" t="s">
        <v>23</v>
      </c>
      <c r="B58" s="57" t="s">
        <v>15</v>
      </c>
      <c r="C58" s="681"/>
    </row>
    <row r="59" spans="1:3" ht="15" customHeight="1" thickBot="1" x14ac:dyDescent="0.25">
      <c r="A59" s="77" t="s">
        <v>24</v>
      </c>
      <c r="B59" s="100" t="s">
        <v>528</v>
      </c>
      <c r="C59" s="689">
        <f>+C47+C53+C58</f>
        <v>336671511</v>
      </c>
    </row>
    <row r="60" spans="1:3" ht="14.25" customHeight="1" thickBot="1" x14ac:dyDescent="0.25">
      <c r="C60" s="690"/>
    </row>
    <row r="61" spans="1:3" ht="13.5" thickBot="1" x14ac:dyDescent="0.25">
      <c r="A61" s="102" t="s">
        <v>521</v>
      </c>
      <c r="B61" s="103"/>
      <c r="C61" s="691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zoomScaleSheetLayoutView="100" workbookViewId="0">
      <selection sqref="A1:C1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9.33203125" style="190" hidden="1" customWidth="1"/>
    <col min="5" max="5" width="15.83203125" style="190" hidden="1" customWidth="1"/>
    <col min="6" max="6" width="21.83203125" style="190" hidden="1" customWidth="1"/>
    <col min="7" max="16384" width="9.33203125" style="190"/>
  </cols>
  <sheetData>
    <row r="1" spans="1:6" s="849" customFormat="1" x14ac:dyDescent="0.25">
      <c r="A1" s="1443" t="str">
        <f>CONCATENATE("2. melléklet"," ",ALAPADATOK!A7," ",ALAPADATOK!B7," ",ALAPADATOK!C7," ",ALAPADATOK!D7," ",ALAPADATOK!E7," ",ALAPADATOK!F7," ",ALAPADATOK!G7," ",ALAPADATOK!H7)</f>
        <v>2. melléklet a 21 / 2020. ( IX.25. ) önkormányzati rendelethez</v>
      </c>
      <c r="B1" s="1443"/>
      <c r="C1" s="1443"/>
    </row>
    <row r="2" spans="1:6" s="1078" customFormat="1" x14ac:dyDescent="0.25">
      <c r="A2" s="904"/>
      <c r="B2" s="904"/>
      <c r="C2" s="904"/>
    </row>
    <row r="3" spans="1:6" s="849" customFormat="1" x14ac:dyDescent="0.25">
      <c r="A3" s="1441" t="str">
        <f>CONCATENATE(ALAPADATOK!A3)</f>
        <v>Tiszavasvári Város Önkormányzat</v>
      </c>
      <c r="B3" s="1441"/>
      <c r="C3" s="1441"/>
    </row>
    <row r="4" spans="1:6" s="849" customFormat="1" x14ac:dyDescent="0.25">
      <c r="A4" s="1442" t="str">
        <f>CONCATENATE(ALAPADATOK!D7," ÉVI KÖLTSÉGVETÉS")</f>
        <v>2020. ÉVI KÖLTSÉGVETÉS</v>
      </c>
      <c r="B4" s="1442"/>
      <c r="C4" s="1442"/>
    </row>
    <row r="5" spans="1:6" s="849" customFormat="1" x14ac:dyDescent="0.25">
      <c r="A5" s="1442" t="s">
        <v>892</v>
      </c>
      <c r="B5" s="1442"/>
      <c r="C5" s="1442"/>
    </row>
    <row r="6" spans="1:6" s="849" customFormat="1" x14ac:dyDescent="0.25">
      <c r="A6" s="848"/>
      <c r="B6" s="848"/>
      <c r="C6" s="312"/>
    </row>
    <row r="7" spans="1:6" ht="15.95" customHeight="1" x14ac:dyDescent="0.25">
      <c r="A7" s="1445" t="s">
        <v>18</v>
      </c>
      <c r="B7" s="1445"/>
      <c r="C7" s="1445"/>
    </row>
    <row r="8" spans="1:6" ht="15.95" customHeight="1" thickBot="1" x14ac:dyDescent="0.3">
      <c r="A8" s="1444" t="s">
        <v>129</v>
      </c>
      <c r="B8" s="1444"/>
      <c r="C8" s="126" t="s">
        <v>555</v>
      </c>
    </row>
    <row r="9" spans="1:6" ht="38.1" customHeight="1" thickBot="1" x14ac:dyDescent="0.3">
      <c r="A9" s="20" t="s">
        <v>72</v>
      </c>
      <c r="B9" s="21" t="s">
        <v>20</v>
      </c>
      <c r="C9" s="29" t="s">
        <v>787</v>
      </c>
      <c r="D9" s="179" t="s">
        <v>561</v>
      </c>
      <c r="E9" s="179" t="s">
        <v>562</v>
      </c>
      <c r="F9" s="179" t="s">
        <v>563</v>
      </c>
    </row>
    <row r="10" spans="1:6" s="191" customFormat="1" ht="12" customHeight="1" thickBot="1" x14ac:dyDescent="0.25">
      <c r="A10" s="185" t="s">
        <v>447</v>
      </c>
      <c r="B10" s="186" t="s">
        <v>448</v>
      </c>
      <c r="C10" s="187" t="s">
        <v>449</v>
      </c>
    </row>
    <row r="11" spans="1:6" s="192" customFormat="1" ht="12" customHeight="1" thickBot="1" x14ac:dyDescent="0.25">
      <c r="A11" s="17" t="s">
        <v>21</v>
      </c>
      <c r="B11" s="18" t="s">
        <v>195</v>
      </c>
      <c r="C11" s="117">
        <f t="shared" ref="C11:C76" si="0">SUM(D11:F11)</f>
        <v>1296574692</v>
      </c>
      <c r="D11" s="282">
        <f>+D12+D13+D14+D17+D18+D19</f>
        <v>1296574692</v>
      </c>
      <c r="E11" s="117">
        <f>+E12+E13+E14+E17+E18+E19</f>
        <v>0</v>
      </c>
      <c r="F11" s="117">
        <f>+F12+F13+F14+F17+F18+F19</f>
        <v>0</v>
      </c>
    </row>
    <row r="12" spans="1:6" s="192" customFormat="1" ht="12" customHeight="1" x14ac:dyDescent="0.2">
      <c r="A12" s="12" t="s">
        <v>100</v>
      </c>
      <c r="B12" s="193" t="s">
        <v>196</v>
      </c>
      <c r="C12" s="304">
        <f t="shared" si="0"/>
        <v>257758444</v>
      </c>
      <c r="D12" s="286">
        <f>229318994+27629700+809750</f>
        <v>257758444</v>
      </c>
      <c r="E12" s="231"/>
      <c r="F12" s="231"/>
    </row>
    <row r="13" spans="1:6" s="192" customFormat="1" ht="12" customHeight="1" x14ac:dyDescent="0.2">
      <c r="A13" s="11" t="s">
        <v>101</v>
      </c>
      <c r="B13" s="194" t="s">
        <v>197</v>
      </c>
      <c r="C13" s="305">
        <f t="shared" si="0"/>
        <v>246915579</v>
      </c>
      <c r="D13" s="267">
        <f>229603230+17312349</f>
        <v>246915579</v>
      </c>
      <c r="E13" s="121"/>
      <c r="F13" s="121"/>
    </row>
    <row r="14" spans="1:6" s="192" customFormat="1" ht="12" customHeight="1" x14ac:dyDescent="0.2">
      <c r="A14" s="11" t="s">
        <v>102</v>
      </c>
      <c r="B14" s="194" t="s">
        <v>999</v>
      </c>
      <c r="C14" s="305">
        <f t="shared" si="0"/>
        <v>619801644</v>
      </c>
      <c r="D14" s="267">
        <f>SUM(D15:D16)</f>
        <v>619801644</v>
      </c>
      <c r="E14" s="121"/>
      <c r="F14" s="121"/>
    </row>
    <row r="15" spans="1:6" s="192" customFormat="1" ht="12" customHeight="1" x14ac:dyDescent="0.2">
      <c r="A15" s="11" t="s">
        <v>997</v>
      </c>
      <c r="B15" s="194" t="s">
        <v>1000</v>
      </c>
      <c r="C15" s="1140">
        <f t="shared" si="0"/>
        <v>429893602</v>
      </c>
      <c r="D15" s="1014">
        <f>415622102+9775700+4495800</f>
        <v>429893602</v>
      </c>
      <c r="E15" s="121"/>
      <c r="F15" s="121"/>
    </row>
    <row r="16" spans="1:6" s="192" customFormat="1" ht="12" customHeight="1" x14ac:dyDescent="0.2">
      <c r="A16" s="11" t="s">
        <v>998</v>
      </c>
      <c r="B16" s="194" t="s">
        <v>1001</v>
      </c>
      <c r="C16" s="305">
        <f t="shared" si="0"/>
        <v>189908042</v>
      </c>
      <c r="D16" s="121">
        <f>186127562+3780480</f>
        <v>189908042</v>
      </c>
      <c r="E16" s="121"/>
      <c r="F16" s="121"/>
    </row>
    <row r="17" spans="1:6" s="192" customFormat="1" ht="12" customHeight="1" x14ac:dyDescent="0.2">
      <c r="A17" s="11" t="s">
        <v>103</v>
      </c>
      <c r="B17" s="194" t="s">
        <v>199</v>
      </c>
      <c r="C17" s="305">
        <f t="shared" si="0"/>
        <v>39550749</v>
      </c>
      <c r="D17" s="267">
        <f>20802409+12622000+477000+5649340</f>
        <v>39550749</v>
      </c>
      <c r="E17" s="121"/>
      <c r="F17" s="121"/>
    </row>
    <row r="18" spans="1:6" s="192" customFormat="1" ht="12" customHeight="1" x14ac:dyDescent="0.2">
      <c r="A18" s="11" t="s">
        <v>126</v>
      </c>
      <c r="B18" s="113" t="s">
        <v>450</v>
      </c>
      <c r="C18" s="305">
        <f t="shared" si="0"/>
        <v>132548276</v>
      </c>
      <c r="D18" s="267">
        <f>163087316+308+580+530-539760-98930-300000-2934065+899997-27567700</f>
        <v>132548276</v>
      </c>
      <c r="E18" s="121"/>
      <c r="F18" s="121"/>
    </row>
    <row r="19" spans="1:6" s="192" customFormat="1" ht="12" customHeight="1" thickBot="1" x14ac:dyDescent="0.25">
      <c r="A19" s="13" t="s">
        <v>104</v>
      </c>
      <c r="B19" s="114" t="s">
        <v>451</v>
      </c>
      <c r="C19" s="309">
        <f t="shared" si="0"/>
        <v>0</v>
      </c>
      <c r="D19" s="106"/>
      <c r="E19" s="118"/>
      <c r="F19" s="118"/>
    </row>
    <row r="20" spans="1:6" s="192" customFormat="1" ht="12" customHeight="1" thickBot="1" x14ac:dyDescent="0.25">
      <c r="A20" s="17" t="s">
        <v>22</v>
      </c>
      <c r="B20" s="112" t="s">
        <v>200</v>
      </c>
      <c r="C20" s="117">
        <f t="shared" si="0"/>
        <v>127348886</v>
      </c>
      <c r="D20" s="282">
        <f>+D21+D22+D23+D24+D25</f>
        <v>106384280</v>
      </c>
      <c r="E20" s="117">
        <f>+E21+E22+E23+E24+E25</f>
        <v>0</v>
      </c>
      <c r="F20" s="117">
        <f>+F21+F22+F23+F24+F25</f>
        <v>20964606</v>
      </c>
    </row>
    <row r="21" spans="1:6" s="192" customFormat="1" ht="12" customHeight="1" x14ac:dyDescent="0.2">
      <c r="A21" s="12" t="s">
        <v>106</v>
      </c>
      <c r="B21" s="193" t="s">
        <v>201</v>
      </c>
      <c r="C21" s="188">
        <f t="shared" si="0"/>
        <v>0</v>
      </c>
      <c r="D21" s="284"/>
      <c r="E21" s="119"/>
      <c r="F21" s="119"/>
    </row>
    <row r="22" spans="1:6" s="192" customFormat="1" ht="12" customHeight="1" x14ac:dyDescent="0.2">
      <c r="A22" s="11" t="s">
        <v>107</v>
      </c>
      <c r="B22" s="194" t="s">
        <v>202</v>
      </c>
      <c r="C22" s="308">
        <f t="shared" si="0"/>
        <v>0</v>
      </c>
      <c r="D22" s="106"/>
      <c r="E22" s="118"/>
      <c r="F22" s="118"/>
    </row>
    <row r="23" spans="1:6" s="192" customFormat="1" ht="12" customHeight="1" x14ac:dyDescent="0.2">
      <c r="A23" s="11" t="s">
        <v>108</v>
      </c>
      <c r="B23" s="194" t="s">
        <v>370</v>
      </c>
      <c r="C23" s="308">
        <f t="shared" si="0"/>
        <v>0</v>
      </c>
      <c r="D23" s="106"/>
      <c r="E23" s="118"/>
      <c r="F23" s="118"/>
    </row>
    <row r="24" spans="1:6" s="192" customFormat="1" ht="12" customHeight="1" x14ac:dyDescent="0.2">
      <c r="A24" s="11" t="s">
        <v>109</v>
      </c>
      <c r="B24" s="194" t="s">
        <v>371</v>
      </c>
      <c r="C24" s="308">
        <f t="shared" si="0"/>
        <v>0</v>
      </c>
      <c r="D24" s="106"/>
      <c r="E24" s="118"/>
      <c r="F24" s="118"/>
    </row>
    <row r="25" spans="1:6" s="192" customFormat="1" ht="12" customHeight="1" x14ac:dyDescent="0.2">
      <c r="A25" s="11" t="s">
        <v>110</v>
      </c>
      <c r="B25" s="194" t="s">
        <v>203</v>
      </c>
      <c r="C25" s="1140">
        <f t="shared" si="0"/>
        <v>127348886</v>
      </c>
      <c r="D25" s="267">
        <f>118106430+1540460-13262610</f>
        <v>106384280</v>
      </c>
      <c r="E25" s="269"/>
      <c r="F25" s="121">
        <f>9346560+11259187+358859</f>
        <v>20964606</v>
      </c>
    </row>
    <row r="26" spans="1:6" s="192" customFormat="1" ht="12" customHeight="1" thickBot="1" x14ac:dyDescent="0.25">
      <c r="A26" s="13" t="s">
        <v>119</v>
      </c>
      <c r="B26" s="114" t="s">
        <v>204</v>
      </c>
      <c r="C26" s="1381">
        <f t="shared" si="0"/>
        <v>123028886</v>
      </c>
      <c r="D26" s="107">
        <f>16392698+36497760+60895972+1540460-13262610</f>
        <v>102064280</v>
      </c>
      <c r="E26" s="182"/>
      <c r="F26" s="182">
        <f>9346560+11259187+358859</f>
        <v>20964606</v>
      </c>
    </row>
    <row r="27" spans="1:6" s="192" customFormat="1" ht="12" customHeight="1" thickBot="1" x14ac:dyDescent="0.25">
      <c r="A27" s="17" t="s">
        <v>23</v>
      </c>
      <c r="B27" s="18" t="s">
        <v>205</v>
      </c>
      <c r="C27" s="117">
        <f t="shared" si="0"/>
        <v>34443984</v>
      </c>
      <c r="D27" s="282">
        <f>+D28+D29+D30+D31+D32</f>
        <v>34443984</v>
      </c>
      <c r="E27" s="117">
        <f>+E28+E29+E30+E31+E32</f>
        <v>0</v>
      </c>
      <c r="F27" s="117">
        <f>+F28+F29+F30+F31+F32</f>
        <v>0</v>
      </c>
    </row>
    <row r="28" spans="1:6" s="192" customFormat="1" ht="12" customHeight="1" x14ac:dyDescent="0.2">
      <c r="A28" s="12" t="s">
        <v>89</v>
      </c>
      <c r="B28" s="193" t="s">
        <v>206</v>
      </c>
      <c r="C28" s="188">
        <f t="shared" si="0"/>
        <v>0</v>
      </c>
      <c r="D28" s="286"/>
      <c r="E28" s="266"/>
      <c r="F28" s="589"/>
    </row>
    <row r="29" spans="1:6" s="192" customFormat="1" ht="12" customHeight="1" x14ac:dyDescent="0.2">
      <c r="A29" s="11" t="s">
        <v>90</v>
      </c>
      <c r="B29" s="194" t="s">
        <v>207</v>
      </c>
      <c r="C29" s="308">
        <f t="shared" si="0"/>
        <v>0</v>
      </c>
      <c r="D29" s="267"/>
      <c r="E29" s="121"/>
      <c r="F29" s="121"/>
    </row>
    <row r="30" spans="1:6" s="192" customFormat="1" ht="12" customHeight="1" x14ac:dyDescent="0.2">
      <c r="A30" s="11" t="s">
        <v>91</v>
      </c>
      <c r="B30" s="194" t="s">
        <v>372</v>
      </c>
      <c r="C30" s="308">
        <f t="shared" si="0"/>
        <v>0</v>
      </c>
      <c r="D30" s="267"/>
      <c r="E30" s="121"/>
      <c r="F30" s="121"/>
    </row>
    <row r="31" spans="1:6" s="192" customFormat="1" ht="12" customHeight="1" x14ac:dyDescent="0.2">
      <c r="A31" s="11" t="s">
        <v>92</v>
      </c>
      <c r="B31" s="194" t="s">
        <v>373</v>
      </c>
      <c r="C31" s="308">
        <f t="shared" si="0"/>
        <v>0</v>
      </c>
      <c r="D31" s="267"/>
      <c r="E31" s="121"/>
      <c r="F31" s="121"/>
    </row>
    <row r="32" spans="1:6" s="192" customFormat="1" ht="12" customHeight="1" x14ac:dyDescent="0.2">
      <c r="A32" s="11" t="s">
        <v>137</v>
      </c>
      <c r="B32" s="194" t="s">
        <v>208</v>
      </c>
      <c r="C32" s="1140">
        <f t="shared" si="0"/>
        <v>34443984</v>
      </c>
      <c r="D32" s="267">
        <f>36977634-2533650</f>
        <v>34443984</v>
      </c>
      <c r="E32" s="121"/>
      <c r="F32" s="121"/>
    </row>
    <row r="33" spans="1:6" s="192" customFormat="1" ht="12" customHeight="1" thickBot="1" x14ac:dyDescent="0.25">
      <c r="A33" s="13" t="s">
        <v>138</v>
      </c>
      <c r="B33" s="195" t="s">
        <v>209</v>
      </c>
      <c r="C33" s="1381">
        <f t="shared" si="0"/>
        <v>34443984</v>
      </c>
      <c r="D33" s="271">
        <f>36977634-2533650</f>
        <v>34443984</v>
      </c>
      <c r="E33" s="182"/>
      <c r="F33" s="182"/>
    </row>
    <row r="34" spans="1:6" s="192" customFormat="1" ht="12" customHeight="1" thickBot="1" x14ac:dyDescent="0.25">
      <c r="A34" s="17" t="s">
        <v>139</v>
      </c>
      <c r="B34" s="18" t="s">
        <v>656</v>
      </c>
      <c r="C34" s="117">
        <f t="shared" si="0"/>
        <v>503000000</v>
      </c>
      <c r="D34" s="285">
        <f>+D35+D39+D40+D41</f>
        <v>503000000</v>
      </c>
      <c r="E34" s="122">
        <f>+E35+E39+E40+E41</f>
        <v>0</v>
      </c>
      <c r="F34" s="122">
        <f>+F35+F39+F40+F41</f>
        <v>0</v>
      </c>
    </row>
    <row r="35" spans="1:6" s="192" customFormat="1" ht="12" customHeight="1" x14ac:dyDescent="0.2">
      <c r="A35" s="12" t="s">
        <v>211</v>
      </c>
      <c r="B35" s="193" t="s">
        <v>652</v>
      </c>
      <c r="C35" s="188">
        <f t="shared" si="0"/>
        <v>486000000</v>
      </c>
      <c r="D35" s="299">
        <f>SUM(D36:D37)</f>
        <v>486000000</v>
      </c>
      <c r="E35" s="299">
        <f>SUM(E36:E37)</f>
        <v>0</v>
      </c>
      <c r="F35" s="299">
        <f>SUM(F36:F37)</f>
        <v>0</v>
      </c>
    </row>
    <row r="36" spans="1:6" s="192" customFormat="1" ht="12" customHeight="1" x14ac:dyDescent="0.2">
      <c r="A36" s="11" t="s">
        <v>212</v>
      </c>
      <c r="B36" s="194" t="s">
        <v>217</v>
      </c>
      <c r="C36" s="305">
        <f t="shared" si="0"/>
        <v>86000000</v>
      </c>
      <c r="D36" s="106">
        <f>86000000</f>
        <v>86000000</v>
      </c>
      <c r="E36" s="118"/>
      <c r="F36" s="118"/>
    </row>
    <row r="37" spans="1:6" s="192" customFormat="1" ht="12" customHeight="1" x14ac:dyDescent="0.2">
      <c r="A37" s="11" t="s">
        <v>213</v>
      </c>
      <c r="B37" s="251" t="s">
        <v>651</v>
      </c>
      <c r="C37" s="305">
        <f t="shared" si="0"/>
        <v>400000000</v>
      </c>
      <c r="D37" s="106">
        <f>400000000</f>
        <v>400000000</v>
      </c>
      <c r="E37" s="118"/>
      <c r="F37" s="118"/>
    </row>
    <row r="38" spans="1:6" s="192" customFormat="1" ht="12" customHeight="1" x14ac:dyDescent="0.2">
      <c r="A38" s="11" t="s">
        <v>214</v>
      </c>
      <c r="B38" s="194" t="s">
        <v>538</v>
      </c>
      <c r="C38" s="305">
        <f t="shared" si="0"/>
        <v>0</v>
      </c>
      <c r="D38" s="267"/>
      <c r="E38" s="121"/>
      <c r="F38" s="121"/>
    </row>
    <row r="39" spans="1:6" s="192" customFormat="1" ht="12" customHeight="1" x14ac:dyDescent="0.2">
      <c r="A39" s="11" t="s">
        <v>539</v>
      </c>
      <c r="B39" s="194" t="s">
        <v>218</v>
      </c>
      <c r="C39" s="305">
        <f t="shared" si="0"/>
        <v>0</v>
      </c>
      <c r="D39" s="106">
        <f>35000000-35000000</f>
        <v>0</v>
      </c>
      <c r="E39" s="118"/>
      <c r="F39" s="118"/>
    </row>
    <row r="40" spans="1:6" s="192" customFormat="1" ht="12" customHeight="1" x14ac:dyDescent="0.2">
      <c r="A40" s="11" t="s">
        <v>216</v>
      </c>
      <c r="B40" s="194" t="s">
        <v>219</v>
      </c>
      <c r="C40" s="305">
        <f t="shared" si="0"/>
        <v>1000000</v>
      </c>
      <c r="D40" s="106">
        <f>1000000</f>
        <v>1000000</v>
      </c>
      <c r="E40" s="118"/>
      <c r="F40" s="118"/>
    </row>
    <row r="41" spans="1:6" s="192" customFormat="1" ht="12" customHeight="1" thickBot="1" x14ac:dyDescent="0.25">
      <c r="A41" s="13" t="s">
        <v>540</v>
      </c>
      <c r="B41" s="195" t="s">
        <v>220</v>
      </c>
      <c r="C41" s="309">
        <f t="shared" si="0"/>
        <v>16000000</v>
      </c>
      <c r="D41" s="271">
        <v>16000000</v>
      </c>
      <c r="E41" s="182"/>
      <c r="F41" s="182"/>
    </row>
    <row r="42" spans="1:6" s="192" customFormat="1" ht="12" customHeight="1" thickBot="1" x14ac:dyDescent="0.25">
      <c r="A42" s="17" t="s">
        <v>25</v>
      </c>
      <c r="B42" s="18" t="s">
        <v>452</v>
      </c>
      <c r="C42" s="117">
        <f t="shared" si="0"/>
        <v>134269833</v>
      </c>
      <c r="D42" s="282">
        <f>SUM(D43:D53)</f>
        <v>43844817</v>
      </c>
      <c r="E42" s="117">
        <f>SUM(E43:E53)</f>
        <v>3257614</v>
      </c>
      <c r="F42" s="117">
        <f>SUM(F43:F53)</f>
        <v>87167402</v>
      </c>
    </row>
    <row r="43" spans="1:6" s="192" customFormat="1" ht="12" customHeight="1" x14ac:dyDescent="0.2">
      <c r="A43" s="12" t="s">
        <v>93</v>
      </c>
      <c r="B43" s="193" t="s">
        <v>223</v>
      </c>
      <c r="C43" s="188">
        <f t="shared" si="0"/>
        <v>8195576</v>
      </c>
      <c r="D43" s="286">
        <f>8175576</f>
        <v>8175576</v>
      </c>
      <c r="E43" s="231"/>
      <c r="F43" s="231">
        <v>20000</v>
      </c>
    </row>
    <row r="44" spans="1:6" s="192" customFormat="1" ht="12" customHeight="1" x14ac:dyDescent="0.2">
      <c r="A44" s="11" t="s">
        <v>94</v>
      </c>
      <c r="B44" s="194" t="s">
        <v>224</v>
      </c>
      <c r="C44" s="308">
        <f t="shared" si="0"/>
        <v>63177865</v>
      </c>
      <c r="D44" s="267">
        <f>14518450</f>
        <v>14518450</v>
      </c>
      <c r="E44" s="121">
        <f>2132550+432500</f>
        <v>2565050</v>
      </c>
      <c r="F44" s="231">
        <f>27518165+600000+10387400+7588800</f>
        <v>46094365</v>
      </c>
    </row>
    <row r="45" spans="1:6" s="192" customFormat="1" ht="12" customHeight="1" x14ac:dyDescent="0.2">
      <c r="A45" s="11" t="s">
        <v>95</v>
      </c>
      <c r="B45" s="194" t="s">
        <v>225</v>
      </c>
      <c r="C45" s="1140">
        <f t="shared" si="0"/>
        <v>16029469</v>
      </c>
      <c r="D45" s="267">
        <f>8868669+808800+200000</f>
        <v>9877469</v>
      </c>
      <c r="E45" s="121"/>
      <c r="F45" s="231">
        <f>1547000+4600000+5000</f>
        <v>6152000</v>
      </c>
    </row>
    <row r="46" spans="1:6" s="192" customFormat="1" ht="12" customHeight="1" x14ac:dyDescent="0.2">
      <c r="A46" s="11" t="s">
        <v>141</v>
      </c>
      <c r="B46" s="194" t="s">
        <v>226</v>
      </c>
      <c r="C46" s="308">
        <f t="shared" si="0"/>
        <v>1006560</v>
      </c>
      <c r="D46" s="267">
        <v>1006560</v>
      </c>
      <c r="E46" s="121"/>
      <c r="F46" s="231"/>
    </row>
    <row r="47" spans="1:6" s="192" customFormat="1" ht="12" customHeight="1" x14ac:dyDescent="0.2">
      <c r="A47" s="11" t="s">
        <v>142</v>
      </c>
      <c r="B47" s="194" t="s">
        <v>227</v>
      </c>
      <c r="C47" s="305">
        <f t="shared" si="0"/>
        <v>16829643</v>
      </c>
      <c r="D47" s="267"/>
      <c r="E47" s="121"/>
      <c r="F47" s="231">
        <f>20383499+1472860+1382012-6408728</f>
        <v>16829643</v>
      </c>
    </row>
    <row r="48" spans="1:6" s="192" customFormat="1" ht="12" customHeight="1" x14ac:dyDescent="0.2">
      <c r="A48" s="11" t="s">
        <v>143</v>
      </c>
      <c r="B48" s="194" t="s">
        <v>228</v>
      </c>
      <c r="C48" s="1140">
        <f t="shared" si="0"/>
        <v>17210328</v>
      </c>
      <c r="D48" s="267">
        <f>7168370+54000</f>
        <v>7222370</v>
      </c>
      <c r="E48" s="121">
        <f>575789+116775</f>
        <v>692564</v>
      </c>
      <c r="F48" s="231">
        <f>5641812+1801672+1280450+2048976-1477516</f>
        <v>9295394</v>
      </c>
    </row>
    <row r="49" spans="1:6" s="192" customFormat="1" ht="12" customHeight="1" x14ac:dyDescent="0.2">
      <c r="A49" s="11" t="s">
        <v>144</v>
      </c>
      <c r="B49" s="194" t="s">
        <v>229</v>
      </c>
      <c r="C49" s="308">
        <f t="shared" si="0"/>
        <v>8775000</v>
      </c>
      <c r="D49" s="267"/>
      <c r="E49" s="121"/>
      <c r="F49" s="231">
        <f>7729000+366000+680000</f>
        <v>8775000</v>
      </c>
    </row>
    <row r="50" spans="1:6" s="192" customFormat="1" ht="12" customHeight="1" x14ac:dyDescent="0.2">
      <c r="A50" s="11" t="s">
        <v>145</v>
      </c>
      <c r="B50" s="194" t="s">
        <v>545</v>
      </c>
      <c r="C50" s="308">
        <f t="shared" si="0"/>
        <v>0</v>
      </c>
      <c r="D50" s="267"/>
      <c r="E50" s="121"/>
      <c r="F50" s="231"/>
    </row>
    <row r="51" spans="1:6" s="192" customFormat="1" ht="12" customHeight="1" x14ac:dyDescent="0.2">
      <c r="A51" s="11" t="s">
        <v>221</v>
      </c>
      <c r="B51" s="194" t="s">
        <v>231</v>
      </c>
      <c r="C51" s="308">
        <f t="shared" si="0"/>
        <v>0</v>
      </c>
      <c r="D51" s="267"/>
      <c r="E51" s="121"/>
      <c r="F51" s="231"/>
    </row>
    <row r="52" spans="1:6" s="192" customFormat="1" ht="12" customHeight="1" x14ac:dyDescent="0.2">
      <c r="A52" s="13" t="s">
        <v>222</v>
      </c>
      <c r="B52" s="195" t="s">
        <v>453</v>
      </c>
      <c r="C52" s="308">
        <f t="shared" si="0"/>
        <v>1000000</v>
      </c>
      <c r="D52" s="271">
        <v>1000000</v>
      </c>
      <c r="E52" s="182"/>
      <c r="F52" s="231"/>
    </row>
    <row r="53" spans="1:6" s="192" customFormat="1" ht="12" customHeight="1" thickBot="1" x14ac:dyDescent="0.25">
      <c r="A53" s="13" t="s">
        <v>454</v>
      </c>
      <c r="B53" s="114" t="s">
        <v>232</v>
      </c>
      <c r="C53" s="1186">
        <f t="shared" si="0"/>
        <v>2045392</v>
      </c>
      <c r="D53" s="271">
        <f>1087601+956791</f>
        <v>2044392</v>
      </c>
      <c r="E53" s="182"/>
      <c r="F53" s="231">
        <v>1000</v>
      </c>
    </row>
    <row r="54" spans="1:6" s="192" customFormat="1" ht="12" customHeight="1" thickBot="1" x14ac:dyDescent="0.25">
      <c r="A54" s="17" t="s">
        <v>26</v>
      </c>
      <c r="B54" s="18" t="s">
        <v>233</v>
      </c>
      <c r="C54" s="117">
        <f t="shared" si="0"/>
        <v>44304508</v>
      </c>
      <c r="D54" s="282">
        <f>SUM(D55:D59)</f>
        <v>44304508</v>
      </c>
      <c r="E54" s="117">
        <f>SUM(E55:E59)</f>
        <v>0</v>
      </c>
      <c r="F54" s="117">
        <f>SUM(F55:F59)</f>
        <v>0</v>
      </c>
    </row>
    <row r="55" spans="1:6" s="192" customFormat="1" ht="12" customHeight="1" x14ac:dyDescent="0.2">
      <c r="A55" s="12" t="s">
        <v>96</v>
      </c>
      <c r="B55" s="193" t="s">
        <v>237</v>
      </c>
      <c r="C55" s="188">
        <f t="shared" si="0"/>
        <v>0</v>
      </c>
      <c r="D55" s="286"/>
      <c r="E55" s="231"/>
      <c r="F55" s="231"/>
    </row>
    <row r="56" spans="1:6" s="192" customFormat="1" ht="12" customHeight="1" x14ac:dyDescent="0.2">
      <c r="A56" s="11" t="s">
        <v>97</v>
      </c>
      <c r="B56" s="194" t="s">
        <v>238</v>
      </c>
      <c r="C56" s="308">
        <f>SUM(D56:F56)</f>
        <v>44304508</v>
      </c>
      <c r="D56" s="267">
        <v>44304508</v>
      </c>
      <c r="E56" s="121"/>
      <c r="F56" s="121"/>
    </row>
    <row r="57" spans="1:6" s="192" customFormat="1" ht="12" customHeight="1" x14ac:dyDescent="0.2">
      <c r="A57" s="11" t="s">
        <v>234</v>
      </c>
      <c r="B57" s="194" t="s">
        <v>239</v>
      </c>
      <c r="C57" s="308">
        <f t="shared" si="0"/>
        <v>0</v>
      </c>
      <c r="D57" s="267"/>
      <c r="E57" s="121"/>
      <c r="F57" s="121"/>
    </row>
    <row r="58" spans="1:6" s="192" customFormat="1" ht="12" customHeight="1" x14ac:dyDescent="0.2">
      <c r="A58" s="11" t="s">
        <v>235</v>
      </c>
      <c r="B58" s="194" t="s">
        <v>240</v>
      </c>
      <c r="C58" s="308">
        <f t="shared" si="0"/>
        <v>0</v>
      </c>
      <c r="D58" s="267"/>
      <c r="E58" s="121"/>
      <c r="F58" s="121"/>
    </row>
    <row r="59" spans="1:6" s="192" customFormat="1" ht="12" customHeight="1" thickBot="1" x14ac:dyDescent="0.25">
      <c r="A59" s="13" t="s">
        <v>236</v>
      </c>
      <c r="B59" s="114" t="s">
        <v>241</v>
      </c>
      <c r="C59" s="309">
        <f t="shared" si="0"/>
        <v>0</v>
      </c>
      <c r="D59" s="271"/>
      <c r="E59" s="182"/>
      <c r="F59" s="182"/>
    </row>
    <row r="60" spans="1:6" s="192" customFormat="1" ht="12" customHeight="1" thickBot="1" x14ac:dyDescent="0.25">
      <c r="A60" s="17" t="s">
        <v>146</v>
      </c>
      <c r="B60" s="18" t="s">
        <v>242</v>
      </c>
      <c r="C60" s="117">
        <f t="shared" si="0"/>
        <v>1430075</v>
      </c>
      <c r="D60" s="282">
        <f>SUM(D61:D63)</f>
        <v>1430075</v>
      </c>
      <c r="E60" s="117">
        <f>SUM(E61:E63)</f>
        <v>0</v>
      </c>
      <c r="F60" s="117">
        <f>SUM(F61:F63)</f>
        <v>0</v>
      </c>
    </row>
    <row r="61" spans="1:6" s="192" customFormat="1" ht="12" customHeight="1" x14ac:dyDescent="0.2">
      <c r="A61" s="12" t="s">
        <v>98</v>
      </c>
      <c r="B61" s="193" t="s">
        <v>243</v>
      </c>
      <c r="C61" s="188">
        <f t="shared" si="0"/>
        <v>0</v>
      </c>
      <c r="D61" s="284"/>
      <c r="E61" s="119"/>
      <c r="F61" s="119"/>
    </row>
    <row r="62" spans="1:6" s="192" customFormat="1" ht="12" customHeight="1" x14ac:dyDescent="0.2">
      <c r="A62" s="11" t="s">
        <v>99</v>
      </c>
      <c r="B62" s="194" t="s">
        <v>374</v>
      </c>
      <c r="C62" s="308">
        <f t="shared" si="0"/>
        <v>200000</v>
      </c>
      <c r="D62" s="267">
        <v>200000</v>
      </c>
      <c r="E62" s="121"/>
      <c r="F62" s="121"/>
    </row>
    <row r="63" spans="1:6" s="192" customFormat="1" ht="12" customHeight="1" x14ac:dyDescent="0.2">
      <c r="A63" s="11" t="s">
        <v>246</v>
      </c>
      <c r="B63" s="194" t="s">
        <v>244</v>
      </c>
      <c r="C63" s="305">
        <f t="shared" si="0"/>
        <v>1230075</v>
      </c>
      <c r="D63" s="267">
        <f>900000+330075</f>
        <v>1230075</v>
      </c>
      <c r="E63" s="121"/>
      <c r="F63" s="121"/>
    </row>
    <row r="64" spans="1:6" s="192" customFormat="1" ht="12" customHeight="1" thickBot="1" x14ac:dyDescent="0.25">
      <c r="A64" s="13" t="s">
        <v>247</v>
      </c>
      <c r="B64" s="114" t="s">
        <v>245</v>
      </c>
      <c r="C64" s="309">
        <f t="shared" si="0"/>
        <v>0</v>
      </c>
      <c r="D64" s="107"/>
      <c r="E64" s="120"/>
      <c r="F64" s="120"/>
    </row>
    <row r="65" spans="1:6" s="192" customFormat="1" ht="12" customHeight="1" thickBot="1" x14ac:dyDescent="0.25">
      <c r="A65" s="17" t="s">
        <v>28</v>
      </c>
      <c r="B65" s="112" t="s">
        <v>248</v>
      </c>
      <c r="C65" s="310">
        <f t="shared" si="0"/>
        <v>0</v>
      </c>
      <c r="D65" s="282">
        <f>SUM(D66:D68)</f>
        <v>0</v>
      </c>
      <c r="E65" s="117">
        <f>SUM(E66:E68)</f>
        <v>0</v>
      </c>
      <c r="F65" s="117">
        <f>SUM(F66:F68)</f>
        <v>0</v>
      </c>
    </row>
    <row r="66" spans="1:6" s="192" customFormat="1" ht="12" customHeight="1" x14ac:dyDescent="0.2">
      <c r="A66" s="12" t="s">
        <v>147</v>
      </c>
      <c r="B66" s="193" t="s">
        <v>250</v>
      </c>
      <c r="C66" s="188">
        <f t="shared" si="0"/>
        <v>0</v>
      </c>
      <c r="D66" s="267"/>
      <c r="E66" s="121"/>
      <c r="F66" s="121"/>
    </row>
    <row r="67" spans="1:6" s="192" customFormat="1" ht="12" customHeight="1" x14ac:dyDescent="0.2">
      <c r="A67" s="11" t="s">
        <v>148</v>
      </c>
      <c r="B67" s="194" t="s">
        <v>375</v>
      </c>
      <c r="C67" s="308">
        <f t="shared" si="0"/>
        <v>0</v>
      </c>
      <c r="D67" s="267"/>
      <c r="E67" s="121"/>
      <c r="F67" s="121"/>
    </row>
    <row r="68" spans="1:6" s="192" customFormat="1" ht="12" customHeight="1" x14ac:dyDescent="0.2">
      <c r="A68" s="11" t="s">
        <v>174</v>
      </c>
      <c r="B68" s="194" t="s">
        <v>251</v>
      </c>
      <c r="C68" s="308">
        <f t="shared" si="0"/>
        <v>0</v>
      </c>
      <c r="D68" s="267"/>
      <c r="E68" s="121"/>
      <c r="F68" s="121"/>
    </row>
    <row r="69" spans="1:6" s="192" customFormat="1" ht="12" customHeight="1" thickBot="1" x14ac:dyDescent="0.25">
      <c r="A69" s="13" t="s">
        <v>249</v>
      </c>
      <c r="B69" s="114" t="s">
        <v>252</v>
      </c>
      <c r="C69" s="309">
        <f t="shared" si="0"/>
        <v>0</v>
      </c>
      <c r="D69" s="267"/>
      <c r="E69" s="121"/>
      <c r="F69" s="121"/>
    </row>
    <row r="70" spans="1:6" s="192" customFormat="1" ht="12" customHeight="1" thickBot="1" x14ac:dyDescent="0.25">
      <c r="A70" s="252" t="s">
        <v>455</v>
      </c>
      <c r="B70" s="18" t="s">
        <v>253</v>
      </c>
      <c r="C70" s="117">
        <f t="shared" si="0"/>
        <v>2141371978</v>
      </c>
      <c r="D70" s="285">
        <f>+D11+D20+D27+D34+D42+D54+D60+D65</f>
        <v>2029982356</v>
      </c>
      <c r="E70" s="122">
        <f>+E11+E20+E27+E34+E42+E54+E60+E65</f>
        <v>3257614</v>
      </c>
      <c r="F70" s="122">
        <f>+F11+F20+F27+F34+F42+F54+F60+F65</f>
        <v>108132008</v>
      </c>
    </row>
    <row r="71" spans="1:6" s="192" customFormat="1" ht="12" customHeight="1" thickBot="1" x14ac:dyDescent="0.25">
      <c r="A71" s="253" t="s">
        <v>254</v>
      </c>
      <c r="B71" s="112" t="s">
        <v>255</v>
      </c>
      <c r="C71" s="310">
        <f t="shared" si="0"/>
        <v>733570614</v>
      </c>
      <c r="D71" s="282">
        <f>SUM(D72:D74)</f>
        <v>733570614</v>
      </c>
      <c r="E71" s="117">
        <f>SUM(E72:E74)</f>
        <v>0</v>
      </c>
      <c r="F71" s="117">
        <f>SUM(F72:F74)</f>
        <v>0</v>
      </c>
    </row>
    <row r="72" spans="1:6" s="192" customFormat="1" ht="12" customHeight="1" x14ac:dyDescent="0.2">
      <c r="A72" s="12" t="s">
        <v>286</v>
      </c>
      <c r="B72" s="193" t="s">
        <v>256</v>
      </c>
      <c r="C72" s="1382">
        <f t="shared" si="0"/>
        <v>33570614</v>
      </c>
      <c r="D72" s="267">
        <f>44951899-2540000-8841285</f>
        <v>33570614</v>
      </c>
      <c r="E72" s="121"/>
      <c r="F72" s="121"/>
    </row>
    <row r="73" spans="1:6" s="192" customFormat="1" ht="12" customHeight="1" x14ac:dyDescent="0.2">
      <c r="A73" s="11" t="s">
        <v>295</v>
      </c>
      <c r="B73" s="194" t="s">
        <v>257</v>
      </c>
      <c r="C73" s="308">
        <f t="shared" si="0"/>
        <v>700000000</v>
      </c>
      <c r="D73" s="267">
        <v>700000000</v>
      </c>
      <c r="E73" s="121"/>
      <c r="F73" s="121"/>
    </row>
    <row r="74" spans="1:6" s="192" customFormat="1" ht="12" customHeight="1" thickBot="1" x14ac:dyDescent="0.25">
      <c r="A74" s="13" t="s">
        <v>296</v>
      </c>
      <c r="B74" s="254" t="s">
        <v>456</v>
      </c>
      <c r="C74" s="309">
        <f t="shared" si="0"/>
        <v>0</v>
      </c>
      <c r="D74" s="267"/>
      <c r="E74" s="121"/>
      <c r="F74" s="121"/>
    </row>
    <row r="75" spans="1:6" s="192" customFormat="1" ht="12" customHeight="1" thickBot="1" x14ac:dyDescent="0.25">
      <c r="A75" s="253" t="s">
        <v>259</v>
      </c>
      <c r="B75" s="112" t="s">
        <v>260</v>
      </c>
      <c r="C75" s="310">
        <f t="shared" si="0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</row>
    <row r="76" spans="1:6" s="192" customFormat="1" ht="12" customHeight="1" x14ac:dyDescent="0.2">
      <c r="A76" s="12" t="s">
        <v>127</v>
      </c>
      <c r="B76" s="193" t="s">
        <v>261</v>
      </c>
      <c r="C76" s="188">
        <f t="shared" si="0"/>
        <v>0</v>
      </c>
      <c r="D76" s="267"/>
      <c r="E76" s="121"/>
      <c r="F76" s="121"/>
    </row>
    <row r="77" spans="1:6" s="192" customFormat="1" ht="12" customHeight="1" x14ac:dyDescent="0.2">
      <c r="A77" s="11" t="s">
        <v>128</v>
      </c>
      <c r="B77" s="194" t="s">
        <v>262</v>
      </c>
      <c r="C77" s="308">
        <f t="shared" ref="C77:C95" si="1">SUM(D77:F77)</f>
        <v>0</v>
      </c>
      <c r="D77" s="267"/>
      <c r="E77" s="121"/>
      <c r="F77" s="121"/>
    </row>
    <row r="78" spans="1:6" s="192" customFormat="1" ht="12" customHeight="1" x14ac:dyDescent="0.2">
      <c r="A78" s="11" t="s">
        <v>287</v>
      </c>
      <c r="B78" s="194" t="s">
        <v>263</v>
      </c>
      <c r="C78" s="308">
        <f t="shared" si="1"/>
        <v>0</v>
      </c>
      <c r="D78" s="267"/>
      <c r="E78" s="121"/>
      <c r="F78" s="121"/>
    </row>
    <row r="79" spans="1:6" s="192" customFormat="1" ht="12" customHeight="1" thickBot="1" x14ac:dyDescent="0.25">
      <c r="A79" s="13" t="s">
        <v>288</v>
      </c>
      <c r="B79" s="114" t="s">
        <v>264</v>
      </c>
      <c r="C79" s="309">
        <f t="shared" si="1"/>
        <v>0</v>
      </c>
      <c r="D79" s="267"/>
      <c r="E79" s="121"/>
      <c r="F79" s="121"/>
    </row>
    <row r="80" spans="1:6" s="192" customFormat="1" ht="12" customHeight="1" thickBot="1" x14ac:dyDescent="0.25">
      <c r="A80" s="253" t="s">
        <v>265</v>
      </c>
      <c r="B80" s="112" t="s">
        <v>266</v>
      </c>
      <c r="C80" s="117">
        <f t="shared" si="1"/>
        <v>952231512</v>
      </c>
      <c r="D80" s="282">
        <f>SUM(D81:D82)</f>
        <v>930060807</v>
      </c>
      <c r="E80" s="117">
        <f>SUM(E81:E82)</f>
        <v>327465</v>
      </c>
      <c r="F80" s="117">
        <f>SUM(F81:F82)</f>
        <v>21843240</v>
      </c>
    </row>
    <row r="81" spans="1:6" s="192" customFormat="1" ht="12" customHeight="1" x14ac:dyDescent="0.2">
      <c r="A81" s="12" t="s">
        <v>289</v>
      </c>
      <c r="B81" s="193" t="s">
        <v>267</v>
      </c>
      <c r="C81" s="304">
        <f t="shared" si="1"/>
        <v>952231512</v>
      </c>
      <c r="D81" s="267">
        <f>941573826-8179828-3333191</f>
        <v>930060807</v>
      </c>
      <c r="E81" s="121">
        <v>327465</v>
      </c>
      <c r="F81" s="121">
        <f>3481566+752726+490516+820681+16297751</f>
        <v>21843240</v>
      </c>
    </row>
    <row r="82" spans="1:6" s="192" customFormat="1" ht="12" customHeight="1" thickBot="1" x14ac:dyDescent="0.25">
      <c r="A82" s="13" t="s">
        <v>290</v>
      </c>
      <c r="B82" s="114" t="s">
        <v>268</v>
      </c>
      <c r="C82" s="309">
        <f t="shared" si="1"/>
        <v>0</v>
      </c>
      <c r="D82" s="267"/>
      <c r="E82" s="121"/>
      <c r="F82" s="121"/>
    </row>
    <row r="83" spans="1:6" s="192" customFormat="1" ht="12" customHeight="1" thickBot="1" x14ac:dyDescent="0.25">
      <c r="A83" s="253" t="s">
        <v>269</v>
      </c>
      <c r="B83" s="112" t="s">
        <v>270</v>
      </c>
      <c r="C83" s="310">
        <f t="shared" si="1"/>
        <v>45672254</v>
      </c>
      <c r="D83" s="282">
        <f>SUM(D84:D86)</f>
        <v>45672254</v>
      </c>
      <c r="E83" s="117">
        <f>SUM(E84:E86)</f>
        <v>0</v>
      </c>
      <c r="F83" s="117">
        <f>SUM(F84:F86)</f>
        <v>0</v>
      </c>
    </row>
    <row r="84" spans="1:6" s="192" customFormat="1" ht="12" customHeight="1" x14ac:dyDescent="0.2">
      <c r="A84" s="12" t="s">
        <v>291</v>
      </c>
      <c r="B84" s="193" t="s">
        <v>271</v>
      </c>
      <c r="C84" s="304">
        <f t="shared" si="1"/>
        <v>45672254</v>
      </c>
      <c r="D84" s="267">
        <f>45672254</f>
        <v>45672254</v>
      </c>
      <c r="E84" s="121"/>
      <c r="F84" s="121"/>
    </row>
    <row r="85" spans="1:6" s="192" customFormat="1" ht="12" customHeight="1" x14ac:dyDescent="0.2">
      <c r="A85" s="11" t="s">
        <v>292</v>
      </c>
      <c r="B85" s="194" t="s">
        <v>272</v>
      </c>
      <c r="C85" s="308">
        <f t="shared" si="1"/>
        <v>0</v>
      </c>
      <c r="D85" s="267"/>
      <c r="E85" s="121"/>
      <c r="F85" s="121"/>
    </row>
    <row r="86" spans="1:6" s="192" customFormat="1" ht="12" customHeight="1" thickBot="1" x14ac:dyDescent="0.25">
      <c r="A86" s="13" t="s">
        <v>293</v>
      </c>
      <c r="B86" s="114" t="s">
        <v>273</v>
      </c>
      <c r="C86" s="309">
        <f t="shared" si="1"/>
        <v>0</v>
      </c>
      <c r="D86" s="267"/>
      <c r="E86" s="121"/>
      <c r="F86" s="121"/>
    </row>
    <row r="87" spans="1:6" s="192" customFormat="1" ht="12" customHeight="1" thickBot="1" x14ac:dyDescent="0.25">
      <c r="A87" s="253" t="s">
        <v>274</v>
      </c>
      <c r="B87" s="112" t="s">
        <v>294</v>
      </c>
      <c r="C87" s="310">
        <f t="shared" si="1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</row>
    <row r="88" spans="1:6" s="192" customFormat="1" ht="12" customHeight="1" x14ac:dyDescent="0.2">
      <c r="A88" s="197" t="s">
        <v>275</v>
      </c>
      <c r="B88" s="193" t="s">
        <v>276</v>
      </c>
      <c r="C88" s="188">
        <f t="shared" si="1"/>
        <v>0</v>
      </c>
      <c r="D88" s="267"/>
      <c r="E88" s="121"/>
      <c r="F88" s="121"/>
    </row>
    <row r="89" spans="1:6" s="192" customFormat="1" ht="12" customHeight="1" x14ac:dyDescent="0.2">
      <c r="A89" s="198" t="s">
        <v>277</v>
      </c>
      <c r="B89" s="194" t="s">
        <v>278</v>
      </c>
      <c r="C89" s="308">
        <f t="shared" si="1"/>
        <v>0</v>
      </c>
      <c r="D89" s="267"/>
      <c r="E89" s="121"/>
      <c r="F89" s="121"/>
    </row>
    <row r="90" spans="1:6" s="192" customFormat="1" ht="12" customHeight="1" x14ac:dyDescent="0.2">
      <c r="A90" s="198" t="s">
        <v>279</v>
      </c>
      <c r="B90" s="194" t="s">
        <v>280</v>
      </c>
      <c r="C90" s="308">
        <f t="shared" si="1"/>
        <v>0</v>
      </c>
      <c r="D90" s="267"/>
      <c r="E90" s="121"/>
      <c r="F90" s="121"/>
    </row>
    <row r="91" spans="1:6" s="192" customFormat="1" ht="12" customHeight="1" thickBot="1" x14ac:dyDescent="0.25">
      <c r="A91" s="199" t="s">
        <v>281</v>
      </c>
      <c r="B91" s="114" t="s">
        <v>282</v>
      </c>
      <c r="C91" s="309">
        <f t="shared" si="1"/>
        <v>0</v>
      </c>
      <c r="D91" s="267"/>
      <c r="E91" s="121"/>
      <c r="F91" s="121"/>
    </row>
    <row r="92" spans="1:6" s="192" customFormat="1" ht="12" customHeight="1" thickBot="1" x14ac:dyDescent="0.25">
      <c r="A92" s="253" t="s">
        <v>283</v>
      </c>
      <c r="B92" s="112" t="s">
        <v>457</v>
      </c>
      <c r="C92" s="373">
        <f t="shared" si="1"/>
        <v>0</v>
      </c>
      <c r="D92" s="287"/>
      <c r="E92" s="232"/>
      <c r="F92" s="232"/>
    </row>
    <row r="93" spans="1:6" s="192" customFormat="1" ht="13.5" customHeight="1" thickBot="1" x14ac:dyDescent="0.25">
      <c r="A93" s="253" t="s">
        <v>285</v>
      </c>
      <c r="B93" s="112" t="s">
        <v>284</v>
      </c>
      <c r="C93" s="310">
        <f t="shared" si="1"/>
        <v>0</v>
      </c>
      <c r="D93" s="287"/>
      <c r="E93" s="232"/>
      <c r="F93" s="232"/>
    </row>
    <row r="94" spans="1:6" s="192" customFormat="1" ht="15.75" customHeight="1" thickBot="1" x14ac:dyDescent="0.25">
      <c r="A94" s="253" t="s">
        <v>297</v>
      </c>
      <c r="B94" s="200" t="s">
        <v>458</v>
      </c>
      <c r="C94" s="117">
        <f t="shared" si="1"/>
        <v>1731474380</v>
      </c>
      <c r="D94" s="285">
        <f>+D71+D75+D80+D83+D87+D93+D92</f>
        <v>1709303675</v>
      </c>
      <c r="E94" s="122">
        <f>+E71+E75+E80+E83+E87+E93+E92</f>
        <v>327465</v>
      </c>
      <c r="F94" s="122">
        <f>+F71+F75+F80+F83+F87+F93+F92</f>
        <v>21843240</v>
      </c>
    </row>
    <row r="95" spans="1:6" s="192" customFormat="1" ht="16.5" customHeight="1" thickBot="1" x14ac:dyDescent="0.25">
      <c r="A95" s="255" t="s">
        <v>459</v>
      </c>
      <c r="B95" s="201" t="s">
        <v>460</v>
      </c>
      <c r="C95" s="259">
        <f t="shared" si="1"/>
        <v>3872846358</v>
      </c>
      <c r="D95" s="285">
        <f>+D70+D94</f>
        <v>3739286031</v>
      </c>
      <c r="E95" s="122">
        <f>+E70+E94</f>
        <v>3585079</v>
      </c>
      <c r="F95" s="122">
        <f>+F70+F94</f>
        <v>129975248</v>
      </c>
    </row>
    <row r="96" spans="1:6" s="192" customFormat="1" ht="54" customHeight="1" x14ac:dyDescent="0.2">
      <c r="A96" s="2"/>
      <c r="B96" s="3"/>
      <c r="C96" s="123"/>
    </row>
    <row r="97" spans="1:6" ht="16.5" customHeight="1" x14ac:dyDescent="0.25">
      <c r="A97" s="1445" t="s">
        <v>49</v>
      </c>
      <c r="B97" s="1445"/>
      <c r="C97" s="1445"/>
      <c r="D97" s="179"/>
      <c r="E97" s="179"/>
      <c r="F97" s="179"/>
    </row>
    <row r="98" spans="1:6" s="202" customFormat="1" ht="16.5" customHeight="1" thickBot="1" x14ac:dyDescent="0.3">
      <c r="A98" s="1446" t="s">
        <v>130</v>
      </c>
      <c r="B98" s="1446"/>
      <c r="C98" s="59" t="s">
        <v>555</v>
      </c>
      <c r="D98" s="591"/>
      <c r="E98" s="591"/>
      <c r="F98" s="591"/>
    </row>
    <row r="99" spans="1:6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  <c r="D99" s="179" t="s">
        <v>561</v>
      </c>
      <c r="E99" s="179" t="s">
        <v>562</v>
      </c>
      <c r="F99" s="179" t="s">
        <v>563</v>
      </c>
    </row>
    <row r="100" spans="1:6" s="191" customFormat="1" ht="12" customHeight="1" thickBot="1" x14ac:dyDescent="0.25">
      <c r="A100" s="25" t="s">
        <v>447</v>
      </c>
      <c r="B100" s="26" t="s">
        <v>448</v>
      </c>
      <c r="C100" s="187" t="s">
        <v>449</v>
      </c>
    </row>
    <row r="101" spans="1:6" ht="12" customHeight="1" thickBot="1" x14ac:dyDescent="0.3">
      <c r="A101" s="19" t="s">
        <v>21</v>
      </c>
      <c r="B101" s="23" t="s">
        <v>498</v>
      </c>
      <c r="C101" s="117">
        <f t="shared" ref="C101:C162" si="2">SUM(D101:F101)</f>
        <v>1755588652</v>
      </c>
      <c r="D101" s="290">
        <f>+D102+D103+D104+D105+D106+D119</f>
        <v>769274420</v>
      </c>
      <c r="E101" s="116">
        <f>+E102+E103+E104+E105+E106+E119</f>
        <v>6357467</v>
      </c>
      <c r="F101" s="295">
        <f>F102+F103+F104+F105+F106+F119</f>
        <v>979956765</v>
      </c>
    </row>
    <row r="102" spans="1:6" ht="12" customHeight="1" x14ac:dyDescent="0.25">
      <c r="A102" s="14" t="s">
        <v>100</v>
      </c>
      <c r="B102" s="7" t="s">
        <v>51</v>
      </c>
      <c r="C102" s="1382">
        <f t="shared" si="2"/>
        <v>604077452</v>
      </c>
      <c r="D102" s="300">
        <f>50121817-89237+1224375+1888592+9563278-4699427</f>
        <v>58009398</v>
      </c>
      <c r="E102" s="275">
        <v>4072814</v>
      </c>
      <c r="F102" s="275">
        <f>69090783+200165718+55350452+71236352+136029710+9577120+545105</f>
        <v>541995240</v>
      </c>
    </row>
    <row r="103" spans="1:6" ht="12" customHeight="1" x14ac:dyDescent="0.25">
      <c r="A103" s="11" t="s">
        <v>101</v>
      </c>
      <c r="B103" s="5" t="s">
        <v>149</v>
      </c>
      <c r="C103" s="1140">
        <f t="shared" si="2"/>
        <v>112196866</v>
      </c>
      <c r="D103" s="267">
        <f>8314149-97868+214264+350843+1425759-1270081</f>
        <v>8937066</v>
      </c>
      <c r="E103" s="121">
        <v>748356</v>
      </c>
      <c r="F103" s="121">
        <f>12885750+40236890+9898597+12731399+24987418+1675997+95393</f>
        <v>102511444</v>
      </c>
    </row>
    <row r="104" spans="1:6" ht="12" customHeight="1" x14ac:dyDescent="0.25">
      <c r="A104" s="11" t="s">
        <v>102</v>
      </c>
      <c r="B104" s="5" t="s">
        <v>125</v>
      </c>
      <c r="C104" s="1140">
        <f t="shared" si="2"/>
        <v>619734718</v>
      </c>
      <c r="D104" s="271">
        <f>307535372-649147+189000+18509-33359860+18212971-9196005</f>
        <v>282750840</v>
      </c>
      <c r="E104" s="182">
        <v>1536297</v>
      </c>
      <c r="F104" s="121">
        <f>155755158+92726933+49753784+15922544+21289162</f>
        <v>335447581</v>
      </c>
    </row>
    <row r="105" spans="1:6" ht="12" customHeight="1" x14ac:dyDescent="0.25">
      <c r="A105" s="11" t="s">
        <v>103</v>
      </c>
      <c r="B105" s="5" t="s">
        <v>150</v>
      </c>
      <c r="C105" s="308">
        <f t="shared" si="2"/>
        <v>61300000</v>
      </c>
      <c r="D105" s="271">
        <v>61300000</v>
      </c>
      <c r="E105" s="182"/>
      <c r="F105" s="182"/>
    </row>
    <row r="106" spans="1:6" ht="12" customHeight="1" x14ac:dyDescent="0.25">
      <c r="A106" s="11" t="s">
        <v>114</v>
      </c>
      <c r="B106" s="4" t="s">
        <v>151</v>
      </c>
      <c r="C106" s="308">
        <f t="shared" si="2"/>
        <v>204065134</v>
      </c>
      <c r="D106" s="271">
        <f>SUM(D107:D118)</f>
        <v>204062634</v>
      </c>
      <c r="E106" s="271">
        <f>SUM(E107:E118)</f>
        <v>0</v>
      </c>
      <c r="F106" s="271">
        <f>SUM(F107:F118)</f>
        <v>2500</v>
      </c>
    </row>
    <row r="107" spans="1:6" ht="12" customHeight="1" x14ac:dyDescent="0.25">
      <c r="A107" s="11" t="s">
        <v>104</v>
      </c>
      <c r="B107" s="5" t="s">
        <v>461</v>
      </c>
      <c r="C107" s="308">
        <f t="shared" si="2"/>
        <v>794676</v>
      </c>
      <c r="D107" s="271">
        <v>792176</v>
      </c>
      <c r="E107" s="182"/>
      <c r="F107" s="182">
        <v>2500</v>
      </c>
    </row>
    <row r="108" spans="1:6" ht="12" customHeight="1" x14ac:dyDescent="0.25">
      <c r="A108" s="11" t="s">
        <v>105</v>
      </c>
      <c r="B108" s="63" t="s">
        <v>462</v>
      </c>
      <c r="C108" s="308">
        <f t="shared" si="2"/>
        <v>0</v>
      </c>
      <c r="D108" s="271"/>
      <c r="E108" s="182"/>
      <c r="F108" s="182"/>
    </row>
    <row r="109" spans="1:6" ht="12" customHeight="1" x14ac:dyDescent="0.25">
      <c r="A109" s="11" t="s">
        <v>115</v>
      </c>
      <c r="B109" s="63" t="s">
        <v>463</v>
      </c>
      <c r="C109" s="308">
        <f t="shared" si="2"/>
        <v>0</v>
      </c>
      <c r="D109" s="271"/>
      <c r="E109" s="182"/>
      <c r="F109" s="182"/>
    </row>
    <row r="110" spans="1:6" ht="12" customHeight="1" x14ac:dyDescent="0.25">
      <c r="A110" s="11" t="s">
        <v>116</v>
      </c>
      <c r="B110" s="61" t="s">
        <v>300</v>
      </c>
      <c r="C110" s="308">
        <f t="shared" si="2"/>
        <v>0</v>
      </c>
      <c r="D110" s="271"/>
      <c r="E110" s="182"/>
      <c r="F110" s="182"/>
    </row>
    <row r="111" spans="1:6" ht="12" customHeight="1" x14ac:dyDescent="0.25">
      <c r="A111" s="11" t="s">
        <v>117</v>
      </c>
      <c r="B111" s="62" t="s">
        <v>301</v>
      </c>
      <c r="C111" s="308">
        <f t="shared" si="2"/>
        <v>0</v>
      </c>
      <c r="D111" s="271"/>
      <c r="E111" s="182"/>
      <c r="F111" s="182"/>
    </row>
    <row r="112" spans="1:6" ht="12" customHeight="1" x14ac:dyDescent="0.25">
      <c r="A112" s="11" t="s">
        <v>118</v>
      </c>
      <c r="B112" s="62" t="s">
        <v>302</v>
      </c>
      <c r="C112" s="308">
        <f t="shared" si="2"/>
        <v>0</v>
      </c>
      <c r="D112" s="271"/>
      <c r="E112" s="182"/>
      <c r="F112" s="182"/>
    </row>
    <row r="113" spans="1:6" ht="12" customHeight="1" x14ac:dyDescent="0.25">
      <c r="A113" s="11" t="s">
        <v>120</v>
      </c>
      <c r="B113" s="61" t="s">
        <v>303</v>
      </c>
      <c r="C113" s="305">
        <f t="shared" si="2"/>
        <v>1461000</v>
      </c>
      <c r="D113" s="271">
        <f>526000+935000</f>
        <v>1461000</v>
      </c>
      <c r="E113" s="182"/>
      <c r="F113" s="182"/>
    </row>
    <row r="114" spans="1:6" ht="12" customHeight="1" x14ac:dyDescent="0.25">
      <c r="A114" s="11" t="s">
        <v>152</v>
      </c>
      <c r="B114" s="61" t="s">
        <v>304</v>
      </c>
      <c r="C114" s="308">
        <f t="shared" si="2"/>
        <v>0</v>
      </c>
      <c r="D114" s="592"/>
      <c r="E114" s="182"/>
      <c r="F114" s="182"/>
    </row>
    <row r="115" spans="1:6" ht="12" customHeight="1" x14ac:dyDescent="0.25">
      <c r="A115" s="11" t="s">
        <v>298</v>
      </c>
      <c r="B115" s="62" t="s">
        <v>305</v>
      </c>
      <c r="C115" s="308">
        <f t="shared" si="2"/>
        <v>0</v>
      </c>
      <c r="D115" s="271"/>
      <c r="E115" s="182"/>
      <c r="F115" s="182"/>
    </row>
    <row r="116" spans="1:6" ht="12" customHeight="1" x14ac:dyDescent="0.25">
      <c r="A116" s="10" t="s">
        <v>299</v>
      </c>
      <c r="B116" s="63" t="s">
        <v>306</v>
      </c>
      <c r="C116" s="308">
        <f t="shared" si="2"/>
        <v>0</v>
      </c>
      <c r="D116" s="271"/>
      <c r="E116" s="182"/>
      <c r="F116" s="182"/>
    </row>
    <row r="117" spans="1:6" ht="12" customHeight="1" x14ac:dyDescent="0.25">
      <c r="A117" s="11" t="s">
        <v>464</v>
      </c>
      <c r="B117" s="63" t="s">
        <v>307</v>
      </c>
      <c r="C117" s="308">
        <f t="shared" si="2"/>
        <v>0</v>
      </c>
      <c r="D117" s="271"/>
      <c r="E117" s="182"/>
      <c r="F117" s="182"/>
    </row>
    <row r="118" spans="1:6" ht="12" customHeight="1" x14ac:dyDescent="0.25">
      <c r="A118" s="13" t="s">
        <v>465</v>
      </c>
      <c r="B118" s="63" t="s">
        <v>308</v>
      </c>
      <c r="C118" s="308">
        <f t="shared" si="2"/>
        <v>201809458</v>
      </c>
      <c r="D118" s="267">
        <f>201809461-3</f>
        <v>201809458</v>
      </c>
      <c r="E118" s="121"/>
      <c r="F118" s="182"/>
    </row>
    <row r="119" spans="1:6" ht="12" customHeight="1" x14ac:dyDescent="0.25">
      <c r="A119" s="11" t="s">
        <v>466</v>
      </c>
      <c r="B119" s="5" t="s">
        <v>52</v>
      </c>
      <c r="C119" s="308">
        <f t="shared" si="2"/>
        <v>154214482</v>
      </c>
      <c r="D119" s="267">
        <f>SUM(D120:D121)</f>
        <v>154214482</v>
      </c>
      <c r="E119" s="121"/>
      <c r="F119" s="121"/>
    </row>
    <row r="120" spans="1:6" ht="12" customHeight="1" x14ac:dyDescent="0.25">
      <c r="A120" s="11" t="s">
        <v>467</v>
      </c>
      <c r="B120" s="5" t="s">
        <v>468</v>
      </c>
      <c r="C120" s="1140">
        <f t="shared" si="2"/>
        <v>47256369</v>
      </c>
      <c r="D120" s="271">
        <f>20000000+10207308-13229384-322815+29863551-32000+769709</f>
        <v>47256369</v>
      </c>
      <c r="E120" s="182"/>
      <c r="F120" s="121"/>
    </row>
    <row r="121" spans="1:6" ht="12" customHeight="1" thickBot="1" x14ac:dyDescent="0.3">
      <c r="A121" s="15" t="s">
        <v>469</v>
      </c>
      <c r="B121" s="256" t="s">
        <v>470</v>
      </c>
      <c r="C121" s="1140">
        <f t="shared" si="2"/>
        <v>106958113</v>
      </c>
      <c r="D121" s="301">
        <f>113540838-300000-1722008-810685-253737-15000000+11503705</f>
        <v>106958113</v>
      </c>
      <c r="E121" s="280"/>
      <c r="F121" s="280"/>
    </row>
    <row r="122" spans="1:6" ht="12" customHeight="1" thickBot="1" x14ac:dyDescent="0.3">
      <c r="A122" s="257" t="s">
        <v>22</v>
      </c>
      <c r="B122" s="258" t="s">
        <v>309</v>
      </c>
      <c r="C122" s="117">
        <f t="shared" si="2"/>
        <v>910191198</v>
      </c>
      <c r="D122" s="282">
        <f>+D123+D125+D127</f>
        <v>902665875</v>
      </c>
      <c r="E122" s="117">
        <f>+E123+E125+E127</f>
        <v>230000</v>
      </c>
      <c r="F122" s="259">
        <f>+F123+F125+F127</f>
        <v>7295323</v>
      </c>
    </row>
    <row r="123" spans="1:6" ht="18.75" customHeight="1" x14ac:dyDescent="0.25">
      <c r="A123" s="12" t="s">
        <v>106</v>
      </c>
      <c r="B123" s="5" t="s">
        <v>173</v>
      </c>
      <c r="C123" s="1382">
        <f>SUM(D123:F123)</f>
        <v>636542752</v>
      </c>
      <c r="D123" s="286">
        <f>649199379+530-539760-98930-2000000+109147+1727000+-2097540-15972467</f>
        <v>630327359</v>
      </c>
      <c r="E123" s="231">
        <v>230000</v>
      </c>
      <c r="F123" s="231">
        <f>1500000+712620+2527155+610850+634768</f>
        <v>5985393</v>
      </c>
    </row>
    <row r="124" spans="1:6" ht="12" customHeight="1" x14ac:dyDescent="0.25">
      <c r="A124" s="12" t="s">
        <v>107</v>
      </c>
      <c r="B124" s="9" t="s">
        <v>313</v>
      </c>
      <c r="C124" s="1382">
        <f t="shared" si="2"/>
        <v>566825117</v>
      </c>
      <c r="D124" s="286">
        <f>600206715+530-539760-98930-30209788-2533650</f>
        <v>566825117</v>
      </c>
      <c r="E124" s="231"/>
      <c r="F124" s="231"/>
    </row>
    <row r="125" spans="1:6" ht="12" customHeight="1" x14ac:dyDescent="0.25">
      <c r="A125" s="12" t="s">
        <v>108</v>
      </c>
      <c r="B125" s="9" t="s">
        <v>153</v>
      </c>
      <c r="C125" s="304">
        <f t="shared" si="2"/>
        <v>266769726</v>
      </c>
      <c r="D125" s="267">
        <f>262142296-1206500+677185+322815+3524000</f>
        <v>265459796</v>
      </c>
      <c r="E125" s="121"/>
      <c r="F125" s="121">
        <f>600000+709930</f>
        <v>1309930</v>
      </c>
    </row>
    <row r="126" spans="1:6" ht="12" customHeight="1" x14ac:dyDescent="0.25">
      <c r="A126" s="12" t="s">
        <v>109</v>
      </c>
      <c r="B126" s="9" t="s">
        <v>314</v>
      </c>
      <c r="C126" s="188">
        <f t="shared" si="2"/>
        <v>92353398</v>
      </c>
      <c r="D126" s="267">
        <f>93559898-1206500</f>
        <v>92353398</v>
      </c>
      <c r="E126" s="590"/>
      <c r="F126" s="267"/>
    </row>
    <row r="127" spans="1:6" ht="12" customHeight="1" x14ac:dyDescent="0.25">
      <c r="A127" s="12" t="s">
        <v>110</v>
      </c>
      <c r="B127" s="114" t="s">
        <v>175</v>
      </c>
      <c r="C127" s="188">
        <f t="shared" si="2"/>
        <v>6878720</v>
      </c>
      <c r="D127" s="271">
        <f>SUM(D128:D135)</f>
        <v>6878720</v>
      </c>
      <c r="E127" s="267"/>
      <c r="F127" s="267"/>
    </row>
    <row r="128" spans="1:6" ht="12" customHeight="1" x14ac:dyDescent="0.25">
      <c r="A128" s="12" t="s">
        <v>119</v>
      </c>
      <c r="B128" s="113" t="s">
        <v>376</v>
      </c>
      <c r="C128" s="188">
        <f t="shared" si="2"/>
        <v>0</v>
      </c>
      <c r="D128" s="106"/>
      <c r="E128" s="106"/>
      <c r="F128" s="267"/>
    </row>
    <row r="129" spans="1:6" ht="12" customHeight="1" x14ac:dyDescent="0.25">
      <c r="A129" s="12" t="s">
        <v>121</v>
      </c>
      <c r="B129" s="189" t="s">
        <v>319</v>
      </c>
      <c r="C129" s="188">
        <f t="shared" si="2"/>
        <v>0</v>
      </c>
      <c r="D129" s="106"/>
      <c r="E129" s="106"/>
      <c r="F129" s="267"/>
    </row>
    <row r="130" spans="1:6" x14ac:dyDescent="0.25">
      <c r="A130" s="12" t="s">
        <v>154</v>
      </c>
      <c r="B130" s="62" t="s">
        <v>302</v>
      </c>
      <c r="C130" s="188">
        <f t="shared" si="2"/>
        <v>0</v>
      </c>
      <c r="D130" s="106"/>
      <c r="E130" s="106"/>
      <c r="F130" s="267"/>
    </row>
    <row r="131" spans="1:6" ht="12" customHeight="1" x14ac:dyDescent="0.25">
      <c r="A131" s="12" t="s">
        <v>155</v>
      </c>
      <c r="B131" s="62" t="s">
        <v>318</v>
      </c>
      <c r="C131" s="188">
        <f t="shared" si="2"/>
        <v>0</v>
      </c>
      <c r="D131" s="106"/>
      <c r="E131" s="106"/>
      <c r="F131" s="267"/>
    </row>
    <row r="132" spans="1:6" ht="12" customHeight="1" x14ac:dyDescent="0.25">
      <c r="A132" s="12" t="s">
        <v>156</v>
      </c>
      <c r="B132" s="62" t="s">
        <v>317</v>
      </c>
      <c r="C132" s="188">
        <f t="shared" si="2"/>
        <v>0</v>
      </c>
      <c r="D132" s="106"/>
      <c r="E132" s="106"/>
      <c r="F132" s="267"/>
    </row>
    <row r="133" spans="1:6" ht="12" customHeight="1" x14ac:dyDescent="0.25">
      <c r="A133" s="12" t="s">
        <v>310</v>
      </c>
      <c r="B133" s="62" t="s">
        <v>305</v>
      </c>
      <c r="C133" s="188">
        <f t="shared" si="2"/>
        <v>0</v>
      </c>
      <c r="D133" s="106"/>
      <c r="E133" s="106"/>
      <c r="F133" s="267"/>
    </row>
    <row r="134" spans="1:6" ht="12" customHeight="1" x14ac:dyDescent="0.25">
      <c r="A134" s="12" t="s">
        <v>311</v>
      </c>
      <c r="B134" s="62" t="s">
        <v>316</v>
      </c>
      <c r="C134" s="188">
        <f t="shared" si="2"/>
        <v>0</v>
      </c>
      <c r="D134" s="106"/>
      <c r="E134" s="106"/>
      <c r="F134" s="267"/>
    </row>
    <row r="135" spans="1:6" ht="16.5" thickBot="1" x14ac:dyDescent="0.3">
      <c r="A135" s="10" t="s">
        <v>312</v>
      </c>
      <c r="B135" s="62" t="s">
        <v>315</v>
      </c>
      <c r="C135" s="1382">
        <f t="shared" si="2"/>
        <v>6878720</v>
      </c>
      <c r="D135" s="107">
        <f>7001899+900000-1023179</f>
        <v>6878720</v>
      </c>
      <c r="E135" s="271"/>
      <c r="F135" s="271"/>
    </row>
    <row r="136" spans="1:6" ht="12" customHeight="1" thickBot="1" x14ac:dyDescent="0.3">
      <c r="A136" s="17" t="s">
        <v>23</v>
      </c>
      <c r="B136" s="57" t="s">
        <v>471</v>
      </c>
      <c r="C136" s="117">
        <f t="shared" si="2"/>
        <v>2665779850</v>
      </c>
      <c r="D136" s="282">
        <f>+D101+D122</f>
        <v>1671940295</v>
      </c>
      <c r="E136" s="117">
        <f>+E101+E122</f>
        <v>6587467</v>
      </c>
      <c r="F136" s="117">
        <f>+F101+F122</f>
        <v>987252088</v>
      </c>
    </row>
    <row r="137" spans="1:6" ht="12" customHeight="1" thickBot="1" x14ac:dyDescent="0.3">
      <c r="A137" s="17" t="s">
        <v>24</v>
      </c>
      <c r="B137" s="57" t="s">
        <v>472</v>
      </c>
      <c r="C137" s="310">
        <f t="shared" si="2"/>
        <v>722563844</v>
      </c>
      <c r="D137" s="282">
        <f>+D138+D139+D140</f>
        <v>722563844</v>
      </c>
      <c r="E137" s="117">
        <f>+E138+E139+E140</f>
        <v>0</v>
      </c>
      <c r="F137" s="117">
        <f>+F138+F139+F140</f>
        <v>0</v>
      </c>
    </row>
    <row r="138" spans="1:6" ht="12" customHeight="1" x14ac:dyDescent="0.25">
      <c r="A138" s="12" t="s">
        <v>211</v>
      </c>
      <c r="B138" s="9" t="s">
        <v>473</v>
      </c>
      <c r="C138" s="188">
        <f t="shared" si="2"/>
        <v>22563844</v>
      </c>
      <c r="D138" s="267">
        <v>22563844</v>
      </c>
      <c r="E138" s="267"/>
      <c r="F138" s="267"/>
    </row>
    <row r="139" spans="1:6" ht="12" customHeight="1" x14ac:dyDescent="0.25">
      <c r="A139" s="12" t="s">
        <v>214</v>
      </c>
      <c r="B139" s="9" t="s">
        <v>474</v>
      </c>
      <c r="C139" s="308">
        <f t="shared" si="2"/>
        <v>700000000</v>
      </c>
      <c r="D139" s="106">
        <v>700000000</v>
      </c>
      <c r="E139" s="106"/>
      <c r="F139" s="106"/>
    </row>
    <row r="140" spans="1:6" ht="12" customHeight="1" thickBot="1" x14ac:dyDescent="0.3">
      <c r="A140" s="10" t="s">
        <v>215</v>
      </c>
      <c r="B140" s="9" t="s">
        <v>475</v>
      </c>
      <c r="C140" s="309">
        <f t="shared" si="2"/>
        <v>0</v>
      </c>
      <c r="D140" s="106"/>
      <c r="E140" s="106"/>
      <c r="F140" s="106"/>
    </row>
    <row r="141" spans="1:6" ht="12" customHeight="1" thickBot="1" x14ac:dyDescent="0.3">
      <c r="A141" s="17" t="s">
        <v>25</v>
      </c>
      <c r="B141" s="57" t="s">
        <v>476</v>
      </c>
      <c r="C141" s="310">
        <f t="shared" si="2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</row>
    <row r="142" spans="1:6" ht="12" customHeight="1" x14ac:dyDescent="0.25">
      <c r="A142" s="12" t="s">
        <v>93</v>
      </c>
      <c r="B142" s="6" t="s">
        <v>477</v>
      </c>
      <c r="C142" s="188">
        <f t="shared" si="2"/>
        <v>0</v>
      </c>
      <c r="D142" s="106"/>
      <c r="E142" s="106"/>
      <c r="F142" s="106"/>
    </row>
    <row r="143" spans="1:6" ht="12" customHeight="1" x14ac:dyDescent="0.25">
      <c r="A143" s="12" t="s">
        <v>94</v>
      </c>
      <c r="B143" s="6" t="s">
        <v>478</v>
      </c>
      <c r="C143" s="308">
        <f t="shared" si="2"/>
        <v>0</v>
      </c>
      <c r="D143" s="106"/>
      <c r="E143" s="106"/>
      <c r="F143" s="106"/>
    </row>
    <row r="144" spans="1:6" ht="12" customHeight="1" x14ac:dyDescent="0.25">
      <c r="A144" s="12" t="s">
        <v>95</v>
      </c>
      <c r="B144" s="6" t="s">
        <v>479</v>
      </c>
      <c r="C144" s="308">
        <f t="shared" si="2"/>
        <v>0</v>
      </c>
      <c r="D144" s="106"/>
      <c r="E144" s="106"/>
      <c r="F144" s="106"/>
    </row>
    <row r="145" spans="1:6" ht="12" customHeight="1" x14ac:dyDescent="0.25">
      <c r="A145" s="12" t="s">
        <v>141</v>
      </c>
      <c r="B145" s="6" t="s">
        <v>480</v>
      </c>
      <c r="C145" s="308">
        <f t="shared" si="2"/>
        <v>0</v>
      </c>
      <c r="D145" s="106"/>
      <c r="E145" s="106"/>
      <c r="F145" s="106"/>
    </row>
    <row r="146" spans="1:6" ht="12" customHeight="1" x14ac:dyDescent="0.25">
      <c r="A146" s="12" t="s">
        <v>142</v>
      </c>
      <c r="B146" s="6" t="s">
        <v>481</v>
      </c>
      <c r="C146" s="308">
        <f t="shared" si="2"/>
        <v>0</v>
      </c>
      <c r="D146" s="106"/>
      <c r="E146" s="106"/>
      <c r="F146" s="106"/>
    </row>
    <row r="147" spans="1:6" ht="12" customHeight="1" thickBot="1" x14ac:dyDescent="0.3">
      <c r="A147" s="10" t="s">
        <v>143</v>
      </c>
      <c r="B147" s="6" t="s">
        <v>482</v>
      </c>
      <c r="C147" s="309">
        <f t="shared" si="2"/>
        <v>0</v>
      </c>
      <c r="D147" s="106"/>
      <c r="E147" s="106"/>
      <c r="F147" s="106"/>
    </row>
    <row r="148" spans="1:6" ht="12" customHeight="1" thickBot="1" x14ac:dyDescent="0.3">
      <c r="A148" s="17" t="s">
        <v>26</v>
      </c>
      <c r="B148" s="57" t="s">
        <v>483</v>
      </c>
      <c r="C148" s="117">
        <f t="shared" si="2"/>
        <v>45672254</v>
      </c>
      <c r="D148" s="285">
        <f>+D149+D150+D151+D152</f>
        <v>45672254</v>
      </c>
      <c r="E148" s="122">
        <f>+E149+E150+E151+E152</f>
        <v>0</v>
      </c>
      <c r="F148" s="122">
        <f>+F149+F150+F151+F152</f>
        <v>0</v>
      </c>
    </row>
    <row r="149" spans="1:6" ht="12" customHeight="1" x14ac:dyDescent="0.25">
      <c r="A149" s="12" t="s">
        <v>96</v>
      </c>
      <c r="B149" s="6" t="s">
        <v>320</v>
      </c>
      <c r="C149" s="188">
        <f t="shared" si="2"/>
        <v>0</v>
      </c>
      <c r="D149" s="106"/>
      <c r="E149" s="106"/>
      <c r="F149" s="106"/>
    </row>
    <row r="150" spans="1:6" ht="12" customHeight="1" x14ac:dyDescent="0.25">
      <c r="A150" s="12" t="s">
        <v>97</v>
      </c>
      <c r="B150" s="6" t="s">
        <v>321</v>
      </c>
      <c r="C150" s="305">
        <f t="shared" si="2"/>
        <v>45672254</v>
      </c>
      <c r="D150" s="106">
        <v>45672254</v>
      </c>
      <c r="E150" s="106"/>
      <c r="F150" s="106"/>
    </row>
    <row r="151" spans="1:6" ht="12" customHeight="1" x14ac:dyDescent="0.25">
      <c r="A151" s="12" t="s">
        <v>234</v>
      </c>
      <c r="B151" s="6" t="s">
        <v>484</v>
      </c>
      <c r="C151" s="308">
        <f t="shared" si="2"/>
        <v>0</v>
      </c>
      <c r="D151" s="106"/>
      <c r="E151" s="106"/>
      <c r="F151" s="106"/>
    </row>
    <row r="152" spans="1:6" ht="12" customHeight="1" thickBot="1" x14ac:dyDescent="0.3">
      <c r="A152" s="10" t="s">
        <v>235</v>
      </c>
      <c r="B152" s="4" t="s">
        <v>339</v>
      </c>
      <c r="C152" s="309">
        <f t="shared" si="2"/>
        <v>0</v>
      </c>
      <c r="D152" s="106"/>
      <c r="E152" s="106"/>
      <c r="F152" s="106"/>
    </row>
    <row r="153" spans="1:6" ht="12" customHeight="1" thickBot="1" x14ac:dyDescent="0.3">
      <c r="A153" s="17" t="s">
        <v>27</v>
      </c>
      <c r="B153" s="57" t="s">
        <v>485</v>
      </c>
      <c r="C153" s="310">
        <f t="shared" si="2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</row>
    <row r="154" spans="1:6" ht="12" customHeight="1" x14ac:dyDescent="0.25">
      <c r="A154" s="12" t="s">
        <v>98</v>
      </c>
      <c r="B154" s="6" t="s">
        <v>486</v>
      </c>
      <c r="C154" s="188">
        <f t="shared" si="2"/>
        <v>0</v>
      </c>
      <c r="D154" s="106"/>
      <c r="E154" s="106"/>
      <c r="F154" s="106"/>
    </row>
    <row r="155" spans="1:6" ht="12" customHeight="1" x14ac:dyDescent="0.25">
      <c r="A155" s="12" t="s">
        <v>99</v>
      </c>
      <c r="B155" s="6" t="s">
        <v>487</v>
      </c>
      <c r="C155" s="308">
        <f t="shared" si="2"/>
        <v>0</v>
      </c>
      <c r="D155" s="106"/>
      <c r="E155" s="106"/>
      <c r="F155" s="106"/>
    </row>
    <row r="156" spans="1:6" ht="12" customHeight="1" x14ac:dyDescent="0.25">
      <c r="A156" s="12" t="s">
        <v>246</v>
      </c>
      <c r="B156" s="6" t="s">
        <v>488</v>
      </c>
      <c r="C156" s="308">
        <f t="shared" si="2"/>
        <v>0</v>
      </c>
      <c r="D156" s="106"/>
      <c r="E156" s="106"/>
      <c r="F156" s="106"/>
    </row>
    <row r="157" spans="1:6" ht="12" customHeight="1" x14ac:dyDescent="0.25">
      <c r="A157" s="12" t="s">
        <v>247</v>
      </c>
      <c r="B157" s="6" t="s">
        <v>489</v>
      </c>
      <c r="C157" s="308">
        <f t="shared" si="2"/>
        <v>0</v>
      </c>
      <c r="D157" s="106"/>
      <c r="E157" s="106"/>
      <c r="F157" s="106"/>
    </row>
    <row r="158" spans="1:6" ht="12" customHeight="1" thickBot="1" x14ac:dyDescent="0.3">
      <c r="A158" s="12" t="s">
        <v>490</v>
      </c>
      <c r="B158" s="6" t="s">
        <v>491</v>
      </c>
      <c r="C158" s="309">
        <f t="shared" si="2"/>
        <v>0</v>
      </c>
      <c r="D158" s="107"/>
      <c r="E158" s="107"/>
      <c r="F158" s="106"/>
    </row>
    <row r="159" spans="1:6" ht="12" customHeight="1" thickBot="1" x14ac:dyDescent="0.3">
      <c r="A159" s="17" t="s">
        <v>28</v>
      </c>
      <c r="B159" s="57" t="s">
        <v>492</v>
      </c>
      <c r="C159" s="117">
        <f t="shared" si="2"/>
        <v>0</v>
      </c>
      <c r="D159" s="292"/>
      <c r="E159" s="125"/>
      <c r="F159" s="260"/>
    </row>
    <row r="160" spans="1:6" ht="12" customHeight="1" thickBot="1" x14ac:dyDescent="0.3">
      <c r="A160" s="17" t="s">
        <v>29</v>
      </c>
      <c r="B160" s="57" t="s">
        <v>493</v>
      </c>
      <c r="C160" s="116">
        <f t="shared" si="2"/>
        <v>0</v>
      </c>
      <c r="D160" s="292"/>
      <c r="E160" s="125"/>
      <c r="F160" s="260"/>
    </row>
    <row r="161" spans="1:9" ht="15" customHeight="1" thickBot="1" x14ac:dyDescent="0.3">
      <c r="A161" s="17" t="s">
        <v>30</v>
      </c>
      <c r="B161" s="57" t="s">
        <v>494</v>
      </c>
      <c r="C161" s="116">
        <f t="shared" si="2"/>
        <v>768236098</v>
      </c>
      <c r="D161" s="293">
        <f>+D137+D141+D148+D153+D159+D160</f>
        <v>768236098</v>
      </c>
      <c r="E161" s="203">
        <f>+E137+E141+E148+E153+E159+E160</f>
        <v>0</v>
      </c>
      <c r="F161" s="203">
        <f>+F137+F141+F148+F153+F159+F160</f>
        <v>0</v>
      </c>
      <c r="G161" s="204"/>
      <c r="H161" s="204"/>
      <c r="I161" s="204"/>
    </row>
    <row r="162" spans="1:9" s="192" customFormat="1" ht="12.95" customHeight="1" thickBot="1" x14ac:dyDescent="0.25">
      <c r="A162" s="115" t="s">
        <v>31</v>
      </c>
      <c r="B162" s="178" t="s">
        <v>495</v>
      </c>
      <c r="C162" s="117">
        <f t="shared" si="2"/>
        <v>3434015948</v>
      </c>
      <c r="D162" s="293">
        <f>+D136+D161</f>
        <v>2440176393</v>
      </c>
      <c r="E162" s="203">
        <f>+E136+E161</f>
        <v>6587467</v>
      </c>
      <c r="F162" s="203">
        <f>+F136+F161</f>
        <v>987252088</v>
      </c>
    </row>
    <row r="163" spans="1:9" ht="7.5" customHeight="1" x14ac:dyDescent="0.25"/>
    <row r="164" spans="1:9" x14ac:dyDescent="0.25">
      <c r="A164" s="1442" t="s">
        <v>322</v>
      </c>
      <c r="B164" s="1442"/>
      <c r="C164" s="1442"/>
    </row>
    <row r="165" spans="1:9" ht="9.75" customHeight="1" thickBot="1" x14ac:dyDescent="0.3">
      <c r="A165" s="1444" t="s">
        <v>131</v>
      </c>
      <c r="B165" s="1444"/>
      <c r="C165" s="126" t="s">
        <v>555</v>
      </c>
    </row>
    <row r="166" spans="1:9" ht="21" customHeight="1" thickBot="1" x14ac:dyDescent="0.3">
      <c r="A166" s="17">
        <v>1</v>
      </c>
      <c r="B166" s="22" t="s">
        <v>496</v>
      </c>
      <c r="C166" s="117">
        <f>+C70-C136</f>
        <v>-524407872</v>
      </c>
    </row>
    <row r="167" spans="1:9" ht="21.75" thickBot="1" x14ac:dyDescent="0.3">
      <c r="A167" s="17" t="s">
        <v>22</v>
      </c>
      <c r="B167" s="22" t="s">
        <v>992</v>
      </c>
      <c r="C167" s="117">
        <f>+C94-C161</f>
        <v>963238282</v>
      </c>
    </row>
    <row r="168" spans="1:9" x14ac:dyDescent="0.25">
      <c r="F168" s="313"/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6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C61"/>
  <sheetViews>
    <sheetView topLeftCell="A37" workbookViewId="0">
      <selection activeCell="E20" sqref="E20"/>
    </sheetView>
  </sheetViews>
  <sheetFormatPr defaultRowHeight="12.75" x14ac:dyDescent="0.2"/>
  <cols>
    <col min="1" max="1" width="13.83203125" style="1005" customWidth="1"/>
    <col min="2" max="2" width="79.1640625" style="1005" customWidth="1"/>
    <col min="3" max="3" width="25" style="1005" customWidth="1"/>
    <col min="4" max="16384" width="9.33203125" style="1005"/>
  </cols>
  <sheetData>
    <row r="1" spans="1:3" x14ac:dyDescent="0.2">
      <c r="A1" s="1491" t="str">
        <f>CONCATENATE("9.3.2. melléklet ",[2]ALAPADATOK!A7," ",[2]ALAPADATOK!B7," ",[2]ALAPADATOK!C7," ",[2]ALAPADATOK!D7," ",[2]ALAPADATOK!E7," ",[2]ALAPADATOK!F7," ",[2]ALAPADATOK!G7," ",[2]ALAPADATOK!H7)</f>
        <v>9.3.2. melléklet a 14. / 2020. ( V.28. ) önkormányzati rendelethez</v>
      </c>
      <c r="B1" s="1491"/>
      <c r="C1" s="1491"/>
    </row>
    <row r="2" spans="1:3" ht="16.5" thickBot="1" x14ac:dyDescent="0.25">
      <c r="A2" s="80"/>
      <c r="B2" s="82"/>
      <c r="C2" s="225"/>
    </row>
    <row r="3" spans="1:3" ht="33.75" customHeight="1" x14ac:dyDescent="0.2">
      <c r="A3" s="183" t="s">
        <v>167</v>
      </c>
      <c r="B3" s="162" t="s">
        <v>404</v>
      </c>
      <c r="C3" s="175" t="s">
        <v>63</v>
      </c>
    </row>
    <row r="4" spans="1:3" ht="24.75" thickBot="1" x14ac:dyDescent="0.25">
      <c r="A4" s="219" t="s">
        <v>166</v>
      </c>
      <c r="B4" s="163" t="s">
        <v>366</v>
      </c>
      <c r="C4" s="176" t="s">
        <v>62</v>
      </c>
    </row>
    <row r="5" spans="1:3" ht="14.25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ht="13.5" thickBot="1" x14ac:dyDescent="0.25">
      <c r="A7" s="74" t="s">
        <v>447</v>
      </c>
      <c r="B7" s="75" t="s">
        <v>448</v>
      </c>
      <c r="C7" s="76" t="s">
        <v>449</v>
      </c>
    </row>
    <row r="8" spans="1:3" ht="13.5" thickBot="1" x14ac:dyDescent="0.25">
      <c r="A8" s="88"/>
      <c r="B8" s="89" t="s">
        <v>58</v>
      </c>
      <c r="C8" s="90"/>
    </row>
    <row r="9" spans="1:3" ht="13.5" thickBot="1" x14ac:dyDescent="0.25">
      <c r="A9" s="74" t="s">
        <v>21</v>
      </c>
      <c r="B9" s="91" t="s">
        <v>523</v>
      </c>
      <c r="C9" s="1197">
        <f>SUM(C10:C20)</f>
        <v>0</v>
      </c>
    </row>
    <row r="10" spans="1:3" x14ac:dyDescent="0.2">
      <c r="A10" s="220" t="s">
        <v>100</v>
      </c>
      <c r="B10" s="7" t="s">
        <v>223</v>
      </c>
      <c r="C10" s="167"/>
    </row>
    <row r="11" spans="1:3" x14ac:dyDescent="0.2">
      <c r="A11" s="221" t="s">
        <v>101</v>
      </c>
      <c r="B11" s="5" t="s">
        <v>224</v>
      </c>
      <c r="C11" s="1195"/>
    </row>
    <row r="12" spans="1:3" x14ac:dyDescent="0.2">
      <c r="A12" s="221" t="s">
        <v>102</v>
      </c>
      <c r="B12" s="5" t="s">
        <v>225</v>
      </c>
      <c r="C12" s="1195"/>
    </row>
    <row r="13" spans="1:3" x14ac:dyDescent="0.2">
      <c r="A13" s="221" t="s">
        <v>103</v>
      </c>
      <c r="B13" s="5" t="s">
        <v>226</v>
      </c>
      <c r="C13" s="1195"/>
    </row>
    <row r="14" spans="1:3" x14ac:dyDescent="0.2">
      <c r="A14" s="221" t="s">
        <v>126</v>
      </c>
      <c r="B14" s="5" t="s">
        <v>227</v>
      </c>
      <c r="C14" s="1195"/>
    </row>
    <row r="15" spans="1:3" x14ac:dyDescent="0.2">
      <c r="A15" s="221" t="s">
        <v>104</v>
      </c>
      <c r="B15" s="5" t="s">
        <v>348</v>
      </c>
      <c r="C15" s="1195"/>
    </row>
    <row r="16" spans="1:3" x14ac:dyDescent="0.2">
      <c r="A16" s="221" t="s">
        <v>105</v>
      </c>
      <c r="B16" s="4" t="s">
        <v>349</v>
      </c>
      <c r="C16" s="1195"/>
    </row>
    <row r="17" spans="1:3" x14ac:dyDescent="0.2">
      <c r="A17" s="221" t="s">
        <v>115</v>
      </c>
      <c r="B17" s="5" t="s">
        <v>230</v>
      </c>
      <c r="C17" s="132"/>
    </row>
    <row r="18" spans="1:3" x14ac:dyDescent="0.2">
      <c r="A18" s="221" t="s">
        <v>116</v>
      </c>
      <c r="B18" s="5" t="s">
        <v>231</v>
      </c>
      <c r="C18" s="1195"/>
    </row>
    <row r="19" spans="1:3" x14ac:dyDescent="0.2">
      <c r="A19" s="221" t="s">
        <v>117</v>
      </c>
      <c r="B19" s="5" t="s">
        <v>453</v>
      </c>
      <c r="C19" s="481"/>
    </row>
    <row r="20" spans="1:3" ht="13.5" thickBot="1" x14ac:dyDescent="0.25">
      <c r="A20" s="221" t="s">
        <v>118</v>
      </c>
      <c r="B20" s="4" t="s">
        <v>232</v>
      </c>
      <c r="C20" s="481"/>
    </row>
    <row r="21" spans="1:3" ht="13.5" thickBot="1" x14ac:dyDescent="0.25">
      <c r="A21" s="74" t="s">
        <v>22</v>
      </c>
      <c r="B21" s="91" t="s">
        <v>350</v>
      </c>
      <c r="C21" s="1197">
        <f>SUM(C22:C24)</f>
        <v>0</v>
      </c>
    </row>
    <row r="22" spans="1:3" x14ac:dyDescent="0.2">
      <c r="A22" s="221" t="s">
        <v>106</v>
      </c>
      <c r="B22" s="6" t="s">
        <v>201</v>
      </c>
      <c r="C22" s="129"/>
    </row>
    <row r="23" spans="1:3" x14ac:dyDescent="0.2">
      <c r="A23" s="221" t="s">
        <v>107</v>
      </c>
      <c r="B23" s="5" t="s">
        <v>351</v>
      </c>
      <c r="C23" s="1195"/>
    </row>
    <row r="24" spans="1:3" x14ac:dyDescent="0.2">
      <c r="A24" s="221" t="s">
        <v>108</v>
      </c>
      <c r="B24" s="5" t="s">
        <v>352</v>
      </c>
      <c r="C24" s="1200"/>
    </row>
    <row r="25" spans="1:3" ht="13.5" thickBot="1" x14ac:dyDescent="0.25">
      <c r="A25" s="221" t="s">
        <v>109</v>
      </c>
      <c r="B25" s="5" t="s">
        <v>524</v>
      </c>
      <c r="C25" s="1195"/>
    </row>
    <row r="26" spans="1:3" ht="13.5" thickBot="1" x14ac:dyDescent="0.25">
      <c r="A26" s="77" t="s">
        <v>23</v>
      </c>
      <c r="B26" s="57" t="s">
        <v>140</v>
      </c>
      <c r="C26" s="152"/>
    </row>
    <row r="27" spans="1:3" ht="13.5" thickBot="1" x14ac:dyDescent="0.25">
      <c r="A27" s="77" t="s">
        <v>24</v>
      </c>
      <c r="B27" s="57" t="s">
        <v>525</v>
      </c>
      <c r="C27" s="1197">
        <f>+C28+C29+C30</f>
        <v>0</v>
      </c>
    </row>
    <row r="28" spans="1:3" x14ac:dyDescent="0.2">
      <c r="A28" s="222" t="s">
        <v>211</v>
      </c>
      <c r="B28" s="223" t="s">
        <v>206</v>
      </c>
      <c r="C28" s="1194"/>
    </row>
    <row r="29" spans="1:3" x14ac:dyDescent="0.2">
      <c r="A29" s="222" t="s">
        <v>214</v>
      </c>
      <c r="B29" s="223" t="s">
        <v>351</v>
      </c>
      <c r="C29" s="129"/>
    </row>
    <row r="30" spans="1:3" x14ac:dyDescent="0.2">
      <c r="A30" s="222" t="s">
        <v>215</v>
      </c>
      <c r="B30" s="224" t="s">
        <v>353</v>
      </c>
      <c r="C30" s="129"/>
    </row>
    <row r="31" spans="1:3" ht="13.5" thickBot="1" x14ac:dyDescent="0.25">
      <c r="A31" s="221" t="s">
        <v>216</v>
      </c>
      <c r="B31" s="60" t="s">
        <v>526</v>
      </c>
      <c r="C31" s="1196"/>
    </row>
    <row r="32" spans="1:3" ht="13.5" thickBot="1" x14ac:dyDescent="0.25">
      <c r="A32" s="77" t="s">
        <v>25</v>
      </c>
      <c r="B32" s="57" t="s">
        <v>354</v>
      </c>
      <c r="C32" s="1197">
        <f>+C33+C34+C35</f>
        <v>0</v>
      </c>
    </row>
    <row r="33" spans="1:3" x14ac:dyDescent="0.2">
      <c r="A33" s="222" t="s">
        <v>93</v>
      </c>
      <c r="B33" s="223" t="s">
        <v>237</v>
      </c>
      <c r="C33" s="1194"/>
    </row>
    <row r="34" spans="1:3" x14ac:dyDescent="0.2">
      <c r="A34" s="222" t="s">
        <v>94</v>
      </c>
      <c r="B34" s="224" t="s">
        <v>238</v>
      </c>
      <c r="C34" s="132"/>
    </row>
    <row r="35" spans="1:3" ht="13.5" thickBot="1" x14ac:dyDescent="0.25">
      <c r="A35" s="221" t="s">
        <v>95</v>
      </c>
      <c r="B35" s="60" t="s">
        <v>239</v>
      </c>
      <c r="C35" s="1196"/>
    </row>
    <row r="36" spans="1:3" ht="13.5" thickBot="1" x14ac:dyDescent="0.25">
      <c r="A36" s="77" t="s">
        <v>26</v>
      </c>
      <c r="B36" s="57" t="s">
        <v>325</v>
      </c>
      <c r="C36" s="152"/>
    </row>
    <row r="37" spans="1:3" ht="13.5" thickBot="1" x14ac:dyDescent="0.25">
      <c r="A37" s="77" t="s">
        <v>27</v>
      </c>
      <c r="B37" s="57" t="s">
        <v>355</v>
      </c>
      <c r="C37" s="169"/>
    </row>
    <row r="38" spans="1:3" ht="13.5" thickBot="1" x14ac:dyDescent="0.25">
      <c r="A38" s="74" t="s">
        <v>28</v>
      </c>
      <c r="B38" s="57" t="s">
        <v>356</v>
      </c>
      <c r="C38" s="1198">
        <f>+C9+C21+C26+C27+C32+C36+C37</f>
        <v>0</v>
      </c>
    </row>
    <row r="39" spans="1:3" ht="13.5" thickBot="1" x14ac:dyDescent="0.25">
      <c r="A39" s="92" t="s">
        <v>29</v>
      </c>
      <c r="B39" s="57" t="s">
        <v>357</v>
      </c>
      <c r="C39" s="1198">
        <f>+C40+C41+C42</f>
        <v>0</v>
      </c>
    </row>
    <row r="40" spans="1:3" x14ac:dyDescent="0.2">
      <c r="A40" s="222" t="s">
        <v>358</v>
      </c>
      <c r="B40" s="223" t="s">
        <v>182</v>
      </c>
      <c r="C40" s="1194"/>
    </row>
    <row r="41" spans="1:3" x14ac:dyDescent="0.2">
      <c r="A41" s="222" t="s">
        <v>359</v>
      </c>
      <c r="B41" s="224" t="s">
        <v>9</v>
      </c>
      <c r="C41" s="132"/>
    </row>
    <row r="42" spans="1:3" ht="13.5" thickBot="1" x14ac:dyDescent="0.25">
      <c r="A42" s="221" t="s">
        <v>360</v>
      </c>
      <c r="B42" s="60" t="s">
        <v>361</v>
      </c>
      <c r="C42" s="1196"/>
    </row>
    <row r="43" spans="1:3" ht="13.5" thickBot="1" x14ac:dyDescent="0.25">
      <c r="A43" s="92" t="s">
        <v>30</v>
      </c>
      <c r="B43" s="93" t="s">
        <v>362</v>
      </c>
      <c r="C43" s="172">
        <f>+C38+C39</f>
        <v>0</v>
      </c>
    </row>
    <row r="44" spans="1:3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ht="13.5" thickBot="1" x14ac:dyDescent="0.25">
      <c r="A46" s="98"/>
      <c r="B46" s="99" t="s">
        <v>59</v>
      </c>
      <c r="C46" s="172"/>
    </row>
    <row r="47" spans="1:3" ht="13.5" thickBot="1" x14ac:dyDescent="0.25">
      <c r="A47" s="77" t="s">
        <v>21</v>
      </c>
      <c r="B47" s="57" t="s">
        <v>363</v>
      </c>
      <c r="C47" s="1197">
        <f>SUM(C48:C52)</f>
        <v>0</v>
      </c>
    </row>
    <row r="48" spans="1:3" x14ac:dyDescent="0.2">
      <c r="A48" s="221" t="s">
        <v>100</v>
      </c>
      <c r="B48" s="6" t="s">
        <v>51</v>
      </c>
      <c r="C48" s="1199"/>
    </row>
    <row r="49" spans="1:3" x14ac:dyDescent="0.2">
      <c r="A49" s="221" t="s">
        <v>101</v>
      </c>
      <c r="B49" s="5" t="s">
        <v>149</v>
      </c>
      <c r="C49" s="1200"/>
    </row>
    <row r="50" spans="1:3" x14ac:dyDescent="0.2">
      <c r="A50" s="221" t="s">
        <v>102</v>
      </c>
      <c r="B50" s="5" t="s">
        <v>125</v>
      </c>
      <c r="C50" s="676"/>
    </row>
    <row r="51" spans="1:3" x14ac:dyDescent="0.2">
      <c r="A51" s="221" t="s">
        <v>103</v>
      </c>
      <c r="B51" s="5" t="s">
        <v>150</v>
      </c>
      <c r="C51" s="1195"/>
    </row>
    <row r="52" spans="1:3" ht="13.5" thickBot="1" x14ac:dyDescent="0.25">
      <c r="A52" s="221" t="s">
        <v>126</v>
      </c>
      <c r="B52" s="5" t="s">
        <v>151</v>
      </c>
      <c r="C52" s="1195"/>
    </row>
    <row r="53" spans="1:3" ht="13.5" thickBot="1" x14ac:dyDescent="0.25">
      <c r="A53" s="77" t="s">
        <v>22</v>
      </c>
      <c r="B53" s="57" t="s">
        <v>364</v>
      </c>
      <c r="C53" s="1197">
        <f>SUM(C54:C56)</f>
        <v>0</v>
      </c>
    </row>
    <row r="54" spans="1:3" x14ac:dyDescent="0.2">
      <c r="A54" s="221" t="s">
        <v>106</v>
      </c>
      <c r="B54" s="6" t="s">
        <v>173</v>
      </c>
      <c r="C54" s="1199"/>
    </row>
    <row r="55" spans="1:3" x14ac:dyDescent="0.2">
      <c r="A55" s="221" t="s">
        <v>107</v>
      </c>
      <c r="B55" s="5" t="s">
        <v>153</v>
      </c>
      <c r="C55" s="1195"/>
    </row>
    <row r="56" spans="1:3" x14ac:dyDescent="0.2">
      <c r="A56" s="221" t="s">
        <v>108</v>
      </c>
      <c r="B56" s="5" t="s">
        <v>60</v>
      </c>
      <c r="C56" s="1195"/>
    </row>
    <row r="57" spans="1:3" ht="13.5" thickBot="1" x14ac:dyDescent="0.25">
      <c r="A57" s="221" t="s">
        <v>109</v>
      </c>
      <c r="B57" s="5" t="s">
        <v>527</v>
      </c>
      <c r="C57" s="1195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528</v>
      </c>
      <c r="C59" s="173">
        <f>+C47+C53+C58</f>
        <v>0</v>
      </c>
    </row>
    <row r="60" spans="1:3" ht="13.5" thickBot="1" x14ac:dyDescent="0.25">
      <c r="A60" s="101"/>
      <c r="B60" s="1013"/>
      <c r="C60" s="364"/>
    </row>
    <row r="61" spans="1:3" ht="13.5" thickBot="1" x14ac:dyDescent="0.25">
      <c r="A61" s="102" t="s">
        <v>521</v>
      </c>
      <c r="B61" s="103"/>
      <c r="C61" s="484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workbookViewId="0">
      <selection activeCell="H21" sqref="H2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33203125" style="1013"/>
    <col min="5" max="5" width="11.83203125" style="1037" hidden="1" customWidth="1"/>
    <col min="6" max="6" width="12.6640625" style="1037" hidden="1" customWidth="1"/>
    <col min="7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490" t="str">
        <f>CONCATENATE("19. melléklet"," ",ALAPADATOK!A7," ",ALAPADATOK!B7," ",ALAPADATOK!C7," ",ALAPADATOK!D7," ",ALAPADATOK!E7," ",ALAPADATOK!F7," ",ALAPADATOK!G7," ",ALAPADATOK!H7)</f>
        <v>19. melléklet a 21 / 2020. ( IX.25. ) önkormányzati rendelethez</v>
      </c>
      <c r="B1" s="1490"/>
      <c r="C1" s="1490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6" customHeight="1" x14ac:dyDescent="0.2">
      <c r="A3" s="183" t="s">
        <v>167</v>
      </c>
      <c r="B3" s="162" t="s">
        <v>554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166</v>
      </c>
      <c r="B4" s="163" t="s">
        <v>347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556</v>
      </c>
      <c r="E5" s="573"/>
      <c r="F5" s="573"/>
    </row>
    <row r="6" spans="1:6" ht="13.5" thickBot="1" x14ac:dyDescent="0.25">
      <c r="A6" s="184" t="s">
        <v>168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79" t="s">
        <v>449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523</v>
      </c>
      <c r="C9" s="674">
        <f>SUM(C10:C20)</f>
        <v>13528550</v>
      </c>
      <c r="E9" s="575">
        <f>'9.4.1. sz. mell EKIK'!C9+'9.4.2. sz. mell EKIK'!C9</f>
        <v>13528550</v>
      </c>
      <c r="F9" s="575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5">
        <v>20000</v>
      </c>
      <c r="E10" s="575">
        <f>'9.4.1. sz. mell EKIK'!C10+'9.4.2. sz. mell EKIK'!C10</f>
        <v>20000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6">
        <v>11297400</v>
      </c>
      <c r="E11" s="575">
        <f>'9.4.1. sz. mell EKIK'!C11+'9.4.2. sz. mell EKIK'!C11</f>
        <v>11297400</v>
      </c>
      <c r="F11" s="575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6">
        <v>5000</v>
      </c>
      <c r="E12" s="575">
        <f>'9.4.1. sz. mell EKIK'!C12+'9.4.2. sz. mell EKIK'!C12</f>
        <v>5000</v>
      </c>
      <c r="F12" s="575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6"/>
      <c r="E13" s="575">
        <f>'9.4.1. sz. mell EKIK'!C13+'9.4.2. sz. mell EKIK'!C13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6"/>
      <c r="E14" s="575">
        <f>'9.4.1. sz. mell EKIK'!C14+'9.4.2. sz. mell EKIK'!C14</f>
        <v>0</v>
      </c>
      <c r="F14" s="575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6">
        <v>1526150</v>
      </c>
      <c r="E15" s="575">
        <f>'9.4.1. sz. mell EKIK'!C15+'9.4.2. sz. mell EKIK'!C15</f>
        <v>1526150</v>
      </c>
      <c r="F15" s="575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6">
        <v>680000</v>
      </c>
      <c r="E16" s="575">
        <f>'9.4.1. sz. mell EKIK'!C16+'9.4.2. sz. mell EKIK'!C16</f>
        <v>680000</v>
      </c>
      <c r="F16" s="575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7"/>
      <c r="E17" s="575">
        <f>'9.4.1. sz. mell EKIK'!C17+'9.4.2. sz. mell EKIK'!C17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6"/>
      <c r="E18" s="575">
        <f>'9.4.1. sz. mell EKIK'!C18+'9.4.2. sz. mell EKIK'!C18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8"/>
      <c r="E19" s="575">
        <f>'9.4.1. sz. mell EKIK'!C19+'9.4.2. sz. mell EKIK'!C19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8"/>
      <c r="E20" s="575">
        <f>'9.4.1. sz. mell EKIK'!C20+'9.4.2. sz. mell EKIK'!C20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674">
        <f>SUM(C22:C24)</f>
        <v>11259187</v>
      </c>
      <c r="E21" s="575">
        <f>'9.4.1. sz. mell EKIK'!C21+'9.4.2. sz. mell EKIK'!C21</f>
        <v>11259187</v>
      </c>
      <c r="F21" s="575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79"/>
      <c r="E22" s="575">
        <f>'9.4.1. sz. mell EKIK'!C22+'9.4.2. sz. mell EKIK'!C22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6"/>
      <c r="E23" s="575">
        <f>'9.4.1. sz. mell EKIK'!C23+'9.4.2. sz. mell EKIK'!C23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676">
        <v>11259187</v>
      </c>
      <c r="E24" s="575">
        <f>'9.4.1. sz. mell EKIK'!C24+'9.4.2. sz. mell EKIK'!C24</f>
        <v>11259187</v>
      </c>
      <c r="F24" s="575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676">
        <v>11259187</v>
      </c>
      <c r="E25" s="575">
        <f>'9.4.1. sz. mell EKIK'!C25+'9.4.2. sz. mell EKIK'!C25</f>
        <v>11259187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1"/>
      <c r="E26" s="575">
        <f>'9.4.1. sz. mell EKIK'!C26+'9.4.2. sz. mell EKIK'!C26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  <c r="E27" s="575">
        <f>'9.4.1. sz. mell EKIK'!C27+'9.4.2. sz. mell EKIK'!C27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2"/>
      <c r="E28" s="575">
        <f>'9.4.1. sz. mell EKIK'!C28+'9.4.2. sz. mell EKIK'!C28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79"/>
      <c r="E29" s="575">
        <f>'9.4.1. sz. mell EKIK'!C29+'9.4.2. sz. mell EKIK'!C29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679"/>
      <c r="E30" s="575">
        <f>'9.4.1. sz. mell EKIK'!C30+'9.4.2. sz. mell EKIK'!C30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683"/>
      <c r="E31" s="575">
        <f>'9.4.1. sz. mell EKIK'!C31+'9.4.2. sz. mell EKIK'!C31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  <c r="E32" s="575">
        <f>'9.4.1. sz. mell EKIK'!C32+'9.4.2. sz. mell EKIK'!C32</f>
        <v>0</v>
      </c>
      <c r="F32" s="575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2"/>
      <c r="E33" s="575">
        <f>'9.4.1. sz. mell EKIK'!C33+'9.4.2. sz. mell EKIK'!C33</f>
        <v>0</v>
      </c>
      <c r="F33" s="575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7"/>
      <c r="E34" s="575">
        <f>'9.4.1. sz. mell EKIK'!C34+'9.4.2. sz. mell EKIK'!C34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3"/>
      <c r="E35" s="575">
        <f>'9.4.1. sz. mell EKIK'!C35+'9.4.2. sz. mell EKIK'!C35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681"/>
      <c r="E36" s="575">
        <f>'9.4.1. sz. mell EKIK'!C36+'9.4.2. sz. mell EKIK'!C36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4"/>
      <c r="E37" s="575">
        <f>'9.4.1. sz. mell EKIK'!C37+'9.4.2. sz. mell EKIK'!C37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24787737</v>
      </c>
      <c r="E38" s="575">
        <f>'9.4.1. sz. mell EKIK'!C38+'9.4.2. sz. mell EKIK'!C38</f>
        <v>24787737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685">
        <f>+C40+C41+C42</f>
        <v>94671787</v>
      </c>
      <c r="E39" s="575">
        <f>'9.4.1. sz. mell EKIK'!C39+'9.4.2. sz. mell EKIK'!C39</f>
        <v>94671787</v>
      </c>
      <c r="F39" s="575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2">
        <v>490516</v>
      </c>
      <c r="E40" s="575">
        <f>'9.4.1. sz. mell EKIK'!C40+'9.4.2. sz. mell EKIK'!C40</f>
        <v>490516</v>
      </c>
      <c r="F40" s="575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7"/>
      <c r="E41" s="575">
        <f>'9.4.1. sz. mell EKIK'!C41+'9.4.2. sz. mell EKIK'!C41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683">
        <f>93181485+727000+272786</f>
        <v>94181271</v>
      </c>
      <c r="E42" s="575">
        <f>'9.4.1. sz. mell EKIK'!C42+'9.4.2. sz. mell EKIK'!C42</f>
        <v>94181271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686">
        <f>+C38+C39</f>
        <v>119459524</v>
      </c>
      <c r="E43" s="575">
        <f>'9.4.1. sz. mell EKIK'!C43+'9.4.2. sz. mell EKIK'!C43</f>
        <v>119459524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'9.4.1. sz. mell EKIK'!C44+'9.4.2. sz. mell EKIK'!C44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'9.4.1. sz. mell EKIK'!C45+'9.4.2. sz. mell EKIK'!C45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'9.4.1. sz. mell EKIK'!C46+'9.4.2. sz. mell EKIK'!C46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674">
        <f>SUM(C48:C52)</f>
        <v>116205369</v>
      </c>
      <c r="E47" s="575">
        <f>'9.4.1. sz. mell EKIK'!C47+'9.4.2. sz. mell EKIK'!C47</f>
        <v>116205369</v>
      </c>
      <c r="F47" s="575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682">
        <f>55350452-294482+294482</f>
        <v>55350452</v>
      </c>
      <c r="E48" s="575">
        <f>'9.4.1. sz. mell EKIK'!C48+'9.4.2. sz. mell EKIK'!C48</f>
        <v>55350452</v>
      </c>
      <c r="F48" s="575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676">
        <v>9898597</v>
      </c>
      <c r="E49" s="575">
        <f>'9.4.1. sz. mell EKIK'!C49+'9.4.2. sz. mell EKIK'!C49</f>
        <v>9898597</v>
      </c>
      <c r="F49" s="575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676">
        <f>50681034+272786</f>
        <v>50953820</v>
      </c>
      <c r="E50" s="575">
        <f>'9.4.1. sz. mell EKIK'!C50+'9.4.2. sz. mell EKIK'!C50</f>
        <v>50953820</v>
      </c>
      <c r="F50" s="575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6"/>
      <c r="E51" s="575">
        <f>'9.4.1. sz. mell EKIK'!C51+'9.4.2. sz. mell EKIK'!C51</f>
        <v>0</v>
      </c>
      <c r="F51" s="575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6">
        <v>2500</v>
      </c>
      <c r="E52" s="575">
        <f>'9.4.1. sz. mell EKIK'!C52+'9.4.2. sz. mell EKIK'!C52</f>
        <v>2500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4">
        <f>SUM(C54:C56)</f>
        <v>3254155</v>
      </c>
      <c r="E53" s="575">
        <f>'9.4.1. sz. mell EKIK'!C53+'9.4.2. sz. mell EKIK'!C53</f>
        <v>3254155</v>
      </c>
      <c r="F53" s="575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682">
        <f>2527155+727000</f>
        <v>3254155</v>
      </c>
      <c r="E54" s="575">
        <f>'9.4.1. sz. mell EKIK'!C54+'9.4.2. sz. mell EKIK'!C54</f>
        <v>3254155</v>
      </c>
      <c r="F54" s="575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6"/>
      <c r="E55" s="575">
        <f>'9.4.1. sz. mell EKIK'!C55+'9.4.2. sz. mell EKIK'!C55</f>
        <v>0</v>
      </c>
      <c r="F55" s="575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6"/>
      <c r="E56" s="575">
        <f>'9.4.1. sz. mell EKIK'!C56+'9.4.2. sz. mell EKIK'!C56</f>
        <v>0</v>
      </c>
      <c r="F56" s="575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6"/>
      <c r="E57" s="575">
        <f>'9.4.1. sz. mell EKIK'!C57+'9.4.2. sz. mell EKIK'!C57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'9.4.1. sz. mell EKIK'!C58+'9.4.2. sz. mell EKIK'!C58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689">
        <f>+C47+C53+C58</f>
        <v>119459524</v>
      </c>
      <c r="E59" s="575">
        <f>'9.4.1. sz. mell EKIK'!C59+'9.4.2. sz. mell EKIK'!C59</f>
        <v>119459524</v>
      </c>
      <c r="F59" s="575">
        <f t="shared" si="0"/>
        <v>0</v>
      </c>
    </row>
    <row r="60" spans="1:6" ht="14.25" customHeight="1" thickBot="1" x14ac:dyDescent="0.25">
      <c r="C60" s="690"/>
      <c r="E60" s="575">
        <f>'9.4.1. sz. mell EKIK'!C60+'9.4.2. sz. mell EKIK'!C60</f>
        <v>0</v>
      </c>
      <c r="F60" s="575">
        <f t="shared" si="0"/>
        <v>0</v>
      </c>
    </row>
    <row r="61" spans="1:6" x14ac:dyDescent="0.2">
      <c r="A61" s="807" t="s">
        <v>521</v>
      </c>
      <c r="B61" s="808"/>
      <c r="C61" s="809">
        <v>18.75</v>
      </c>
      <c r="E61" s="575">
        <f>'9.4.1. sz. mell EKIK'!C61+'9.4.2. sz. mell EKIK'!C61</f>
        <v>18.75</v>
      </c>
      <c r="F61" s="575">
        <f t="shared" si="0"/>
        <v>0</v>
      </c>
    </row>
    <row r="62" spans="1:6" ht="13.5" thickBot="1" x14ac:dyDescent="0.25">
      <c r="A62" s="1492" t="s">
        <v>842</v>
      </c>
      <c r="B62" s="1493"/>
      <c r="C62" s="810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workbookViewId="0">
      <selection activeCell="D48" sqref="D48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490" t="str">
        <f>CONCATENATE("20. melléklet"," ",ALAPADATOK!A7," ",ALAPADATOK!B7," ",ALAPADATOK!C7," ",ALAPADATOK!D7," ",ALAPADATOK!E7," ",ALAPADATOK!F7," ",ALAPADATOK!G7," ",ALAPADATOK!H7)</f>
        <v>20. melléklet a 21 / 2020. ( IX.25.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374"/>
    </row>
    <row r="3" spans="1:3" s="226" customFormat="1" ht="33" customHeight="1" x14ac:dyDescent="0.2">
      <c r="A3" s="183" t="s">
        <v>167</v>
      </c>
      <c r="B3" s="162" t="s">
        <v>554</v>
      </c>
      <c r="C3" s="375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6" t="s">
        <v>62</v>
      </c>
    </row>
    <row r="5" spans="1:3" s="227" customFormat="1" ht="15.95" customHeight="1" thickBot="1" x14ac:dyDescent="0.3">
      <c r="A5" s="84"/>
      <c r="B5" s="84"/>
      <c r="C5" s="377" t="s">
        <v>556</v>
      </c>
    </row>
    <row r="6" spans="1:3" ht="13.5" thickBot="1" x14ac:dyDescent="0.25">
      <c r="A6" s="184" t="s">
        <v>168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79" t="s">
        <v>449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523</v>
      </c>
      <c r="C9" s="674">
        <f>SUM(C10:C20)</f>
        <v>12372850</v>
      </c>
    </row>
    <row r="10" spans="1:3" s="177" customFormat="1" ht="12" customHeight="1" x14ac:dyDescent="0.2">
      <c r="A10" s="220" t="s">
        <v>100</v>
      </c>
      <c r="B10" s="7" t="s">
        <v>223</v>
      </c>
      <c r="C10" s="675">
        <v>20000</v>
      </c>
    </row>
    <row r="11" spans="1:3" s="177" customFormat="1" ht="12" customHeight="1" x14ac:dyDescent="0.2">
      <c r="A11" s="221" t="s">
        <v>101</v>
      </c>
      <c r="B11" s="5" t="s">
        <v>224</v>
      </c>
      <c r="C11" s="676">
        <v>10387400</v>
      </c>
    </row>
    <row r="12" spans="1:3" s="177" customFormat="1" ht="12" customHeight="1" x14ac:dyDescent="0.2">
      <c r="A12" s="221" t="s">
        <v>102</v>
      </c>
      <c r="B12" s="5" t="s">
        <v>225</v>
      </c>
      <c r="C12" s="676">
        <v>5000</v>
      </c>
    </row>
    <row r="13" spans="1:3" s="177" customFormat="1" ht="12" customHeight="1" x14ac:dyDescent="0.2">
      <c r="A13" s="221" t="s">
        <v>103</v>
      </c>
      <c r="B13" s="5" t="s">
        <v>226</v>
      </c>
      <c r="C13" s="676"/>
    </row>
    <row r="14" spans="1:3" s="177" customFormat="1" ht="12" customHeight="1" x14ac:dyDescent="0.2">
      <c r="A14" s="221" t="s">
        <v>126</v>
      </c>
      <c r="B14" s="5" t="s">
        <v>227</v>
      </c>
      <c r="C14" s="676"/>
    </row>
    <row r="15" spans="1:3" s="177" customFormat="1" ht="12" customHeight="1" x14ac:dyDescent="0.2">
      <c r="A15" s="221" t="s">
        <v>104</v>
      </c>
      <c r="B15" s="5" t="s">
        <v>348</v>
      </c>
      <c r="C15" s="676">
        <v>1280450</v>
      </c>
    </row>
    <row r="16" spans="1:3" s="177" customFormat="1" ht="12" customHeight="1" x14ac:dyDescent="0.2">
      <c r="A16" s="221" t="s">
        <v>105</v>
      </c>
      <c r="B16" s="4" t="s">
        <v>349</v>
      </c>
      <c r="C16" s="676">
        <v>680000</v>
      </c>
    </row>
    <row r="17" spans="1:3" s="177" customFormat="1" ht="12" customHeight="1" x14ac:dyDescent="0.2">
      <c r="A17" s="221" t="s">
        <v>115</v>
      </c>
      <c r="B17" s="5" t="s">
        <v>230</v>
      </c>
      <c r="C17" s="677"/>
    </row>
    <row r="18" spans="1:3" s="229" customFormat="1" ht="12" customHeight="1" x14ac:dyDescent="0.2">
      <c r="A18" s="221" t="s">
        <v>116</v>
      </c>
      <c r="B18" s="5" t="s">
        <v>231</v>
      </c>
      <c r="C18" s="676"/>
    </row>
    <row r="19" spans="1:3" s="229" customFormat="1" ht="12" customHeight="1" x14ac:dyDescent="0.2">
      <c r="A19" s="221" t="s">
        <v>117</v>
      </c>
      <c r="B19" s="5" t="s">
        <v>453</v>
      </c>
      <c r="C19" s="678"/>
    </row>
    <row r="20" spans="1:3" s="229" customFormat="1" ht="12" customHeight="1" thickBot="1" x14ac:dyDescent="0.25">
      <c r="A20" s="221" t="s">
        <v>118</v>
      </c>
      <c r="B20" s="4" t="s">
        <v>232</v>
      </c>
      <c r="C20" s="678"/>
    </row>
    <row r="21" spans="1:3" s="177" customFormat="1" ht="12" customHeight="1" thickBot="1" x14ac:dyDescent="0.25">
      <c r="A21" s="74" t="s">
        <v>22</v>
      </c>
      <c r="B21" s="91" t="s">
        <v>350</v>
      </c>
      <c r="C21" s="674">
        <f>SUM(C22:C24)</f>
        <v>11259187</v>
      </c>
    </row>
    <row r="22" spans="1:3" s="229" customFormat="1" ht="12" customHeight="1" x14ac:dyDescent="0.2">
      <c r="A22" s="221" t="s">
        <v>106</v>
      </c>
      <c r="B22" s="6" t="s">
        <v>201</v>
      </c>
      <c r="C22" s="679"/>
    </row>
    <row r="23" spans="1:3" s="229" customFormat="1" ht="12" customHeight="1" x14ac:dyDescent="0.2">
      <c r="A23" s="221" t="s">
        <v>107</v>
      </c>
      <c r="B23" s="5" t="s">
        <v>351</v>
      </c>
      <c r="C23" s="676"/>
    </row>
    <row r="24" spans="1:3" s="229" customFormat="1" ht="12" customHeight="1" x14ac:dyDescent="0.2">
      <c r="A24" s="221" t="s">
        <v>108</v>
      </c>
      <c r="B24" s="5" t="s">
        <v>352</v>
      </c>
      <c r="C24" s="676">
        <v>11259187</v>
      </c>
    </row>
    <row r="25" spans="1:3" s="229" customFormat="1" ht="12" customHeight="1" thickBot="1" x14ac:dyDescent="0.25">
      <c r="A25" s="221" t="s">
        <v>109</v>
      </c>
      <c r="B25" s="5" t="s">
        <v>524</v>
      </c>
      <c r="C25" s="676">
        <v>11259187</v>
      </c>
    </row>
    <row r="26" spans="1:3" s="229" customFormat="1" ht="12" customHeight="1" thickBot="1" x14ac:dyDescent="0.25">
      <c r="A26" s="77" t="s">
        <v>23</v>
      </c>
      <c r="B26" s="57" t="s">
        <v>140</v>
      </c>
      <c r="C26" s="681"/>
    </row>
    <row r="27" spans="1:3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2"/>
    </row>
    <row r="29" spans="1:3" s="229" customFormat="1" ht="12" customHeight="1" x14ac:dyDescent="0.2">
      <c r="A29" s="222" t="s">
        <v>214</v>
      </c>
      <c r="B29" s="223" t="s">
        <v>351</v>
      </c>
      <c r="C29" s="679"/>
    </row>
    <row r="30" spans="1:3" s="229" customFormat="1" ht="12" customHeight="1" x14ac:dyDescent="0.2">
      <c r="A30" s="222" t="s">
        <v>215</v>
      </c>
      <c r="B30" s="224" t="s">
        <v>353</v>
      </c>
      <c r="C30" s="679"/>
    </row>
    <row r="31" spans="1:3" s="229" customFormat="1" ht="12" customHeight="1" thickBot="1" x14ac:dyDescent="0.25">
      <c r="A31" s="221" t="s">
        <v>216</v>
      </c>
      <c r="B31" s="60" t="s">
        <v>526</v>
      </c>
      <c r="C31" s="683"/>
    </row>
    <row r="32" spans="1:3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2"/>
    </row>
    <row r="34" spans="1:3" s="229" customFormat="1" ht="12" customHeight="1" x14ac:dyDescent="0.2">
      <c r="A34" s="222" t="s">
        <v>94</v>
      </c>
      <c r="B34" s="224" t="s">
        <v>238</v>
      </c>
      <c r="C34" s="677"/>
    </row>
    <row r="35" spans="1:3" s="177" customFormat="1" ht="12" customHeight="1" thickBot="1" x14ac:dyDescent="0.25">
      <c r="A35" s="221" t="s">
        <v>95</v>
      </c>
      <c r="B35" s="60" t="s">
        <v>239</v>
      </c>
      <c r="C35" s="683"/>
    </row>
    <row r="36" spans="1:3" s="177" customFormat="1" ht="12" customHeight="1" thickBot="1" x14ac:dyDescent="0.25">
      <c r="A36" s="77" t="s">
        <v>26</v>
      </c>
      <c r="B36" s="57" t="s">
        <v>325</v>
      </c>
      <c r="C36" s="681"/>
    </row>
    <row r="37" spans="1:3" s="177" customFormat="1" ht="12" customHeight="1" thickBot="1" x14ac:dyDescent="0.25">
      <c r="A37" s="77" t="s">
        <v>27</v>
      </c>
      <c r="B37" s="57" t="s">
        <v>355</v>
      </c>
      <c r="C37" s="684"/>
    </row>
    <row r="38" spans="1:3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23632037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5">
        <f>+C40+C41+C42</f>
        <v>94671787</v>
      </c>
    </row>
    <row r="40" spans="1:3" s="177" customFormat="1" ht="12" customHeight="1" x14ac:dyDescent="0.2">
      <c r="A40" s="222" t="s">
        <v>358</v>
      </c>
      <c r="B40" s="223" t="s">
        <v>182</v>
      </c>
      <c r="C40" s="682">
        <v>490516</v>
      </c>
    </row>
    <row r="41" spans="1:3" s="229" customFormat="1" ht="12" customHeight="1" x14ac:dyDescent="0.2">
      <c r="A41" s="222" t="s">
        <v>359</v>
      </c>
      <c r="B41" s="224" t="s">
        <v>9</v>
      </c>
      <c r="C41" s="677"/>
    </row>
    <row r="42" spans="1:3" s="229" customFormat="1" ht="15" customHeight="1" thickBot="1" x14ac:dyDescent="0.25">
      <c r="A42" s="221" t="s">
        <v>360</v>
      </c>
      <c r="B42" s="60" t="s">
        <v>361</v>
      </c>
      <c r="C42" s="683">
        <f>93181485+727000+272786</f>
        <v>94181271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686">
        <f>+C38+C39</f>
        <v>118303824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363</v>
      </c>
      <c r="C47" s="674">
        <f>SUM(C48:C52)</f>
        <v>115278119</v>
      </c>
    </row>
    <row r="48" spans="1:3" ht="12" customHeight="1" x14ac:dyDescent="0.2">
      <c r="A48" s="221" t="s">
        <v>100</v>
      </c>
      <c r="B48" s="6" t="s">
        <v>51</v>
      </c>
      <c r="C48" s="682">
        <f>55350452-294482+294482</f>
        <v>55350452</v>
      </c>
    </row>
    <row r="49" spans="1:6" ht="12" customHeight="1" x14ac:dyDescent="0.2">
      <c r="A49" s="221" t="s">
        <v>101</v>
      </c>
      <c r="B49" s="5" t="s">
        <v>149</v>
      </c>
      <c r="C49" s="676">
        <v>9898597</v>
      </c>
    </row>
    <row r="50" spans="1:6" ht="12" customHeight="1" x14ac:dyDescent="0.2">
      <c r="A50" s="221" t="s">
        <v>102</v>
      </c>
      <c r="B50" s="5" t="s">
        <v>125</v>
      </c>
      <c r="C50" s="676">
        <f>49753784+272786</f>
        <v>50026570</v>
      </c>
    </row>
    <row r="51" spans="1:6" ht="12" customHeight="1" x14ac:dyDescent="0.2">
      <c r="A51" s="221" t="s">
        <v>103</v>
      </c>
      <c r="B51" s="5" t="s">
        <v>150</v>
      </c>
      <c r="C51" s="676"/>
    </row>
    <row r="52" spans="1:6" ht="12" customHeight="1" thickBot="1" x14ac:dyDescent="0.25">
      <c r="A52" s="221" t="s">
        <v>126</v>
      </c>
      <c r="B52" s="5" t="s">
        <v>151</v>
      </c>
      <c r="C52" s="676">
        <v>2500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4">
        <f>SUM(C54:C56)</f>
        <v>3254155</v>
      </c>
    </row>
    <row r="54" spans="1:6" ht="12" customHeight="1" x14ac:dyDescent="0.2">
      <c r="A54" s="221" t="s">
        <v>106</v>
      </c>
      <c r="B54" s="6" t="s">
        <v>173</v>
      </c>
      <c r="C54" s="682">
        <f>2527155+727000</f>
        <v>3254155</v>
      </c>
    </row>
    <row r="55" spans="1:6" ht="12" customHeight="1" x14ac:dyDescent="0.2">
      <c r="A55" s="221" t="s">
        <v>107</v>
      </c>
      <c r="B55" s="5" t="s">
        <v>153</v>
      </c>
      <c r="C55" s="676"/>
    </row>
    <row r="56" spans="1:6" ht="12" customHeight="1" x14ac:dyDescent="0.2">
      <c r="A56" s="221" t="s">
        <v>108</v>
      </c>
      <c r="B56" s="5" t="s">
        <v>60</v>
      </c>
      <c r="C56" s="676"/>
    </row>
    <row r="57" spans="1:6" ht="15" customHeight="1" thickBot="1" x14ac:dyDescent="0.25">
      <c r="A57" s="221" t="s">
        <v>109</v>
      </c>
      <c r="B57" s="5" t="s">
        <v>527</v>
      </c>
      <c r="C57" s="676"/>
    </row>
    <row r="58" spans="1:6" ht="13.5" thickBot="1" x14ac:dyDescent="0.25">
      <c r="A58" s="77" t="s">
        <v>23</v>
      </c>
      <c r="B58" s="57" t="s">
        <v>15</v>
      </c>
      <c r="C58" s="681"/>
    </row>
    <row r="59" spans="1:6" ht="15" customHeight="1" thickBot="1" x14ac:dyDescent="0.25">
      <c r="A59" s="77" t="s">
        <v>24</v>
      </c>
      <c r="B59" s="100" t="s">
        <v>528</v>
      </c>
      <c r="C59" s="689">
        <f>+C47+C53+C58</f>
        <v>118532274</v>
      </c>
    </row>
    <row r="60" spans="1:6" ht="14.25" customHeight="1" thickBot="1" x14ac:dyDescent="0.25">
      <c r="C60" s="690"/>
    </row>
    <row r="61" spans="1:6" x14ac:dyDescent="0.2">
      <c r="A61" s="807" t="s">
        <v>521</v>
      </c>
      <c r="B61" s="808"/>
      <c r="C61" s="809">
        <v>18.75</v>
      </c>
      <c r="E61" s="575"/>
      <c r="F61" s="575"/>
    </row>
    <row r="62" spans="1:6" ht="13.5" thickBot="1" x14ac:dyDescent="0.25">
      <c r="A62" s="1492" t="s">
        <v>842</v>
      </c>
      <c r="B62" s="1493"/>
      <c r="C62" s="810">
        <v>0.38</v>
      </c>
      <c r="E62" s="1037"/>
      <c r="F62" s="1037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C61"/>
  <sheetViews>
    <sheetView topLeftCell="A16" workbookViewId="0">
      <selection activeCell="F20" sqref="F20"/>
    </sheetView>
  </sheetViews>
  <sheetFormatPr defaultColWidth="9.33203125" defaultRowHeight="12.75" x14ac:dyDescent="0.2"/>
  <cols>
    <col min="1" max="1" width="13.83203125" style="101" customWidth="1"/>
    <col min="2" max="2" width="79.1640625" style="1013" customWidth="1"/>
    <col min="3" max="3" width="25" style="365" customWidth="1"/>
    <col min="4" max="16384" width="9.33203125" style="1013"/>
  </cols>
  <sheetData>
    <row r="1" spans="1:3" x14ac:dyDescent="0.2">
      <c r="A1" s="1490" t="str">
        <f>CONCATENATE("9.4.2. melléklet ",[2]ALAPADATOK!A7," ",[2]ALAPADATOK!B7," ",[2]ALAPADATOK!C7," ",[2]ALAPADATOK!D7," ",[2]ALAPADATOK!E7," ",[2]ALAPADATOK!F7," ",[2]ALAPADATOK!G7," ",[2]ALAPADATOK!H7)</f>
        <v>9.4.2. melléklet a 14. / 2020. ( V.28.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225"/>
    </row>
    <row r="3" spans="1:3" s="226" customFormat="1" ht="36.75" customHeight="1" x14ac:dyDescent="0.2">
      <c r="A3" s="183" t="s">
        <v>167</v>
      </c>
      <c r="B3" s="162" t="s">
        <v>554</v>
      </c>
      <c r="C3" s="175" t="s">
        <v>63</v>
      </c>
    </row>
    <row r="4" spans="1:3" s="226" customFormat="1" ht="24.75" thickBot="1" x14ac:dyDescent="0.25">
      <c r="A4" s="219" t="s">
        <v>166</v>
      </c>
      <c r="B4" s="163" t="s">
        <v>366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197">
        <f>SUM(C10:C20)</f>
        <v>1155700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195">
        <v>910000</v>
      </c>
    </row>
    <row r="12" spans="1:3" s="177" customFormat="1" ht="12" customHeight="1" x14ac:dyDescent="0.2">
      <c r="A12" s="221" t="s">
        <v>102</v>
      </c>
      <c r="B12" s="5" t="s">
        <v>225</v>
      </c>
      <c r="C12" s="1195"/>
    </row>
    <row r="13" spans="1:3" s="177" customFormat="1" ht="12" customHeight="1" x14ac:dyDescent="0.2">
      <c r="A13" s="221" t="s">
        <v>103</v>
      </c>
      <c r="B13" s="5" t="s">
        <v>226</v>
      </c>
      <c r="C13" s="1195"/>
    </row>
    <row r="14" spans="1:3" s="177" customFormat="1" ht="12" customHeight="1" x14ac:dyDescent="0.2">
      <c r="A14" s="221" t="s">
        <v>126</v>
      </c>
      <c r="B14" s="5" t="s">
        <v>227</v>
      </c>
      <c r="C14" s="1195"/>
    </row>
    <row r="15" spans="1:3" s="177" customFormat="1" ht="12" customHeight="1" x14ac:dyDescent="0.2">
      <c r="A15" s="221" t="s">
        <v>104</v>
      </c>
      <c r="B15" s="5" t="s">
        <v>348</v>
      </c>
      <c r="C15" s="1195">
        <v>245700</v>
      </c>
    </row>
    <row r="16" spans="1:3" s="177" customFormat="1" ht="12" customHeight="1" x14ac:dyDescent="0.2">
      <c r="A16" s="221" t="s">
        <v>105</v>
      </c>
      <c r="B16" s="4" t="s">
        <v>349</v>
      </c>
      <c r="C16" s="1195"/>
    </row>
    <row r="17" spans="1:3" s="177" customFormat="1" ht="12" customHeight="1" x14ac:dyDescent="0.2">
      <c r="A17" s="221" t="s">
        <v>115</v>
      </c>
      <c r="B17" s="5" t="s">
        <v>230</v>
      </c>
      <c r="C17" s="132"/>
    </row>
    <row r="18" spans="1:3" s="229" customFormat="1" ht="12" customHeight="1" x14ac:dyDescent="0.2">
      <c r="A18" s="221" t="s">
        <v>116</v>
      </c>
      <c r="B18" s="5" t="s">
        <v>231</v>
      </c>
      <c r="C18" s="1195"/>
    </row>
    <row r="19" spans="1:3" s="229" customFormat="1" ht="12" customHeight="1" x14ac:dyDescent="0.2">
      <c r="A19" s="221" t="s">
        <v>117</v>
      </c>
      <c r="B19" s="5" t="s">
        <v>453</v>
      </c>
      <c r="C19" s="481"/>
    </row>
    <row r="20" spans="1:3" s="229" customFormat="1" ht="12" customHeight="1" thickBot="1" x14ac:dyDescent="0.25">
      <c r="A20" s="221" t="s">
        <v>118</v>
      </c>
      <c r="B20" s="4" t="s">
        <v>232</v>
      </c>
      <c r="C20" s="481"/>
    </row>
    <row r="21" spans="1:3" s="177" customFormat="1" ht="12" customHeight="1" thickBot="1" x14ac:dyDescent="0.25">
      <c r="A21" s="74" t="s">
        <v>22</v>
      </c>
      <c r="B21" s="91" t="s">
        <v>350</v>
      </c>
      <c r="C21" s="1197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195"/>
    </row>
    <row r="24" spans="1:3" s="229" customFormat="1" ht="12" customHeight="1" x14ac:dyDescent="0.2">
      <c r="A24" s="221" t="s">
        <v>108</v>
      </c>
      <c r="B24" s="5" t="s">
        <v>352</v>
      </c>
      <c r="C24" s="1200"/>
    </row>
    <row r="25" spans="1:3" s="229" customFormat="1" ht="12" customHeight="1" thickBot="1" x14ac:dyDescent="0.25">
      <c r="A25" s="221" t="s">
        <v>109</v>
      </c>
      <c r="B25" s="5" t="s">
        <v>524</v>
      </c>
      <c r="C25" s="1195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197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194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196"/>
    </row>
    <row r="32" spans="1:3" s="229" customFormat="1" ht="12" customHeight="1" thickBot="1" x14ac:dyDescent="0.25">
      <c r="A32" s="77" t="s">
        <v>25</v>
      </c>
      <c r="B32" s="57" t="s">
        <v>354</v>
      </c>
      <c r="C32" s="1197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1194"/>
    </row>
    <row r="34" spans="1:3" s="229" customFormat="1" ht="12" customHeight="1" x14ac:dyDescent="0.2">
      <c r="A34" s="222" t="s">
        <v>94</v>
      </c>
      <c r="B34" s="224" t="s">
        <v>238</v>
      </c>
      <c r="C34" s="132"/>
    </row>
    <row r="35" spans="1:3" s="177" customFormat="1" ht="12" customHeight="1" thickBot="1" x14ac:dyDescent="0.25">
      <c r="A35" s="221" t="s">
        <v>95</v>
      </c>
      <c r="B35" s="60" t="s">
        <v>239</v>
      </c>
      <c r="C35" s="1196"/>
    </row>
    <row r="36" spans="1:3" s="177" customFormat="1" ht="12" customHeight="1" thickBot="1" x14ac:dyDescent="0.25">
      <c r="A36" s="77" t="s">
        <v>26</v>
      </c>
      <c r="B36" s="57" t="s">
        <v>325</v>
      </c>
      <c r="C36" s="152"/>
    </row>
    <row r="37" spans="1:3" s="177" customFormat="1" ht="12" customHeight="1" thickBot="1" x14ac:dyDescent="0.25">
      <c r="A37" s="77" t="s">
        <v>27</v>
      </c>
      <c r="B37" s="57" t="s">
        <v>355</v>
      </c>
      <c r="C37" s="169"/>
    </row>
    <row r="38" spans="1:3" s="177" customFormat="1" ht="12" customHeight="1" thickBot="1" x14ac:dyDescent="0.25">
      <c r="A38" s="74" t="s">
        <v>28</v>
      </c>
      <c r="B38" s="57" t="s">
        <v>356</v>
      </c>
      <c r="C38" s="1198">
        <f>+C9+C21+C26+C27+C32+C36+C37</f>
        <v>1155700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198">
        <f>+C40+C41+C42</f>
        <v>0</v>
      </c>
    </row>
    <row r="40" spans="1:3" s="177" customFormat="1" ht="12" customHeight="1" x14ac:dyDescent="0.2">
      <c r="A40" s="222" t="s">
        <v>358</v>
      </c>
      <c r="B40" s="223" t="s">
        <v>182</v>
      </c>
      <c r="C40" s="1194"/>
    </row>
    <row r="41" spans="1:3" s="229" customFormat="1" ht="12" customHeight="1" x14ac:dyDescent="0.2">
      <c r="A41" s="222" t="s">
        <v>359</v>
      </c>
      <c r="B41" s="224" t="s">
        <v>9</v>
      </c>
      <c r="C41" s="132"/>
    </row>
    <row r="42" spans="1:3" s="229" customFormat="1" ht="15" customHeight="1" thickBot="1" x14ac:dyDescent="0.25">
      <c r="A42" s="221" t="s">
        <v>360</v>
      </c>
      <c r="B42" s="60" t="s">
        <v>361</v>
      </c>
      <c r="C42" s="1196"/>
    </row>
    <row r="43" spans="1:3" s="229" customFormat="1" ht="15" customHeight="1" thickBot="1" x14ac:dyDescent="0.25">
      <c r="A43" s="92" t="s">
        <v>30</v>
      </c>
      <c r="B43" s="93" t="s">
        <v>362</v>
      </c>
      <c r="C43" s="172">
        <f>+C38+C39</f>
        <v>1155700</v>
      </c>
    </row>
    <row r="44" spans="1:3" x14ac:dyDescent="0.2">
      <c r="A44" s="94"/>
      <c r="B44" s="95"/>
      <c r="C44" s="170"/>
    </row>
    <row r="45" spans="1:3" s="228" customFormat="1" ht="16.5" customHeight="1" thickBot="1" x14ac:dyDescent="0.25">
      <c r="A45" s="96"/>
      <c r="B45" s="97"/>
      <c r="C45" s="171"/>
    </row>
    <row r="46" spans="1:3" s="230" customFormat="1" ht="12" customHeight="1" thickBot="1" x14ac:dyDescent="0.25">
      <c r="A46" s="98"/>
      <c r="B46" s="99" t="s">
        <v>59</v>
      </c>
      <c r="C46" s="172"/>
    </row>
    <row r="47" spans="1:3" ht="12" customHeight="1" thickBot="1" x14ac:dyDescent="0.25">
      <c r="A47" s="77" t="s">
        <v>21</v>
      </c>
      <c r="B47" s="57" t="s">
        <v>363</v>
      </c>
      <c r="C47" s="1197">
        <f>SUM(C48:C52)</f>
        <v>927250</v>
      </c>
    </row>
    <row r="48" spans="1:3" ht="12" customHeight="1" x14ac:dyDescent="0.2">
      <c r="A48" s="221" t="s">
        <v>100</v>
      </c>
      <c r="B48" s="6" t="s">
        <v>51</v>
      </c>
      <c r="C48" s="682"/>
    </row>
    <row r="49" spans="1:3" ht="12" customHeight="1" x14ac:dyDescent="0.2">
      <c r="A49" s="221" t="s">
        <v>101</v>
      </c>
      <c r="B49" s="5" t="s">
        <v>149</v>
      </c>
      <c r="C49" s="676"/>
    </row>
    <row r="50" spans="1:3" ht="12" customHeight="1" x14ac:dyDescent="0.2">
      <c r="A50" s="221" t="s">
        <v>102</v>
      </c>
      <c r="B50" s="5" t="s">
        <v>125</v>
      </c>
      <c r="C50" s="676">
        <v>927250</v>
      </c>
    </row>
    <row r="51" spans="1:3" ht="12" customHeight="1" x14ac:dyDescent="0.2">
      <c r="A51" s="221" t="s">
        <v>103</v>
      </c>
      <c r="B51" s="5" t="s">
        <v>150</v>
      </c>
      <c r="C51" s="676"/>
    </row>
    <row r="52" spans="1:3" ht="12" customHeight="1" thickBot="1" x14ac:dyDescent="0.25">
      <c r="A52" s="221" t="s">
        <v>126</v>
      </c>
      <c r="B52" s="5" t="s">
        <v>151</v>
      </c>
      <c r="C52" s="1195"/>
    </row>
    <row r="53" spans="1:3" s="230" customFormat="1" ht="12" customHeight="1" thickBot="1" x14ac:dyDescent="0.25">
      <c r="A53" s="77" t="s">
        <v>22</v>
      </c>
      <c r="B53" s="57" t="s">
        <v>364</v>
      </c>
      <c r="C53" s="1197">
        <f>SUM(C54:C56)</f>
        <v>0</v>
      </c>
    </row>
    <row r="54" spans="1:3" ht="12" customHeight="1" x14ac:dyDescent="0.2">
      <c r="A54" s="221" t="s">
        <v>106</v>
      </c>
      <c r="B54" s="6" t="s">
        <v>173</v>
      </c>
      <c r="C54" s="1199"/>
    </row>
    <row r="55" spans="1:3" ht="12" customHeight="1" x14ac:dyDescent="0.2">
      <c r="A55" s="221" t="s">
        <v>107</v>
      </c>
      <c r="B55" s="5" t="s">
        <v>153</v>
      </c>
      <c r="C55" s="1195"/>
    </row>
    <row r="56" spans="1:3" ht="12" customHeight="1" x14ac:dyDescent="0.2">
      <c r="A56" s="221" t="s">
        <v>108</v>
      </c>
      <c r="B56" s="5" t="s">
        <v>60</v>
      </c>
      <c r="C56" s="1195"/>
    </row>
    <row r="57" spans="1:3" ht="15" customHeight="1" thickBot="1" x14ac:dyDescent="0.25">
      <c r="A57" s="221" t="s">
        <v>109</v>
      </c>
      <c r="B57" s="5" t="s">
        <v>527</v>
      </c>
      <c r="C57" s="1195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5" customHeight="1" thickBot="1" x14ac:dyDescent="0.25">
      <c r="A59" s="77" t="s">
        <v>24</v>
      </c>
      <c r="B59" s="100" t="s">
        <v>528</v>
      </c>
      <c r="C59" s="173">
        <f>+C47+C53+C58</f>
        <v>927250</v>
      </c>
    </row>
    <row r="60" spans="1:3" ht="14.25" customHeight="1" thickBot="1" x14ac:dyDescent="0.25">
      <c r="C60" s="364"/>
    </row>
    <row r="61" spans="1:3" ht="13.5" thickBot="1" x14ac:dyDescent="0.25">
      <c r="A61" s="102" t="s">
        <v>521</v>
      </c>
      <c r="B61" s="103"/>
      <c r="C61" s="48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zoomScale="115" zoomScaleNormal="115" workbookViewId="0">
      <selection sqref="A1:C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33203125" style="1013"/>
    <col min="5" max="5" width="11.83203125" style="1037" hidden="1" customWidth="1"/>
    <col min="6" max="6" width="12.5" style="1037" hidden="1" customWidth="1"/>
    <col min="7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490" t="str">
        <f>CONCATENATE("16. melléklet"," ",ALAPADATOK!A7," ",ALAPADATOK!B7," ",ALAPADATOK!C7," ",ALAPADATOK!D7," ",ALAPADATOK!E7," ",ALAPADATOK!F7," ",ALAPADATOK!G7," ",ALAPADATOK!H7)</f>
        <v>16. melléklet a 21 / 2020. ( IX.25. ) önkormányzati rendelethez</v>
      </c>
      <c r="B1" s="1490"/>
      <c r="C1" s="1490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6" customHeight="1" x14ac:dyDescent="0.2">
      <c r="A3" s="183" t="s">
        <v>167</v>
      </c>
      <c r="B3" s="162" t="s">
        <v>536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166</v>
      </c>
      <c r="B4" s="163" t="s">
        <v>347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556</v>
      </c>
      <c r="E5" s="573"/>
      <c r="F5" s="573"/>
    </row>
    <row r="6" spans="1:6" ht="13.5" thickBot="1" x14ac:dyDescent="0.25">
      <c r="A6" s="184" t="s">
        <v>168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79" t="s">
        <v>449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523</v>
      </c>
      <c r="C9" s="674">
        <f>SUM(C10:C20)</f>
        <v>55481896</v>
      </c>
      <c r="E9" s="575">
        <f>'9.5.1. sz. mell VK '!C9+'9.5.2. sz. mell VK'!C9</f>
        <v>55481896</v>
      </c>
      <c r="F9" s="575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5"/>
      <c r="E10" s="575">
        <f>'9.5.1. sz. mell VK '!C10+'9.5.2. sz. mell VK'!C10</f>
        <v>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6">
        <v>27518165</v>
      </c>
      <c r="E11" s="575">
        <f>'9.5.1. sz. mell VK '!C11+'9.5.2. sz. mell VK'!C11</f>
        <v>27518165</v>
      </c>
      <c r="F11" s="575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6">
        <v>1547000</v>
      </c>
      <c r="E12" s="575">
        <f>'9.5.1. sz. mell VK '!C12+'9.5.2. sz. mell VK'!C12</f>
        <v>1547000</v>
      </c>
      <c r="F12" s="575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6"/>
      <c r="E13" s="575">
        <f>'9.5.1. sz. mell VK '!C13+'9.5.2. sz. mell VK'!C13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6">
        <f>20383499-5777622</f>
        <v>14605877</v>
      </c>
      <c r="E14" s="575">
        <f>'9.5.1. sz. mell VK '!C14+'9.5.2. sz. mell VK'!C14</f>
        <v>14605877</v>
      </c>
      <c r="F14" s="575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6">
        <f>5641812-1559958</f>
        <v>4081854</v>
      </c>
      <c r="E15" s="575">
        <f>'9.5.1. sz. mell VK '!C15+'9.5.2. sz. mell VK'!C15</f>
        <v>4081854</v>
      </c>
      <c r="F15" s="575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6">
        <v>7729000</v>
      </c>
      <c r="E16" s="575">
        <f>'9.5.1. sz. mell VK '!C16+'9.5.2. sz. mell VK'!C16</f>
        <v>7729000</v>
      </c>
      <c r="F16" s="575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7"/>
      <c r="E17" s="575">
        <f>'9.5.1. sz. mell VK '!C17+'9.5.2. sz. mell VK'!C17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6"/>
      <c r="E18" s="575">
        <f>'9.5.1. sz. mell VK '!C18+'9.5.2. sz. mell VK'!C18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8"/>
      <c r="E19" s="575">
        <f>'9.5.1. sz. mell VK '!C19+'9.5.2. sz. mell VK'!C19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8"/>
      <c r="E20" s="575">
        <f>'9.5.1. sz. mell VK '!C20+'9.5.2. sz. mell VK'!C20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674">
        <f>SUM(C22:C24)</f>
        <v>9346560</v>
      </c>
      <c r="E21" s="575">
        <f>'9.5.1. sz. mell VK '!C21+'9.5.2. sz. mell VK'!C21</f>
        <v>9346560</v>
      </c>
      <c r="F21" s="575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79"/>
      <c r="E22" s="575">
        <f>'9.5.1. sz. mell VK '!C22+'9.5.2. sz. mell VK'!C22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6"/>
      <c r="E23" s="575">
        <f>'9.5.1. sz. mell VK '!C23+'9.5.2. sz. mell VK'!C23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680">
        <v>9346560</v>
      </c>
      <c r="E24" s="575">
        <f>'9.5.1. sz. mell VK '!C24+'9.5.2. sz. mell VK'!C24</f>
        <v>9346560</v>
      </c>
      <c r="F24" s="575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676">
        <v>9346560</v>
      </c>
      <c r="E25" s="575">
        <f>'9.5.1. sz. mell VK '!C25+'9.5.2. sz. mell VK'!C25</f>
        <v>9346560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1"/>
      <c r="E26" s="575">
        <f>'9.5.1. sz. mell VK '!C26+'9.5.2. sz. mell VK'!C26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  <c r="E27" s="575">
        <f>'9.5.1. sz. mell VK '!C27+'9.5.2. sz. mell VK'!C27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2"/>
      <c r="E28" s="575">
        <f>'9.5.1. sz. mell VK '!C28+'9.5.2. sz. mell VK'!C28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79"/>
      <c r="E29" s="575">
        <f>'9.5.1. sz. mell VK '!C29+'9.5.2. sz. mell VK'!C29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679"/>
      <c r="E30" s="575">
        <f>'9.5.1. sz. mell VK '!C30+'9.5.2. sz. mell VK'!C30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683"/>
      <c r="E31" s="575">
        <f>'9.5.1. sz. mell VK '!C31+'9.5.2. sz. mell VK'!C31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  <c r="E32" s="575">
        <f>'9.5.1. sz. mell VK '!C32+'9.5.2. sz. mell VK'!C32</f>
        <v>0</v>
      </c>
      <c r="F32" s="575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2"/>
      <c r="E33" s="575">
        <f>'9.5.1. sz. mell VK '!C33+'9.5.2. sz. mell VK'!C33</f>
        <v>0</v>
      </c>
      <c r="F33" s="575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7"/>
      <c r="E34" s="575">
        <f>'9.5.1. sz. mell VK '!C34+'9.5.2. sz. mell VK'!C34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3"/>
      <c r="E35" s="575">
        <f>'9.5.1. sz. mell VK '!C35+'9.5.2. sz. mell VK'!C35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681"/>
      <c r="E36" s="575">
        <f>'9.5.1. sz. mell VK '!C36+'9.5.2. sz. mell VK'!C36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4"/>
      <c r="E37" s="575">
        <f>'9.5.1. sz. mell VK '!C37+'9.5.2. sz. mell VK'!C37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64828456</v>
      </c>
      <c r="E38" s="575">
        <f>'9.5.1. sz. mell VK '!C38+'9.5.2. sz. mell VK'!C38</f>
        <v>64828456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685">
        <f>+C40+C41+C42</f>
        <v>150300163</v>
      </c>
      <c r="E39" s="575">
        <f>'9.5.1. sz. mell VK '!C39+'9.5.2. sz. mell VK'!C39</f>
        <v>150300163</v>
      </c>
      <c r="F39" s="575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2">
        <v>3481566</v>
      </c>
      <c r="E40" s="575">
        <f>'9.5.1. sz. mell VK '!C40+'9.5.2. sz. mell VK'!C40</f>
        <v>3481566</v>
      </c>
      <c r="F40" s="575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7"/>
      <c r="E41" s="575">
        <f>'9.5.1. sz. mell VK '!C41+'9.5.2. sz. mell VK'!C41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1201">
        <f>164184089-17655357+289865</f>
        <v>146818597</v>
      </c>
      <c r="E42" s="575">
        <f>'9.5.1. sz. mell VK '!C42+'9.5.2. sz. mell VK'!C42</f>
        <v>146818597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686">
        <f>+C38+C39</f>
        <v>215128619</v>
      </c>
      <c r="E43" s="575">
        <f>'9.5.1. sz. mell VK '!C43+'9.5.2. sz. mell VK'!C43</f>
        <v>215128619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'9.5.1. sz. mell VK '!C44+'9.5.2. sz. mell VK'!C44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'9.5.1. sz. mell VK '!C45+'9.5.2. sz. mell VK'!C45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'9.5.1. sz. mell VK '!C46+'9.5.2. sz. mell VK'!C46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674">
        <f>SUM(C48:C52)</f>
        <v>213028619</v>
      </c>
      <c r="E47" s="575">
        <f>'9.5.1. sz. mell VK '!C47+'9.5.2. sz. mell VK'!C47</f>
        <v>213028619</v>
      </c>
      <c r="F47" s="575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682">
        <v>69090783</v>
      </c>
      <c r="E48" s="575">
        <f>'9.5.1. sz. mell VK '!C48+'9.5.2. sz. mell VK'!C48</f>
        <v>69090783</v>
      </c>
      <c r="F48" s="575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676">
        <v>12885750</v>
      </c>
      <c r="E49" s="575">
        <f>'9.5.1. sz. mell VK '!C49+'9.5.2. sz. mell VK'!C49</f>
        <v>12885750</v>
      </c>
      <c r="F49" s="575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1200">
        <f>155755158-24992937+289865</f>
        <v>131052086</v>
      </c>
      <c r="E50" s="575">
        <f>'9.5.1. sz. mell VK '!C50+'9.5.2. sz. mell VK'!C50</f>
        <v>131052086</v>
      </c>
      <c r="F50" s="575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6"/>
      <c r="E51" s="575">
        <f>'9.5.1. sz. mell VK '!C51+'9.5.2. sz. mell VK'!C51</f>
        <v>0</v>
      </c>
      <c r="F51" s="575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6"/>
      <c r="E52" s="575">
        <f>'9.5.1. sz. mell VK '!C52+'9.5.2. sz. mell VK'!C52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4">
        <f>SUM(C54:C56)</f>
        <v>2100000</v>
      </c>
      <c r="E53" s="575">
        <f>'9.5.1. sz. mell VK '!C53+'9.5.2. sz. mell VK'!C53</f>
        <v>2100000</v>
      </c>
      <c r="F53" s="575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682">
        <v>1500000</v>
      </c>
      <c r="E54" s="575">
        <f>'9.5.1. sz. mell VK '!C54+'9.5.2. sz. mell VK'!C54</f>
        <v>1500000</v>
      </c>
      <c r="F54" s="575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6">
        <v>600000</v>
      </c>
      <c r="E55" s="575">
        <f>'9.5.1. sz. mell VK '!C55+'9.5.2. sz. mell VK'!C55</f>
        <v>600000</v>
      </c>
      <c r="F55" s="575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6"/>
      <c r="E56" s="575">
        <f>'9.5.1. sz. mell VK '!C56+'9.5.2. sz. mell VK'!C56</f>
        <v>0</v>
      </c>
      <c r="F56" s="575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6"/>
      <c r="E57" s="575">
        <f>'9.5.1. sz. mell VK '!C57+'9.5.2. sz. mell VK'!C57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'9.5.1. sz. mell VK '!C58+'9.5.2. sz. mell VK'!C58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689">
        <f>+C47+C53+C58</f>
        <v>215128619</v>
      </c>
      <c r="E59" s="575">
        <f>'9.5.1. sz. mell VK '!C59+'9.5.2. sz. mell VK'!C59</f>
        <v>215128619</v>
      </c>
      <c r="F59" s="575">
        <f t="shared" si="0"/>
        <v>0</v>
      </c>
    </row>
    <row r="60" spans="1:6" ht="14.25" customHeight="1" thickBot="1" x14ac:dyDescent="0.25">
      <c r="C60" s="690"/>
      <c r="E60" s="575">
        <f>'9.5.1. sz. mell VK '!C60+'9.5.2. sz. mell VK'!C60</f>
        <v>0</v>
      </c>
      <c r="F60" s="575">
        <f t="shared" si="0"/>
        <v>0</v>
      </c>
    </row>
    <row r="61" spans="1:6" x14ac:dyDescent="0.2">
      <c r="A61" s="807" t="s">
        <v>521</v>
      </c>
      <c r="B61" s="808"/>
      <c r="C61" s="809">
        <v>21.67</v>
      </c>
      <c r="E61" s="575" t="e">
        <f>#REF!+#REF!</f>
        <v>#REF!</v>
      </c>
      <c r="F61" s="575" t="e">
        <f t="shared" si="0"/>
        <v>#REF!</v>
      </c>
    </row>
    <row r="62" spans="1:6" ht="13.5" thickBot="1" x14ac:dyDescent="0.25">
      <c r="A62" s="1492" t="s">
        <v>837</v>
      </c>
      <c r="B62" s="1493"/>
      <c r="C62" s="810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zoomScaleNormal="100" workbookViewId="0">
      <selection sqref="A1:C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490" t="str">
        <f>CONCATENATE("17. melléklet"," ",ALAPADATOK!A7," ",ALAPADATOK!B7," ",ALAPADATOK!C7," ",ALAPADATOK!D7," ",ALAPADATOK!E7," ",ALAPADATOK!F7," ",ALAPADATOK!G7," ",ALAPADATOK!H7)</f>
        <v>17. melléklet a 21 / 2020. ( IX.25.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374"/>
    </row>
    <row r="3" spans="1:3" s="226" customFormat="1" ht="34.5" customHeight="1" x14ac:dyDescent="0.2">
      <c r="A3" s="183" t="s">
        <v>167</v>
      </c>
      <c r="B3" s="162" t="s">
        <v>536</v>
      </c>
      <c r="C3" s="375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6" t="s">
        <v>62</v>
      </c>
    </row>
    <row r="5" spans="1:3" s="227" customFormat="1" ht="15.95" customHeight="1" thickBot="1" x14ac:dyDescent="0.3">
      <c r="A5" s="84"/>
      <c r="B5" s="84"/>
      <c r="C5" s="377" t="s">
        <v>556</v>
      </c>
    </row>
    <row r="6" spans="1:3" ht="13.5" thickBot="1" x14ac:dyDescent="0.25">
      <c r="A6" s="184" t="s">
        <v>168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79" t="s">
        <v>449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523</v>
      </c>
      <c r="C9" s="674">
        <f>SUM(C10:C20)</f>
        <v>55481896</v>
      </c>
    </row>
    <row r="10" spans="1:3" s="177" customFormat="1" ht="12" customHeight="1" x14ac:dyDescent="0.2">
      <c r="A10" s="220" t="s">
        <v>100</v>
      </c>
      <c r="B10" s="7" t="s">
        <v>223</v>
      </c>
      <c r="C10" s="675"/>
    </row>
    <row r="11" spans="1:3" s="177" customFormat="1" ht="12" customHeight="1" x14ac:dyDescent="0.2">
      <c r="A11" s="221" t="s">
        <v>101</v>
      </c>
      <c r="B11" s="5" t="s">
        <v>224</v>
      </c>
      <c r="C11" s="676">
        <v>27518165</v>
      </c>
    </row>
    <row r="12" spans="1:3" s="177" customFormat="1" ht="12" customHeight="1" x14ac:dyDescent="0.2">
      <c r="A12" s="221" t="s">
        <v>102</v>
      </c>
      <c r="B12" s="5" t="s">
        <v>225</v>
      </c>
      <c r="C12" s="676">
        <v>1547000</v>
      </c>
    </row>
    <row r="13" spans="1:3" s="177" customFormat="1" ht="12" customHeight="1" x14ac:dyDescent="0.2">
      <c r="A13" s="221" t="s">
        <v>103</v>
      </c>
      <c r="B13" s="5" t="s">
        <v>226</v>
      </c>
      <c r="C13" s="680"/>
    </row>
    <row r="14" spans="1:3" s="177" customFormat="1" ht="12" customHeight="1" x14ac:dyDescent="0.2">
      <c r="A14" s="221" t="s">
        <v>126</v>
      </c>
      <c r="B14" s="5" t="s">
        <v>227</v>
      </c>
      <c r="C14" s="676">
        <f>20383499-5777622</f>
        <v>14605877</v>
      </c>
    </row>
    <row r="15" spans="1:3" s="177" customFormat="1" ht="12" customHeight="1" x14ac:dyDescent="0.2">
      <c r="A15" s="221" t="s">
        <v>104</v>
      </c>
      <c r="B15" s="5" t="s">
        <v>348</v>
      </c>
      <c r="C15" s="676">
        <f>5641812-1559958</f>
        <v>4081854</v>
      </c>
    </row>
    <row r="16" spans="1:3" s="177" customFormat="1" ht="12" customHeight="1" x14ac:dyDescent="0.2">
      <c r="A16" s="221" t="s">
        <v>105</v>
      </c>
      <c r="B16" s="4" t="s">
        <v>349</v>
      </c>
      <c r="C16" s="676">
        <v>7729000</v>
      </c>
    </row>
    <row r="17" spans="1:3" s="177" customFormat="1" ht="12" customHeight="1" x14ac:dyDescent="0.2">
      <c r="A17" s="221" t="s">
        <v>115</v>
      </c>
      <c r="B17" s="5" t="s">
        <v>230</v>
      </c>
      <c r="C17" s="677"/>
    </row>
    <row r="18" spans="1:3" s="229" customFormat="1" ht="12" customHeight="1" x14ac:dyDescent="0.2">
      <c r="A18" s="221" t="s">
        <v>116</v>
      </c>
      <c r="B18" s="5" t="s">
        <v>231</v>
      </c>
      <c r="C18" s="676"/>
    </row>
    <row r="19" spans="1:3" s="229" customFormat="1" ht="12" customHeight="1" x14ac:dyDescent="0.2">
      <c r="A19" s="221" t="s">
        <v>117</v>
      </c>
      <c r="B19" s="5" t="s">
        <v>453</v>
      </c>
      <c r="C19" s="678"/>
    </row>
    <row r="20" spans="1:3" s="229" customFormat="1" ht="12" customHeight="1" thickBot="1" x14ac:dyDescent="0.25">
      <c r="A20" s="221" t="s">
        <v>118</v>
      </c>
      <c r="B20" s="4" t="s">
        <v>232</v>
      </c>
      <c r="C20" s="678"/>
    </row>
    <row r="21" spans="1:3" s="177" customFormat="1" ht="12" customHeight="1" thickBot="1" x14ac:dyDescent="0.25">
      <c r="A21" s="74" t="s">
        <v>22</v>
      </c>
      <c r="B21" s="91" t="s">
        <v>350</v>
      </c>
      <c r="C21" s="674">
        <f>SUM(C22:C24)</f>
        <v>9346560</v>
      </c>
    </row>
    <row r="22" spans="1:3" s="229" customFormat="1" ht="12" customHeight="1" x14ac:dyDescent="0.2">
      <c r="A22" s="221" t="s">
        <v>106</v>
      </c>
      <c r="B22" s="6" t="s">
        <v>201</v>
      </c>
      <c r="C22" s="679"/>
    </row>
    <row r="23" spans="1:3" s="229" customFormat="1" ht="12" customHeight="1" x14ac:dyDescent="0.2">
      <c r="A23" s="221" t="s">
        <v>107</v>
      </c>
      <c r="B23" s="5" t="s">
        <v>351</v>
      </c>
      <c r="C23" s="676"/>
    </row>
    <row r="24" spans="1:3" s="229" customFormat="1" ht="12" customHeight="1" x14ac:dyDescent="0.2">
      <c r="A24" s="221" t="s">
        <v>108</v>
      </c>
      <c r="B24" s="5" t="s">
        <v>352</v>
      </c>
      <c r="C24" s="680">
        <v>9346560</v>
      </c>
    </row>
    <row r="25" spans="1:3" s="229" customFormat="1" ht="12" customHeight="1" thickBot="1" x14ac:dyDescent="0.25">
      <c r="A25" s="221" t="s">
        <v>109</v>
      </c>
      <c r="B25" s="5" t="s">
        <v>524</v>
      </c>
      <c r="C25" s="676">
        <v>9346560</v>
      </c>
    </row>
    <row r="26" spans="1:3" s="229" customFormat="1" ht="12" customHeight="1" thickBot="1" x14ac:dyDescent="0.25">
      <c r="A26" s="77" t="s">
        <v>23</v>
      </c>
      <c r="B26" s="57" t="s">
        <v>140</v>
      </c>
      <c r="C26" s="681"/>
    </row>
    <row r="27" spans="1:3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2"/>
    </row>
    <row r="29" spans="1:3" s="229" customFormat="1" ht="12" customHeight="1" x14ac:dyDescent="0.2">
      <c r="A29" s="222" t="s">
        <v>214</v>
      </c>
      <c r="B29" s="223" t="s">
        <v>351</v>
      </c>
      <c r="C29" s="679"/>
    </row>
    <row r="30" spans="1:3" s="229" customFormat="1" ht="12" customHeight="1" x14ac:dyDescent="0.2">
      <c r="A30" s="222" t="s">
        <v>215</v>
      </c>
      <c r="B30" s="224" t="s">
        <v>353</v>
      </c>
      <c r="C30" s="679"/>
    </row>
    <row r="31" spans="1:3" s="229" customFormat="1" ht="12" customHeight="1" thickBot="1" x14ac:dyDescent="0.25">
      <c r="A31" s="221" t="s">
        <v>216</v>
      </c>
      <c r="B31" s="60" t="s">
        <v>526</v>
      </c>
      <c r="C31" s="683"/>
    </row>
    <row r="32" spans="1:3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2"/>
    </row>
    <row r="34" spans="1:3" s="229" customFormat="1" ht="12" customHeight="1" x14ac:dyDescent="0.2">
      <c r="A34" s="222" t="s">
        <v>94</v>
      </c>
      <c r="B34" s="224" t="s">
        <v>238</v>
      </c>
      <c r="C34" s="677"/>
    </row>
    <row r="35" spans="1:3" s="177" customFormat="1" ht="12" customHeight="1" thickBot="1" x14ac:dyDescent="0.25">
      <c r="A35" s="221" t="s">
        <v>95</v>
      </c>
      <c r="B35" s="60" t="s">
        <v>239</v>
      </c>
      <c r="C35" s="683"/>
    </row>
    <row r="36" spans="1:3" s="177" customFormat="1" ht="12" customHeight="1" thickBot="1" x14ac:dyDescent="0.25">
      <c r="A36" s="77" t="s">
        <v>26</v>
      </c>
      <c r="B36" s="57" t="s">
        <v>325</v>
      </c>
      <c r="C36" s="681"/>
    </row>
    <row r="37" spans="1:3" s="177" customFormat="1" ht="12" customHeight="1" thickBot="1" x14ac:dyDescent="0.25">
      <c r="A37" s="77" t="s">
        <v>27</v>
      </c>
      <c r="B37" s="57" t="s">
        <v>355</v>
      </c>
      <c r="C37" s="684"/>
    </row>
    <row r="38" spans="1:3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64828456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5">
        <f>+C40+C41+C42</f>
        <v>150300163</v>
      </c>
    </row>
    <row r="40" spans="1:3" s="177" customFormat="1" ht="12" customHeight="1" x14ac:dyDescent="0.2">
      <c r="A40" s="222" t="s">
        <v>358</v>
      </c>
      <c r="B40" s="223" t="s">
        <v>182</v>
      </c>
      <c r="C40" s="682">
        <v>3481566</v>
      </c>
    </row>
    <row r="41" spans="1:3" s="229" customFormat="1" ht="12" customHeight="1" x14ac:dyDescent="0.2">
      <c r="A41" s="222" t="s">
        <v>359</v>
      </c>
      <c r="B41" s="224" t="s">
        <v>9</v>
      </c>
      <c r="C41" s="677"/>
    </row>
    <row r="42" spans="1:3" s="229" customFormat="1" ht="15" customHeight="1" thickBot="1" x14ac:dyDescent="0.25">
      <c r="A42" s="221" t="s">
        <v>360</v>
      </c>
      <c r="B42" s="60" t="s">
        <v>361</v>
      </c>
      <c r="C42" s="1201">
        <f>164184089-17655357+289865</f>
        <v>146818597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686">
        <f>+C38+C39</f>
        <v>215128619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363</v>
      </c>
      <c r="C47" s="674">
        <f>SUM(C48:C52)</f>
        <v>213028619</v>
      </c>
    </row>
    <row r="48" spans="1:3" ht="12" customHeight="1" x14ac:dyDescent="0.2">
      <c r="A48" s="221" t="s">
        <v>100</v>
      </c>
      <c r="B48" s="6" t="s">
        <v>51</v>
      </c>
      <c r="C48" s="1194">
        <f>69090783-195524+195524-47000+47000-182500+182500</f>
        <v>69090783</v>
      </c>
    </row>
    <row r="49" spans="1:6" ht="12" customHeight="1" x14ac:dyDescent="0.2">
      <c r="A49" s="221" t="s">
        <v>101</v>
      </c>
      <c r="B49" s="5" t="s">
        <v>149</v>
      </c>
      <c r="C49" s="676">
        <v>12885750</v>
      </c>
    </row>
    <row r="50" spans="1:6" ht="12" customHeight="1" x14ac:dyDescent="0.2">
      <c r="A50" s="221" t="s">
        <v>102</v>
      </c>
      <c r="B50" s="5" t="s">
        <v>125</v>
      </c>
      <c r="C50" s="1200">
        <f>155755158-24992937+289865</f>
        <v>131052086</v>
      </c>
    </row>
    <row r="51" spans="1:6" ht="12" customHeight="1" x14ac:dyDescent="0.2">
      <c r="A51" s="221" t="s">
        <v>103</v>
      </c>
      <c r="B51" s="5" t="s">
        <v>150</v>
      </c>
      <c r="C51" s="676"/>
    </row>
    <row r="52" spans="1:6" ht="12" customHeight="1" thickBot="1" x14ac:dyDescent="0.25">
      <c r="A52" s="221" t="s">
        <v>126</v>
      </c>
      <c r="B52" s="5" t="s">
        <v>151</v>
      </c>
      <c r="C52" s="676"/>
    </row>
    <row r="53" spans="1:6" s="230" customFormat="1" ht="12" customHeight="1" thickBot="1" x14ac:dyDescent="0.25">
      <c r="A53" s="77" t="s">
        <v>22</v>
      </c>
      <c r="B53" s="57" t="s">
        <v>364</v>
      </c>
      <c r="C53" s="674">
        <f>SUM(C54:C56)</f>
        <v>2100000</v>
      </c>
    </row>
    <row r="54" spans="1:6" ht="12" customHeight="1" x14ac:dyDescent="0.2">
      <c r="A54" s="221" t="s">
        <v>106</v>
      </c>
      <c r="B54" s="6" t="s">
        <v>173</v>
      </c>
      <c r="C54" s="682">
        <v>1500000</v>
      </c>
    </row>
    <row r="55" spans="1:6" ht="12" customHeight="1" x14ac:dyDescent="0.2">
      <c r="A55" s="221" t="s">
        <v>107</v>
      </c>
      <c r="B55" s="5" t="s">
        <v>153</v>
      </c>
      <c r="C55" s="676">
        <v>600000</v>
      </c>
    </row>
    <row r="56" spans="1:6" ht="12" customHeight="1" x14ac:dyDescent="0.2">
      <c r="A56" s="221" t="s">
        <v>108</v>
      </c>
      <c r="B56" s="5" t="s">
        <v>60</v>
      </c>
      <c r="C56" s="676"/>
    </row>
    <row r="57" spans="1:6" ht="15" customHeight="1" thickBot="1" x14ac:dyDescent="0.25">
      <c r="A57" s="221" t="s">
        <v>109</v>
      </c>
      <c r="B57" s="5" t="s">
        <v>527</v>
      </c>
      <c r="C57" s="676"/>
    </row>
    <row r="58" spans="1:6" ht="13.5" thickBot="1" x14ac:dyDescent="0.25">
      <c r="A58" s="77" t="s">
        <v>23</v>
      </c>
      <c r="B58" s="57" t="s">
        <v>15</v>
      </c>
      <c r="C58" s="681"/>
    </row>
    <row r="59" spans="1:6" ht="15" customHeight="1" thickBot="1" x14ac:dyDescent="0.25">
      <c r="A59" s="77" t="s">
        <v>24</v>
      </c>
      <c r="B59" s="100" t="s">
        <v>528</v>
      </c>
      <c r="C59" s="689">
        <f>+C47+C53+C58</f>
        <v>215128619</v>
      </c>
    </row>
    <row r="60" spans="1:6" ht="14.25" customHeight="1" thickBot="1" x14ac:dyDescent="0.25">
      <c r="C60" s="690"/>
    </row>
    <row r="61" spans="1:6" x14ac:dyDescent="0.2">
      <c r="A61" s="807" t="s">
        <v>521</v>
      </c>
      <c r="B61" s="808"/>
      <c r="C61" s="809">
        <v>21.67</v>
      </c>
      <c r="E61" s="575"/>
      <c r="F61" s="575"/>
    </row>
    <row r="62" spans="1:6" ht="13.5" thickBot="1" x14ac:dyDescent="0.25">
      <c r="A62" s="1492" t="s">
        <v>836</v>
      </c>
      <c r="B62" s="1493"/>
      <c r="C62" s="810">
        <v>0.83</v>
      </c>
      <c r="E62" s="1037"/>
      <c r="F62" s="1037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C61"/>
  <sheetViews>
    <sheetView topLeftCell="A61" zoomScale="145" zoomScaleNormal="145" workbookViewId="0">
      <selection activeCell="E13" sqref="E13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1013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490" t="str">
        <f>CONCATENATE("9.5.2. melléklet ",[2]ALAPADATOK!A7," ",[2]ALAPADATOK!B7," ",[2]ALAPADATOK!C7," ",[2]ALAPADATOK!D7," ",[2]ALAPADATOK!E7," ",[2]ALAPADATOK!F7," ",[2]ALAPADATOK!G7," ",[2]ALAPADATOK!H7)</f>
        <v>9.5.2. melléklet a 14. / 2020. ( V.28.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225"/>
    </row>
    <row r="3" spans="1:3" s="226" customFormat="1" ht="33.75" customHeight="1" x14ac:dyDescent="0.2">
      <c r="A3" s="183" t="s">
        <v>167</v>
      </c>
      <c r="B3" s="162" t="s">
        <v>536</v>
      </c>
      <c r="C3" s="175" t="s">
        <v>63</v>
      </c>
    </row>
    <row r="4" spans="1:3" s="226" customFormat="1" ht="24.75" thickBot="1" x14ac:dyDescent="0.25">
      <c r="A4" s="219" t="s">
        <v>166</v>
      </c>
      <c r="B4" s="163" t="s">
        <v>366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197">
        <f>SUM(C10:C20)</f>
        <v>0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195"/>
    </row>
    <row r="12" spans="1:3" s="177" customFormat="1" ht="12" customHeight="1" x14ac:dyDescent="0.2">
      <c r="A12" s="221" t="s">
        <v>102</v>
      </c>
      <c r="B12" s="5" t="s">
        <v>225</v>
      </c>
      <c r="C12" s="1195"/>
    </row>
    <row r="13" spans="1:3" s="177" customFormat="1" ht="12" customHeight="1" x14ac:dyDescent="0.2">
      <c r="A13" s="221" t="s">
        <v>103</v>
      </c>
      <c r="B13" s="5" t="s">
        <v>226</v>
      </c>
      <c r="C13" s="1195"/>
    </row>
    <row r="14" spans="1:3" s="177" customFormat="1" ht="12" customHeight="1" x14ac:dyDescent="0.2">
      <c r="A14" s="221" t="s">
        <v>126</v>
      </c>
      <c r="B14" s="5" t="s">
        <v>227</v>
      </c>
      <c r="C14" s="1195"/>
    </row>
    <row r="15" spans="1:3" s="177" customFormat="1" ht="12" customHeight="1" x14ac:dyDescent="0.2">
      <c r="A15" s="221" t="s">
        <v>104</v>
      </c>
      <c r="B15" s="5" t="s">
        <v>348</v>
      </c>
      <c r="C15" s="1195"/>
    </row>
    <row r="16" spans="1:3" s="177" customFormat="1" ht="12" customHeight="1" x14ac:dyDescent="0.2">
      <c r="A16" s="221" t="s">
        <v>105</v>
      </c>
      <c r="B16" s="4" t="s">
        <v>349</v>
      </c>
      <c r="C16" s="1195"/>
    </row>
    <row r="17" spans="1:3" s="177" customFormat="1" ht="12" customHeight="1" x14ac:dyDescent="0.2">
      <c r="A17" s="221" t="s">
        <v>115</v>
      </c>
      <c r="B17" s="5" t="s">
        <v>230</v>
      </c>
      <c r="C17" s="132"/>
    </row>
    <row r="18" spans="1:3" s="229" customFormat="1" ht="12" customHeight="1" x14ac:dyDescent="0.2">
      <c r="A18" s="221" t="s">
        <v>116</v>
      </c>
      <c r="B18" s="5" t="s">
        <v>231</v>
      </c>
      <c r="C18" s="1195"/>
    </row>
    <row r="19" spans="1:3" s="229" customFormat="1" ht="12" customHeight="1" x14ac:dyDescent="0.2">
      <c r="A19" s="221" t="s">
        <v>117</v>
      </c>
      <c r="B19" s="5" t="s">
        <v>453</v>
      </c>
      <c r="C19" s="481"/>
    </row>
    <row r="20" spans="1:3" s="229" customFormat="1" ht="12" customHeight="1" thickBot="1" x14ac:dyDescent="0.25">
      <c r="A20" s="221" t="s">
        <v>118</v>
      </c>
      <c r="B20" s="4" t="s">
        <v>232</v>
      </c>
      <c r="C20" s="481"/>
    </row>
    <row r="21" spans="1:3" s="177" customFormat="1" ht="12" customHeight="1" thickBot="1" x14ac:dyDescent="0.25">
      <c r="A21" s="74" t="s">
        <v>22</v>
      </c>
      <c r="B21" s="91" t="s">
        <v>350</v>
      </c>
      <c r="C21" s="1197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195"/>
    </row>
    <row r="24" spans="1:3" s="229" customFormat="1" ht="12" customHeight="1" x14ac:dyDescent="0.2">
      <c r="A24" s="221" t="s">
        <v>108</v>
      </c>
      <c r="B24" s="5" t="s">
        <v>352</v>
      </c>
      <c r="C24" s="1200"/>
    </row>
    <row r="25" spans="1:3" s="229" customFormat="1" ht="12" customHeight="1" thickBot="1" x14ac:dyDescent="0.25">
      <c r="A25" s="221" t="s">
        <v>109</v>
      </c>
      <c r="B25" s="5" t="s">
        <v>524</v>
      </c>
      <c r="C25" s="1195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197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194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196"/>
    </row>
    <row r="32" spans="1:3" s="229" customFormat="1" ht="12" customHeight="1" thickBot="1" x14ac:dyDescent="0.25">
      <c r="A32" s="77" t="s">
        <v>25</v>
      </c>
      <c r="B32" s="57" t="s">
        <v>354</v>
      </c>
      <c r="C32" s="1197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1194"/>
    </row>
    <row r="34" spans="1:3" s="229" customFormat="1" ht="12" customHeight="1" x14ac:dyDescent="0.2">
      <c r="A34" s="222" t="s">
        <v>94</v>
      </c>
      <c r="B34" s="224" t="s">
        <v>238</v>
      </c>
      <c r="C34" s="132"/>
    </row>
    <row r="35" spans="1:3" s="177" customFormat="1" ht="12" customHeight="1" thickBot="1" x14ac:dyDescent="0.25">
      <c r="A35" s="221" t="s">
        <v>95</v>
      </c>
      <c r="B35" s="60" t="s">
        <v>239</v>
      </c>
      <c r="C35" s="1196"/>
    </row>
    <row r="36" spans="1:3" s="177" customFormat="1" ht="12" customHeight="1" thickBot="1" x14ac:dyDescent="0.25">
      <c r="A36" s="77" t="s">
        <v>26</v>
      </c>
      <c r="B36" s="57" t="s">
        <v>325</v>
      </c>
      <c r="C36" s="152"/>
    </row>
    <row r="37" spans="1:3" s="177" customFormat="1" ht="12" customHeight="1" thickBot="1" x14ac:dyDescent="0.25">
      <c r="A37" s="77" t="s">
        <v>27</v>
      </c>
      <c r="B37" s="57" t="s">
        <v>355</v>
      </c>
      <c r="C37" s="169"/>
    </row>
    <row r="38" spans="1:3" s="177" customFormat="1" ht="12" customHeight="1" thickBot="1" x14ac:dyDescent="0.25">
      <c r="A38" s="74" t="s">
        <v>28</v>
      </c>
      <c r="B38" s="57" t="s">
        <v>356</v>
      </c>
      <c r="C38" s="1198">
        <f>+C9+C21+C26+C27+C32+C36+C37</f>
        <v>0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198">
        <f>+C40+C41+C42</f>
        <v>0</v>
      </c>
    </row>
    <row r="40" spans="1:3" s="177" customFormat="1" ht="12" customHeight="1" x14ac:dyDescent="0.2">
      <c r="A40" s="222" t="s">
        <v>358</v>
      </c>
      <c r="B40" s="223" t="s">
        <v>182</v>
      </c>
      <c r="C40" s="1194"/>
    </row>
    <row r="41" spans="1:3" s="229" customFormat="1" ht="12" customHeight="1" x14ac:dyDescent="0.2">
      <c r="A41" s="222" t="s">
        <v>359</v>
      </c>
      <c r="B41" s="224" t="s">
        <v>9</v>
      </c>
      <c r="C41" s="132"/>
    </row>
    <row r="42" spans="1:3" s="229" customFormat="1" ht="15" customHeight="1" thickBot="1" x14ac:dyDescent="0.25">
      <c r="A42" s="221" t="s">
        <v>360</v>
      </c>
      <c r="B42" s="60" t="s">
        <v>361</v>
      </c>
      <c r="C42" s="1196"/>
    </row>
    <row r="43" spans="1:3" s="229" customFormat="1" ht="15" customHeight="1" thickBot="1" x14ac:dyDescent="0.25">
      <c r="A43" s="92" t="s">
        <v>30</v>
      </c>
      <c r="B43" s="93" t="s">
        <v>362</v>
      </c>
      <c r="C43" s="172">
        <f>+C38+C39</f>
        <v>0</v>
      </c>
    </row>
    <row r="44" spans="1:3" x14ac:dyDescent="0.2">
      <c r="A44" s="94"/>
      <c r="B44" s="95"/>
      <c r="C44" s="170"/>
    </row>
    <row r="45" spans="1:3" s="228" customFormat="1" ht="16.5" customHeight="1" thickBot="1" x14ac:dyDescent="0.25">
      <c r="A45" s="96"/>
      <c r="B45" s="97"/>
      <c r="C45" s="171"/>
    </row>
    <row r="46" spans="1:3" s="230" customFormat="1" ht="12" customHeight="1" thickBot="1" x14ac:dyDescent="0.25">
      <c r="A46" s="98"/>
      <c r="B46" s="99" t="s">
        <v>59</v>
      </c>
      <c r="C46" s="172"/>
    </row>
    <row r="47" spans="1:3" ht="12" customHeight="1" thickBot="1" x14ac:dyDescent="0.25">
      <c r="A47" s="77" t="s">
        <v>21</v>
      </c>
      <c r="B47" s="57" t="s">
        <v>363</v>
      </c>
      <c r="C47" s="1197">
        <f>SUM(C48:C52)</f>
        <v>0</v>
      </c>
    </row>
    <row r="48" spans="1:3" ht="12" customHeight="1" x14ac:dyDescent="0.2">
      <c r="A48" s="221" t="s">
        <v>100</v>
      </c>
      <c r="B48" s="6" t="s">
        <v>51</v>
      </c>
      <c r="C48" s="1199"/>
    </row>
    <row r="49" spans="1:3" ht="12" customHeight="1" x14ac:dyDescent="0.2">
      <c r="A49" s="221" t="s">
        <v>101</v>
      </c>
      <c r="B49" s="5" t="s">
        <v>149</v>
      </c>
      <c r="C49" s="1200"/>
    </row>
    <row r="50" spans="1:3" ht="12" customHeight="1" x14ac:dyDescent="0.2">
      <c r="A50" s="221" t="s">
        <v>102</v>
      </c>
      <c r="B50" s="5" t="s">
        <v>125</v>
      </c>
      <c r="C50" s="1200"/>
    </row>
    <row r="51" spans="1:3" ht="12" customHeight="1" x14ac:dyDescent="0.2">
      <c r="A51" s="221" t="s">
        <v>103</v>
      </c>
      <c r="B51" s="5" t="s">
        <v>150</v>
      </c>
      <c r="C51" s="1195"/>
    </row>
    <row r="52" spans="1:3" ht="12" customHeight="1" thickBot="1" x14ac:dyDescent="0.25">
      <c r="A52" s="221" t="s">
        <v>126</v>
      </c>
      <c r="B52" s="5" t="s">
        <v>151</v>
      </c>
      <c r="C52" s="1195"/>
    </row>
    <row r="53" spans="1:3" s="230" customFormat="1" ht="12" customHeight="1" thickBot="1" x14ac:dyDescent="0.25">
      <c r="A53" s="77" t="s">
        <v>22</v>
      </c>
      <c r="B53" s="57" t="s">
        <v>364</v>
      </c>
      <c r="C53" s="1197">
        <f>SUM(C54:C56)</f>
        <v>0</v>
      </c>
    </row>
    <row r="54" spans="1:3" ht="12" customHeight="1" x14ac:dyDescent="0.2">
      <c r="A54" s="221" t="s">
        <v>106</v>
      </c>
      <c r="B54" s="6" t="s">
        <v>173</v>
      </c>
      <c r="C54" s="1199"/>
    </row>
    <row r="55" spans="1:3" ht="12" customHeight="1" x14ac:dyDescent="0.2">
      <c r="A55" s="221" t="s">
        <v>107</v>
      </c>
      <c r="B55" s="5" t="s">
        <v>153</v>
      </c>
      <c r="C55" s="1195"/>
    </row>
    <row r="56" spans="1:3" ht="12" customHeight="1" x14ac:dyDescent="0.2">
      <c r="A56" s="221" t="s">
        <v>108</v>
      </c>
      <c r="B56" s="5" t="s">
        <v>60</v>
      </c>
      <c r="C56" s="1195"/>
    </row>
    <row r="57" spans="1:3" ht="15" customHeight="1" thickBot="1" x14ac:dyDescent="0.25">
      <c r="A57" s="221" t="s">
        <v>109</v>
      </c>
      <c r="B57" s="5" t="s">
        <v>527</v>
      </c>
      <c r="C57" s="1195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5" customHeight="1" thickBot="1" x14ac:dyDescent="0.25">
      <c r="A59" s="77" t="s">
        <v>24</v>
      </c>
      <c r="B59" s="100" t="s">
        <v>528</v>
      </c>
      <c r="C59" s="173">
        <f>+C47+C53+C58</f>
        <v>0</v>
      </c>
    </row>
    <row r="60" spans="1:3" ht="14.25" customHeight="1" thickBot="1" x14ac:dyDescent="0.25">
      <c r="C60" s="364"/>
    </row>
    <row r="61" spans="1:3" ht="13.5" thickBot="1" x14ac:dyDescent="0.25">
      <c r="A61" s="102" t="s">
        <v>521</v>
      </c>
      <c r="B61" s="103"/>
      <c r="C61" s="48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workbookViewId="0">
      <selection sqref="A1:C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0" style="1013" hidden="1" customWidth="1"/>
    <col min="5" max="5" width="11.83203125" style="1037" hidden="1" customWidth="1"/>
    <col min="6" max="6" width="12.5" style="1037" hidden="1" customWidth="1"/>
    <col min="7" max="8" width="0" style="1013" hidden="1" customWidth="1"/>
    <col min="9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490" t="str">
        <f>CONCATENATE("18. melléklet"," ",ALAPADATOK!A7," ",ALAPADATOK!B7," ",ALAPADATOK!C7," ",ALAPADATOK!D7," ",ALAPADATOK!E7," ",ALAPADATOK!F7," ",ALAPADATOK!G7," ",ALAPADATOK!H7)</f>
        <v>18. melléklet a 21 / 2020. ( IX.25. ) önkormányzati rendelethez</v>
      </c>
      <c r="B1" s="1490"/>
      <c r="C1" s="1490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3.75" customHeight="1" x14ac:dyDescent="0.2">
      <c r="A3" s="183" t="s">
        <v>167</v>
      </c>
      <c r="B3" s="162" t="s">
        <v>546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166</v>
      </c>
      <c r="B4" s="163" t="s">
        <v>347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556</v>
      </c>
      <c r="E5" s="573"/>
      <c r="F5" s="573"/>
    </row>
    <row r="6" spans="1:6" ht="13.5" thickBot="1" x14ac:dyDescent="0.25">
      <c r="A6" s="184" t="s">
        <v>168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79" t="s">
        <v>449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523</v>
      </c>
      <c r="C9" s="674">
        <f>SUM(C10:C20)</f>
        <v>201233520</v>
      </c>
      <c r="E9" s="575">
        <f>'9.6.1. sz. mell Kornisné Kp. '!C9+'9.6.2. sz. mell Kornisné Kp.'!C9+'9.6.3. sz. mell Kornisné Kp '!C9</f>
        <v>201233520</v>
      </c>
      <c r="F9" s="575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5"/>
      <c r="E10" s="575">
        <f>'9.6.1. sz. mell Kornisné Kp. '!C10+'9.6.2. sz. mell Kornisné Kp.'!C10+'9.6.3. sz. mell Kornisné Kp '!C10</f>
        <v>0</v>
      </c>
      <c r="F10" s="575">
        <f t="shared" ref="F10:F64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6">
        <v>10867555</v>
      </c>
      <c r="E11" s="575">
        <f>'9.6.1. sz. mell Kornisné Kp. '!C11+'9.6.2. sz. mell Kornisné Kp.'!C11+'9.6.3. sz. mell Kornisné Kp '!C11</f>
        <v>10867555</v>
      </c>
      <c r="F11" s="575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6">
        <v>12700000</v>
      </c>
      <c r="E12" s="575">
        <f>'9.6.1. sz. mell Kornisné Kp. '!C12+'9.6.2. sz. mell Kornisné Kp.'!C12+'9.6.3. sz. mell Kornisné Kp '!C12</f>
        <v>12700000</v>
      </c>
      <c r="F12" s="575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6"/>
      <c r="E13" s="575">
        <f>'9.6.1. sz. mell Kornisné Kp. '!C13+'9.6.2. sz. mell Kornisné Kp.'!C13+'9.6.3. sz. mell Kornisné Kp 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6">
        <v>173575135</v>
      </c>
      <c r="E14" s="575">
        <f>'9.6.1. sz. mell Kornisné Kp. '!C14+'9.6.2. sz. mell Kornisné Kp.'!C14+'9.6.3. sz. mell Kornisné Kp '!C14</f>
        <v>173575135</v>
      </c>
      <c r="F14" s="575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6">
        <v>4090830</v>
      </c>
      <c r="E15" s="575">
        <f>'9.6.1. sz. mell Kornisné Kp. '!C15+'9.6.2. sz. mell Kornisné Kp.'!C15+'9.6.3. sz. mell Kornisné Kp '!C15</f>
        <v>4090830</v>
      </c>
      <c r="F15" s="575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6"/>
      <c r="E16" s="575">
        <f>'9.6.1. sz. mell Kornisné Kp. '!C16+'9.6.2. sz. mell Kornisné Kp.'!C16+'9.6.3. sz. mell Kornisné Kp '!C16</f>
        <v>0</v>
      </c>
      <c r="F16" s="575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7"/>
      <c r="E17" s="575">
        <f>'9.6.1. sz. mell Kornisné Kp. '!C17+'9.6.2. sz. mell Kornisné Kp.'!C17+'9.6.3. sz. mell Kornisné Kp 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6"/>
      <c r="E18" s="575">
        <f>'9.6.1. sz. mell Kornisné Kp. '!C18+'9.6.2. sz. mell Kornisné Kp.'!C18+'9.6.3. sz. mell Kornisné Kp 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8"/>
      <c r="E19" s="575">
        <f>'9.6.1. sz. mell Kornisné Kp. '!C19+'9.6.2. sz. mell Kornisné Kp.'!C19+'9.6.3. sz. mell Kornisné Kp 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8"/>
      <c r="E20" s="575">
        <f>'9.6.1. sz. mell Kornisné Kp. '!C20+'9.6.2. sz. mell Kornisné Kp.'!C20+'9.6.3. sz. mell Kornisné Kp 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1197">
        <f>SUM(C22:C24)</f>
        <v>93723004</v>
      </c>
      <c r="E21" s="575">
        <f>'9.6.1. sz. mell Kornisné Kp. '!C21+'9.6.2. sz. mell Kornisné Kp.'!C21+'9.6.3. sz. mell Kornisné Kp '!C21</f>
        <v>93723004</v>
      </c>
      <c r="F21" s="575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76"/>
      <c r="E22" s="575">
        <f>'9.6.1. sz. mell Kornisné Kp. '!C22+'9.6.2. sz. mell Kornisné Kp.'!C22+'9.6.3. sz. mell Kornisné Kp 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6"/>
      <c r="E23" s="575">
        <f>'9.6.1. sz. mell Kornisné Kp. '!C23+'9.6.2. sz. mell Kornisné Kp.'!C23+'9.6.3. sz. mell Kornisné Kp 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1200">
        <f>86729523+685800+1240576+5067105</f>
        <v>93723004</v>
      </c>
      <c r="E24" s="575">
        <f>'9.6.1. sz. mell Kornisné Kp. '!C24+'9.6.2. sz. mell Kornisné Kp.'!C24+'9.6.3. sz. mell Kornisné Kp '!C24</f>
        <v>93723004</v>
      </c>
      <c r="F24" s="575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1200">
        <f>69276523+685800+5067105</f>
        <v>75029428</v>
      </c>
      <c r="E25" s="575">
        <f>'9.6.1. sz. mell Kornisné Kp. '!C25+'9.6.2. sz. mell Kornisné Kp.'!C25+'9.6.3. sz. mell Kornisné Kp '!C25</f>
        <v>75029428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1"/>
      <c r="E26" s="575">
        <f>'9.6.1. sz. mell Kornisné Kp. '!C26+'9.6.2. sz. mell Kornisné Kp.'!C26+'9.6.3. sz. mell Kornisné Kp 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4">
        <f>+C28+C29+C30</f>
        <v>10813800</v>
      </c>
      <c r="E27" s="575">
        <f>'9.6.1. sz. mell Kornisné Kp. '!C27+'9.6.2. sz. mell Kornisné Kp.'!C27+'9.6.3. sz. mell Kornisné Kp '!C27</f>
        <v>10813800</v>
      </c>
      <c r="F27" s="575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2"/>
      <c r="E28" s="575">
        <f>'9.6.1. sz. mell Kornisné Kp. '!C28+'9.6.2. sz. mell Kornisné Kp.'!C28+'9.6.3. sz. mell Kornisné Kp 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79"/>
      <c r="E29" s="575">
        <f>'9.6.1. sz. mell Kornisné Kp. '!C29+'9.6.2. sz. mell Kornisné Kp.'!C29+'9.6.3. sz. mell Kornisné Kp 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1200">
        <f>10712200+101600</f>
        <v>10813800</v>
      </c>
      <c r="E30" s="575">
        <f>'9.6.1. sz. mell Kornisné Kp. '!C30+'9.6.2. sz. mell Kornisné Kp.'!C30+'9.6.3. sz. mell Kornisné Kp '!C30</f>
        <v>10813800</v>
      </c>
      <c r="F30" s="575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1201">
        <f>1092200+101600</f>
        <v>1193800</v>
      </c>
      <c r="E31" s="575">
        <f>'9.6.1. sz. mell Kornisné Kp. '!C31+'9.6.2. sz. mell Kornisné Kp.'!C31+'9.6.3. sz. mell Kornisné Kp '!C31</f>
        <v>1193800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  <c r="E32" s="575">
        <f>'9.6.1. sz. mell Kornisné Kp. '!C32+'9.6.2. sz. mell Kornisné Kp.'!C32+'9.6.3. sz. mell Kornisné Kp '!C32</f>
        <v>0</v>
      </c>
      <c r="F32" s="575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2"/>
      <c r="E33" s="575">
        <f>'9.6.1. sz. mell Kornisné Kp. '!C33+'9.6.2. sz. mell Kornisné Kp.'!C33+'9.6.3. sz. mell Kornisné Kp '!C33</f>
        <v>0</v>
      </c>
      <c r="F33" s="575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7"/>
      <c r="E34" s="575">
        <f>'9.6.1. sz. mell Kornisné Kp. '!C34+'9.6.2. sz. mell Kornisné Kp.'!C34+'9.6.3. sz. mell Kornisné Kp 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3"/>
      <c r="E35" s="575">
        <f>'9.6.1. sz. mell Kornisné Kp. '!C35+'9.6.2. sz. mell Kornisné Kp.'!C35+'9.6.3. sz. mell Kornisné Kp 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1376">
        <v>330075</v>
      </c>
      <c r="E36" s="575">
        <f>'9.6.1. sz. mell Kornisné Kp. '!C36+'9.6.2. sz. mell Kornisné Kp.'!C36+'9.6.3. sz. mell Kornisné Kp '!C36</f>
        <v>330075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4"/>
      <c r="E37" s="575">
        <f>'9.6.1. sz. mell Kornisné Kp. '!C37+'9.6.2. sz. mell Kornisné Kp.'!C37+'9.6.3. sz. mell Kornisné Kp 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306100399</v>
      </c>
      <c r="E38" s="575">
        <f>'9.6.1. sz. mell Kornisné Kp. '!C38+'9.6.2. sz. mell Kornisné Kp.'!C38+'9.6.3. sz. mell Kornisné Kp '!C38</f>
        <v>306100399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685">
        <f>SUM(C40:C42)</f>
        <v>629982021</v>
      </c>
      <c r="E39" s="575">
        <f>'9.6.1. sz. mell Kornisné Kp. '!C39+'9.6.2. sz. mell Kornisné Kp.'!C39+'9.6.3. sz. mell Kornisné Kp '!C39</f>
        <v>629982021</v>
      </c>
      <c r="F39" s="575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2">
        <f>20521695+4560</f>
        <v>20526255</v>
      </c>
      <c r="E40" s="575">
        <f>'9.6.1. sz. mell Kornisné Kp. '!C40+'9.6.2. sz. mell Kornisné Kp.'!C40+'9.6.3. sz. mell Kornisné Kp '!C40</f>
        <v>20526255</v>
      </c>
      <c r="F40" s="575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7"/>
      <c r="E41" s="575">
        <f>'9.6.1. sz. mell Kornisné Kp. '!C41+'9.6.2. sz. mell Kornisné Kp.'!C41+'9.6.3. sz. mell Kornisné Kp 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683">
        <f>574454744+32575861+800100-4560+1021131+608490</f>
        <v>609455766</v>
      </c>
      <c r="E42" s="575">
        <f>'9.6.1. sz. mell Kornisné Kp. '!C42+'9.6.2. sz. mell Kornisné Kp.'!C42+'9.6.3. sz. mell Kornisné Kp '!C42</f>
        <v>609455766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685">
        <f>+C38+C39</f>
        <v>936082420</v>
      </c>
      <c r="E43" s="575">
        <f>'9.6.1. sz. mell Kornisné Kp. '!C43+'9.6.2. sz. mell Kornisné Kp.'!C43+'9.6.3. sz. mell Kornisné Kp '!C43</f>
        <v>936082420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'9.6.1. sz. mell Kornisné Kp. '!C44+'9.6.2. sz. mell Kornisné Kp.'!C44+'9.6.3. sz. mell Kornisné Kp 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'9.6.1. sz. mell Kornisné Kp. '!C45+'9.6.2. sz. mell Kornisné Kp.'!C45+'9.6.3. sz. mell Kornisné Kp 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'9.6.1. sz. mell Kornisné Kp. '!C46+'9.6.2. sz. mell Kornisné Kp.'!C46+'9.6.3. sz. mell Kornisné Kp 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674">
        <f>SUM(C48:C52)</f>
        <v>917957369</v>
      </c>
      <c r="E47" s="575">
        <f>'9.6.1. sz. mell Kornisné Kp. '!C47+'9.6.2. sz. mell Kornisné Kp.'!C47+'9.6.3. sz. mell Kornisné Kp '!C47</f>
        <v>917957369</v>
      </c>
      <c r="F47" s="575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1199">
        <f>559242888+27724136+718045-127557+127557-200000+200000-200089+200089+1062000+522711+1757506</f>
        <v>591027286</v>
      </c>
      <c r="E48" s="575">
        <f>'9.6.1. sz. mell Kornisné Kp. '!C48+'9.6.2. sz. mell Kornisné Kp.'!C48+'9.6.3. sz. mell Kornisné Kp '!C48</f>
        <v>591027286</v>
      </c>
      <c r="F48" s="575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1200">
        <f>105298280+4851725+176957+178576+85779-736971</f>
        <v>109854346</v>
      </c>
      <c r="E49" s="575">
        <f>'9.6.1. sz. mell Kornisné Kp. '!C49+'9.6.2. sz. mell Kornisné Kp.'!C49+'9.6.3. sz. mell Kornisné Kp '!C49</f>
        <v>109854346</v>
      </c>
      <c r="F49" s="575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1200">
        <f>211087063-209202+800100+330075+1021131+4046570</f>
        <v>217075737</v>
      </c>
      <c r="E50" s="575">
        <f>'9.6.1. sz. mell Kornisné Kp. '!C50+'9.6.2. sz. mell Kornisné Kp.'!C50+'9.6.3. sz. mell Kornisné Kp '!C50</f>
        <v>217075737</v>
      </c>
      <c r="F50" s="575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6"/>
      <c r="E51" s="575">
        <f>'9.6.1. sz. mell Kornisné Kp. '!C51+'9.6.2. sz. mell Kornisné Kp.'!C51+'9.6.3. sz. mell Kornisné Kp '!C51</f>
        <v>0</v>
      </c>
      <c r="F51" s="575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6"/>
      <c r="E52" s="575">
        <f>'9.6.1. sz. mell Kornisné Kp. '!C52+'9.6.2. sz. mell Kornisné Kp.'!C52+'9.6.3. sz. mell Kornisné Kp 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4">
        <f>SUM(C54:C56)</f>
        <v>18125051</v>
      </c>
      <c r="E53" s="575">
        <f>'9.6.1. sz. mell Kornisné Kp. '!C53+'9.6.2. sz. mell Kornisné Kp.'!C53+'9.6.3. sz. mell Kornisné Kp '!C53</f>
        <v>18125051</v>
      </c>
      <c r="F53" s="575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1199">
        <f>18023451+101600</f>
        <v>18125051</v>
      </c>
      <c r="E54" s="575">
        <f>'9.6.1. sz. mell Kornisné Kp. '!C54+'9.6.2. sz. mell Kornisné Kp.'!C54+'9.6.3. sz. mell Kornisné Kp '!C54</f>
        <v>18125051</v>
      </c>
      <c r="F54" s="575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6"/>
      <c r="E55" s="575">
        <f>'9.6.1. sz. mell Kornisné Kp. '!C55+'9.6.2. sz. mell Kornisné Kp.'!C55+'9.6.3. sz. mell Kornisné Kp '!C55</f>
        <v>0</v>
      </c>
      <c r="F55" s="575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6"/>
      <c r="E56" s="575">
        <f>'9.6.1. sz. mell Kornisné Kp. '!C56+'9.6.2. sz. mell Kornisné Kp.'!C56+'9.6.3. sz. mell Kornisné Kp '!C56</f>
        <v>0</v>
      </c>
      <c r="F56" s="575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6"/>
      <c r="E57" s="575">
        <f>'9.6.1. sz. mell Kornisné Kp. '!C57+'9.6.2. sz. mell Kornisné Kp.'!C57+'9.6.3. sz. mell Kornisné Kp 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'9.6.1. sz. mell Kornisné Kp. '!C58+'9.6.2. sz. mell Kornisné Kp.'!C58+'9.6.3. sz. mell Kornisné Kp 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689">
        <f>+C47+C53+C58</f>
        <v>936082420</v>
      </c>
      <c r="E59" s="575">
        <f>'9.6.1. sz. mell Kornisné Kp. '!C59+'9.6.2. sz. mell Kornisné Kp.'!C59+'9.6.3. sz. mell Kornisné Kp '!C59</f>
        <v>936082420</v>
      </c>
      <c r="F59" s="575">
        <f t="shared" si="0"/>
        <v>0</v>
      </c>
    </row>
    <row r="60" spans="1:6" ht="14.25" customHeight="1" thickBot="1" x14ac:dyDescent="0.25">
      <c r="C60" s="690"/>
      <c r="E60" s="575">
        <f>'9.6.1. sz. mell Kornisné Kp. '!C60+'9.6.2. sz. mell Kornisné Kp.'!C60+'9.6.3. sz. mell Kornisné Kp '!C60</f>
        <v>0</v>
      </c>
      <c r="F60" s="575">
        <f t="shared" si="0"/>
        <v>0</v>
      </c>
    </row>
    <row r="61" spans="1:6" ht="13.5" thickBot="1" x14ac:dyDescent="0.25">
      <c r="A61" s="102" t="s">
        <v>521</v>
      </c>
      <c r="B61" s="103"/>
      <c r="C61" s="691">
        <v>150</v>
      </c>
      <c r="E61" s="575">
        <f>'9.6.1. sz. mell Kornisné Kp. '!C61+'9.6.2. sz. mell Kornisné Kp.'!C61+'9.6.3. sz. mell Kornisné Kp '!C61</f>
        <v>150</v>
      </c>
      <c r="F61" s="575">
        <f t="shared" si="0"/>
        <v>0</v>
      </c>
    </row>
    <row r="62" spans="1:6" s="381" customFormat="1" ht="13.9" customHeight="1" thickBot="1" x14ac:dyDescent="0.25">
      <c r="A62" s="705" t="s">
        <v>845</v>
      </c>
      <c r="B62" s="704"/>
      <c r="C62" s="706">
        <v>8</v>
      </c>
      <c r="E62" s="575"/>
      <c r="F62" s="575"/>
    </row>
    <row r="63" spans="1:6" s="381" customFormat="1" ht="13.9" customHeight="1" thickBot="1" x14ac:dyDescent="0.25">
      <c r="A63" s="1494" t="s">
        <v>594</v>
      </c>
      <c r="B63" s="1495"/>
      <c r="C63" s="707">
        <v>4</v>
      </c>
      <c r="E63" s="575">
        <f>'9.6.1. sz. mell Kornisné Kp. '!C62+'9.6.2. sz. mell Kornisné Kp.'!C63+'9.6.3. sz. mell Kornisné Kp '!C62</f>
        <v>4</v>
      </c>
      <c r="F63" s="575">
        <f t="shared" si="0"/>
        <v>0</v>
      </c>
    </row>
    <row r="64" spans="1:6" s="381" customFormat="1" ht="19.899999999999999" customHeight="1" thickBot="1" x14ac:dyDescent="0.25">
      <c r="A64" s="1496" t="s">
        <v>593</v>
      </c>
      <c r="B64" s="1497"/>
      <c r="C64" s="494">
        <v>1.5</v>
      </c>
      <c r="E64" s="575">
        <f>'9.6.1. sz. mell Kornisné Kp. '!C63+'9.6.2. sz. mell Kornisné Kp.'!C64+'9.6.3. sz. mell Kornisné Kp '!C63</f>
        <v>1.5</v>
      </c>
      <c r="F64" s="575">
        <f t="shared" si="0"/>
        <v>0</v>
      </c>
    </row>
    <row r="65" spans="1:3" ht="13.5" thickBot="1" x14ac:dyDescent="0.25">
      <c r="A65" s="1498" t="s">
        <v>686</v>
      </c>
      <c r="B65" s="1499"/>
      <c r="C65" s="494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C61"/>
  <sheetViews>
    <sheetView zoomScale="130" zoomScaleNormal="130" workbookViewId="0">
      <selection sqref="A1:C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490" t="str">
        <f>CONCATENATE("19. melléklet"," ",ALAPADATOK!A7," ",ALAPADATOK!B7," ",ALAPADATOK!C7," ",ALAPADATOK!D7," ",ALAPADATOK!E7," ",ALAPADATOK!F7," ",ALAPADATOK!G7," ",ALAPADATOK!H7)</f>
        <v>19. melléklet a 21 / 2020. ( IX.25.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374"/>
    </row>
    <row r="3" spans="1:3" s="226" customFormat="1" ht="35.25" customHeight="1" x14ac:dyDescent="0.2">
      <c r="A3" s="183" t="s">
        <v>167</v>
      </c>
      <c r="B3" s="162" t="s">
        <v>546</v>
      </c>
      <c r="C3" s="375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6" t="s">
        <v>62</v>
      </c>
    </row>
    <row r="5" spans="1:3" s="227" customFormat="1" ht="15.95" customHeight="1" thickBot="1" x14ac:dyDescent="0.3">
      <c r="A5" s="84"/>
      <c r="B5" s="84"/>
      <c r="C5" s="377" t="s">
        <v>556</v>
      </c>
    </row>
    <row r="6" spans="1:3" ht="13.5" thickBot="1" x14ac:dyDescent="0.25">
      <c r="A6" s="184" t="s">
        <v>168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79" t="s">
        <v>449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523</v>
      </c>
      <c r="C9" s="674">
        <f>SUM(C10:C20)</f>
        <v>9637776</v>
      </c>
    </row>
    <row r="10" spans="1:3" s="177" customFormat="1" ht="12" customHeight="1" x14ac:dyDescent="0.2">
      <c r="A10" s="220" t="s">
        <v>100</v>
      </c>
      <c r="B10" s="7" t="s">
        <v>223</v>
      </c>
      <c r="C10" s="675"/>
    </row>
    <row r="11" spans="1:3" s="177" customFormat="1" ht="12" customHeight="1" x14ac:dyDescent="0.2">
      <c r="A11" s="221" t="s">
        <v>101</v>
      </c>
      <c r="B11" s="5" t="s">
        <v>224</v>
      </c>
      <c r="C11" s="676">
        <v>7588800</v>
      </c>
    </row>
    <row r="12" spans="1:3" s="177" customFormat="1" ht="12" customHeight="1" x14ac:dyDescent="0.2">
      <c r="A12" s="221" t="s">
        <v>102</v>
      </c>
      <c r="B12" s="5" t="s">
        <v>225</v>
      </c>
      <c r="C12" s="676"/>
    </row>
    <row r="13" spans="1:3" s="177" customFormat="1" ht="12" customHeight="1" x14ac:dyDescent="0.2">
      <c r="A13" s="221" t="s">
        <v>103</v>
      </c>
      <c r="B13" s="5" t="s">
        <v>226</v>
      </c>
      <c r="C13" s="676"/>
    </row>
    <row r="14" spans="1:3" s="177" customFormat="1" ht="12" customHeight="1" x14ac:dyDescent="0.2">
      <c r="A14" s="221" t="s">
        <v>126</v>
      </c>
      <c r="B14" s="5" t="s">
        <v>227</v>
      </c>
      <c r="C14" s="676"/>
    </row>
    <row r="15" spans="1:3" s="177" customFormat="1" ht="12" customHeight="1" x14ac:dyDescent="0.2">
      <c r="A15" s="221" t="s">
        <v>104</v>
      </c>
      <c r="B15" s="5" t="s">
        <v>348</v>
      </c>
      <c r="C15" s="676">
        <v>2048976</v>
      </c>
    </row>
    <row r="16" spans="1:3" s="177" customFormat="1" ht="12" customHeight="1" x14ac:dyDescent="0.2">
      <c r="A16" s="221" t="s">
        <v>105</v>
      </c>
      <c r="B16" s="4" t="s">
        <v>349</v>
      </c>
      <c r="C16" s="676"/>
    </row>
    <row r="17" spans="1:3" s="177" customFormat="1" ht="12" customHeight="1" x14ac:dyDescent="0.2">
      <c r="A17" s="221" t="s">
        <v>115</v>
      </c>
      <c r="B17" s="5" t="s">
        <v>230</v>
      </c>
      <c r="C17" s="677"/>
    </row>
    <row r="18" spans="1:3" s="229" customFormat="1" ht="12" customHeight="1" x14ac:dyDescent="0.2">
      <c r="A18" s="221" t="s">
        <v>116</v>
      </c>
      <c r="B18" s="5" t="s">
        <v>231</v>
      </c>
      <c r="C18" s="676"/>
    </row>
    <row r="19" spans="1:3" s="229" customFormat="1" ht="12" customHeight="1" x14ac:dyDescent="0.2">
      <c r="A19" s="221" t="s">
        <v>117</v>
      </c>
      <c r="B19" s="5" t="s">
        <v>453</v>
      </c>
      <c r="C19" s="678"/>
    </row>
    <row r="20" spans="1:3" s="229" customFormat="1" ht="12" customHeight="1" thickBot="1" x14ac:dyDescent="0.25">
      <c r="A20" s="221" t="s">
        <v>118</v>
      </c>
      <c r="B20" s="4" t="s">
        <v>232</v>
      </c>
      <c r="C20" s="678"/>
    </row>
    <row r="21" spans="1:3" s="177" customFormat="1" ht="12" customHeight="1" thickBot="1" x14ac:dyDescent="0.25">
      <c r="A21" s="74" t="s">
        <v>22</v>
      </c>
      <c r="B21" s="91" t="s">
        <v>350</v>
      </c>
      <c r="C21" s="674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679"/>
    </row>
    <row r="23" spans="1:3" s="229" customFormat="1" ht="12" customHeight="1" x14ac:dyDescent="0.2">
      <c r="A23" s="221" t="s">
        <v>107</v>
      </c>
      <c r="B23" s="5" t="s">
        <v>351</v>
      </c>
      <c r="C23" s="676"/>
    </row>
    <row r="24" spans="1:3" s="229" customFormat="1" ht="12" customHeight="1" x14ac:dyDescent="0.2">
      <c r="A24" s="221" t="s">
        <v>108</v>
      </c>
      <c r="B24" s="5" t="s">
        <v>352</v>
      </c>
      <c r="C24" s="676"/>
    </row>
    <row r="25" spans="1:3" s="229" customFormat="1" ht="12" customHeight="1" thickBot="1" x14ac:dyDescent="0.25">
      <c r="A25" s="221" t="s">
        <v>109</v>
      </c>
      <c r="B25" s="5" t="s">
        <v>524</v>
      </c>
      <c r="C25" s="676"/>
    </row>
    <row r="26" spans="1:3" s="229" customFormat="1" ht="12" customHeight="1" thickBot="1" x14ac:dyDescent="0.25">
      <c r="A26" s="77" t="s">
        <v>23</v>
      </c>
      <c r="B26" s="57" t="s">
        <v>140</v>
      </c>
      <c r="C26" s="681"/>
    </row>
    <row r="27" spans="1:3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2"/>
    </row>
    <row r="29" spans="1:3" s="229" customFormat="1" ht="12" customHeight="1" x14ac:dyDescent="0.2">
      <c r="A29" s="222" t="s">
        <v>214</v>
      </c>
      <c r="B29" s="223" t="s">
        <v>351</v>
      </c>
      <c r="C29" s="679"/>
    </row>
    <row r="30" spans="1:3" s="229" customFormat="1" ht="12" customHeight="1" x14ac:dyDescent="0.2">
      <c r="A30" s="222" t="s">
        <v>215</v>
      </c>
      <c r="B30" s="224" t="s">
        <v>353</v>
      </c>
      <c r="C30" s="679"/>
    </row>
    <row r="31" spans="1:3" s="229" customFormat="1" ht="12" customHeight="1" thickBot="1" x14ac:dyDescent="0.25">
      <c r="A31" s="221" t="s">
        <v>216</v>
      </c>
      <c r="B31" s="60" t="s">
        <v>526</v>
      </c>
      <c r="C31" s="683"/>
    </row>
    <row r="32" spans="1:3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2"/>
    </row>
    <row r="34" spans="1:3" s="229" customFormat="1" ht="12" customHeight="1" x14ac:dyDescent="0.2">
      <c r="A34" s="222" t="s">
        <v>94</v>
      </c>
      <c r="B34" s="224" t="s">
        <v>238</v>
      </c>
      <c r="C34" s="677"/>
    </row>
    <row r="35" spans="1:3" s="177" customFormat="1" ht="12" customHeight="1" thickBot="1" x14ac:dyDescent="0.25">
      <c r="A35" s="221" t="s">
        <v>95</v>
      </c>
      <c r="B35" s="60" t="s">
        <v>239</v>
      </c>
      <c r="C35" s="683"/>
    </row>
    <row r="36" spans="1:3" s="177" customFormat="1" ht="12" customHeight="1" thickBot="1" x14ac:dyDescent="0.25">
      <c r="A36" s="77" t="s">
        <v>26</v>
      </c>
      <c r="B36" s="57" t="s">
        <v>325</v>
      </c>
      <c r="C36" s="1376">
        <v>330075</v>
      </c>
    </row>
    <row r="37" spans="1:3" s="177" customFormat="1" ht="12" customHeight="1" thickBot="1" x14ac:dyDescent="0.25">
      <c r="A37" s="77" t="s">
        <v>27</v>
      </c>
      <c r="B37" s="57" t="s">
        <v>355</v>
      </c>
      <c r="C37" s="684"/>
    </row>
    <row r="38" spans="1:3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9967851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5">
        <f>+C40+C41+C42</f>
        <v>184569446</v>
      </c>
    </row>
    <row r="40" spans="1:3" s="177" customFormat="1" ht="12" customHeight="1" x14ac:dyDescent="0.2">
      <c r="A40" s="222" t="s">
        <v>358</v>
      </c>
      <c r="B40" s="223" t="s">
        <v>182</v>
      </c>
      <c r="C40" s="682">
        <f>16297751+4560</f>
        <v>16302311</v>
      </c>
    </row>
    <row r="41" spans="1:3" s="229" customFormat="1" ht="12" customHeight="1" x14ac:dyDescent="0.2">
      <c r="A41" s="222" t="s">
        <v>359</v>
      </c>
      <c r="B41" s="224" t="s">
        <v>9</v>
      </c>
      <c r="C41" s="677"/>
    </row>
    <row r="42" spans="1:3" s="229" customFormat="1" ht="15" customHeight="1" thickBot="1" x14ac:dyDescent="0.25">
      <c r="A42" s="221" t="s">
        <v>360</v>
      </c>
      <c r="B42" s="60" t="s">
        <v>361</v>
      </c>
      <c r="C42" s="683">
        <f>157005531+11253117+5614+982+5491+960-4560</f>
        <v>168267135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1198">
        <f>+C38+C39</f>
        <v>194537297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363</v>
      </c>
      <c r="C47" s="674">
        <f>SUM(C48:C52)</f>
        <v>193902529</v>
      </c>
    </row>
    <row r="48" spans="1:3" ht="12" customHeight="1" x14ac:dyDescent="0.2">
      <c r="A48" s="221" t="s">
        <v>100</v>
      </c>
      <c r="B48" s="6" t="s">
        <v>51</v>
      </c>
      <c r="C48" s="1199">
        <f>136029710+9577120+5614+5491-200000+200000</f>
        <v>145617935</v>
      </c>
    </row>
    <row r="49" spans="1:3" ht="12" customHeight="1" x14ac:dyDescent="0.2">
      <c r="A49" s="221" t="s">
        <v>101</v>
      </c>
      <c r="B49" s="5" t="s">
        <v>149</v>
      </c>
      <c r="C49" s="1200">
        <f>24987418+1675997+982+960</f>
        <v>26665357</v>
      </c>
    </row>
    <row r="50" spans="1:3" ht="12" customHeight="1" x14ac:dyDescent="0.2">
      <c r="A50" s="221" t="s">
        <v>102</v>
      </c>
      <c r="B50" s="5" t="s">
        <v>125</v>
      </c>
      <c r="C50" s="676">
        <f>21289162+330075</f>
        <v>21619237</v>
      </c>
    </row>
    <row r="51" spans="1:3" ht="12" customHeight="1" x14ac:dyDescent="0.2">
      <c r="A51" s="221" t="s">
        <v>103</v>
      </c>
      <c r="B51" s="5" t="s">
        <v>150</v>
      </c>
      <c r="C51" s="676"/>
    </row>
    <row r="52" spans="1:3" ht="12" customHeight="1" thickBot="1" x14ac:dyDescent="0.25">
      <c r="A52" s="221" t="s">
        <v>126</v>
      </c>
      <c r="B52" s="5" t="s">
        <v>151</v>
      </c>
      <c r="C52" s="676"/>
    </row>
    <row r="53" spans="1:3" s="230" customFormat="1" ht="12" customHeight="1" thickBot="1" x14ac:dyDescent="0.25">
      <c r="A53" s="77" t="s">
        <v>22</v>
      </c>
      <c r="B53" s="57" t="s">
        <v>364</v>
      </c>
      <c r="C53" s="674">
        <f>SUM(C54:C56)</f>
        <v>634768</v>
      </c>
    </row>
    <row r="54" spans="1:3" ht="12" customHeight="1" x14ac:dyDescent="0.2">
      <c r="A54" s="221" t="s">
        <v>106</v>
      </c>
      <c r="B54" s="6" t="s">
        <v>173</v>
      </c>
      <c r="C54" s="682">
        <v>634768</v>
      </c>
    </row>
    <row r="55" spans="1:3" ht="12" customHeight="1" x14ac:dyDescent="0.2">
      <c r="A55" s="221" t="s">
        <v>107</v>
      </c>
      <c r="B55" s="5" t="s">
        <v>153</v>
      </c>
      <c r="C55" s="676"/>
    </row>
    <row r="56" spans="1:3" ht="12" customHeight="1" x14ac:dyDescent="0.2">
      <c r="A56" s="221" t="s">
        <v>108</v>
      </c>
      <c r="B56" s="5" t="s">
        <v>60</v>
      </c>
      <c r="C56" s="676"/>
    </row>
    <row r="57" spans="1:3" ht="15" customHeight="1" thickBot="1" x14ac:dyDescent="0.25">
      <c r="A57" s="221" t="s">
        <v>109</v>
      </c>
      <c r="B57" s="5" t="s">
        <v>527</v>
      </c>
      <c r="C57" s="676"/>
    </row>
    <row r="58" spans="1:3" ht="13.5" thickBot="1" x14ac:dyDescent="0.25">
      <c r="A58" s="77" t="s">
        <v>23</v>
      </c>
      <c r="B58" s="57" t="s">
        <v>15</v>
      </c>
      <c r="C58" s="681"/>
    </row>
    <row r="59" spans="1:3" ht="15" customHeight="1" thickBot="1" x14ac:dyDescent="0.25">
      <c r="A59" s="77" t="s">
        <v>24</v>
      </c>
      <c r="B59" s="100" t="s">
        <v>528</v>
      </c>
      <c r="C59" s="1197">
        <f>+C47+C53+C58</f>
        <v>194537297</v>
      </c>
    </row>
    <row r="60" spans="1:3" ht="14.25" customHeight="1" thickBot="1" x14ac:dyDescent="0.25">
      <c r="C60" s="690"/>
    </row>
    <row r="61" spans="1:3" ht="13.5" thickBot="1" x14ac:dyDescent="0.25">
      <c r="A61" s="102" t="s">
        <v>521</v>
      </c>
      <c r="B61" s="103"/>
      <c r="C61" s="691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zoomScale="145" zoomScaleNormal="145" workbookViewId="0">
      <selection sqref="A1:C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5" style="1013" bestFit="1" customWidth="1"/>
    <col min="5" max="5" width="10.83203125" style="1013" bestFit="1" customWidth="1"/>
    <col min="6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490" t="str">
        <f>CONCATENATE("20. melléklet"," ",ALAPADATOK!A7," ",ALAPADATOK!B7," ",ALAPADATOK!C7," ",ALAPADATOK!D7," ",ALAPADATOK!E7," ",ALAPADATOK!F7," ",ALAPADATOK!G7," ",ALAPADATOK!H7)</f>
        <v>20. melléklet a 21 / 2020. ( IX.25.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374"/>
    </row>
    <row r="3" spans="1:3" s="226" customFormat="1" ht="34.5" customHeight="1" x14ac:dyDescent="0.2">
      <c r="A3" s="183" t="s">
        <v>167</v>
      </c>
      <c r="B3" s="162" t="s">
        <v>546</v>
      </c>
      <c r="C3" s="375" t="s">
        <v>63</v>
      </c>
    </row>
    <row r="4" spans="1:3" s="226" customFormat="1" ht="24.75" thickBot="1" x14ac:dyDescent="0.25">
      <c r="A4" s="219" t="s">
        <v>166</v>
      </c>
      <c r="B4" s="163" t="s">
        <v>366</v>
      </c>
      <c r="C4" s="376" t="s">
        <v>63</v>
      </c>
    </row>
    <row r="5" spans="1:3" s="227" customFormat="1" ht="15.95" customHeight="1" thickBot="1" x14ac:dyDescent="0.3">
      <c r="A5" s="84"/>
      <c r="B5" s="84"/>
      <c r="C5" s="377" t="s">
        <v>556</v>
      </c>
    </row>
    <row r="6" spans="1:3" ht="13.5" thickBot="1" x14ac:dyDescent="0.25">
      <c r="A6" s="184" t="s">
        <v>168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79" t="s">
        <v>449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523</v>
      </c>
      <c r="C9" s="674">
        <f>SUM(C10:C20)</f>
        <v>190324785</v>
      </c>
    </row>
    <row r="10" spans="1:3" s="177" customFormat="1" ht="12" customHeight="1" x14ac:dyDescent="0.2">
      <c r="A10" s="220" t="s">
        <v>100</v>
      </c>
      <c r="B10" s="7" t="s">
        <v>223</v>
      </c>
      <c r="C10" s="675"/>
    </row>
    <row r="11" spans="1:3" s="177" customFormat="1" ht="12" customHeight="1" x14ac:dyDescent="0.2">
      <c r="A11" s="221" t="s">
        <v>101</v>
      </c>
      <c r="B11" s="5" t="s">
        <v>224</v>
      </c>
      <c r="C11" s="676">
        <v>2278000</v>
      </c>
    </row>
    <row r="12" spans="1:3" s="177" customFormat="1" ht="12" customHeight="1" x14ac:dyDescent="0.2">
      <c r="A12" s="221" t="s">
        <v>102</v>
      </c>
      <c r="B12" s="5" t="s">
        <v>225</v>
      </c>
      <c r="C12" s="676">
        <v>12700000</v>
      </c>
    </row>
    <row r="13" spans="1:3" s="177" customFormat="1" ht="12" customHeight="1" x14ac:dyDescent="0.2">
      <c r="A13" s="221" t="s">
        <v>103</v>
      </c>
      <c r="B13" s="5" t="s">
        <v>226</v>
      </c>
      <c r="C13" s="676"/>
    </row>
    <row r="14" spans="1:3" s="177" customFormat="1" ht="12" customHeight="1" x14ac:dyDescent="0.2">
      <c r="A14" s="221" t="s">
        <v>126</v>
      </c>
      <c r="B14" s="5" t="s">
        <v>227</v>
      </c>
      <c r="C14" s="676">
        <v>173575135</v>
      </c>
    </row>
    <row r="15" spans="1:3" s="177" customFormat="1" ht="12" customHeight="1" x14ac:dyDescent="0.2">
      <c r="A15" s="221" t="s">
        <v>104</v>
      </c>
      <c r="B15" s="5" t="s">
        <v>348</v>
      </c>
      <c r="C15" s="676">
        <v>1771650</v>
      </c>
    </row>
    <row r="16" spans="1:3" s="177" customFormat="1" ht="12" customHeight="1" x14ac:dyDescent="0.2">
      <c r="A16" s="221" t="s">
        <v>105</v>
      </c>
      <c r="B16" s="4" t="s">
        <v>349</v>
      </c>
      <c r="C16" s="676"/>
    </row>
    <row r="17" spans="1:3" s="177" customFormat="1" ht="12" customHeight="1" x14ac:dyDescent="0.2">
      <c r="A17" s="221" t="s">
        <v>115</v>
      </c>
      <c r="B17" s="5" t="s">
        <v>230</v>
      </c>
      <c r="C17" s="677"/>
    </row>
    <row r="18" spans="1:3" s="229" customFormat="1" ht="12" customHeight="1" x14ac:dyDescent="0.2">
      <c r="A18" s="221" t="s">
        <v>116</v>
      </c>
      <c r="B18" s="5" t="s">
        <v>231</v>
      </c>
      <c r="C18" s="676"/>
    </row>
    <row r="19" spans="1:3" s="229" customFormat="1" ht="12" customHeight="1" x14ac:dyDescent="0.2">
      <c r="A19" s="221" t="s">
        <v>117</v>
      </c>
      <c r="B19" s="5" t="s">
        <v>453</v>
      </c>
      <c r="C19" s="678"/>
    </row>
    <row r="20" spans="1:3" s="229" customFormat="1" ht="12" customHeight="1" thickBot="1" x14ac:dyDescent="0.25">
      <c r="A20" s="221" t="s">
        <v>118</v>
      </c>
      <c r="B20" s="4" t="s">
        <v>232</v>
      </c>
      <c r="C20" s="678"/>
    </row>
    <row r="21" spans="1:3" s="177" customFormat="1" ht="12" customHeight="1" thickBot="1" x14ac:dyDescent="0.25">
      <c r="A21" s="74" t="s">
        <v>22</v>
      </c>
      <c r="B21" s="91" t="s">
        <v>350</v>
      </c>
      <c r="C21" s="1197">
        <f>SUM(C22:C24)</f>
        <v>93723004</v>
      </c>
    </row>
    <row r="22" spans="1:3" s="229" customFormat="1" ht="12" customHeight="1" x14ac:dyDescent="0.2">
      <c r="A22" s="221" t="s">
        <v>106</v>
      </c>
      <c r="B22" s="6" t="s">
        <v>201</v>
      </c>
      <c r="C22" s="1195"/>
    </row>
    <row r="23" spans="1:3" s="229" customFormat="1" ht="12" customHeight="1" x14ac:dyDescent="0.2">
      <c r="A23" s="221" t="s">
        <v>107</v>
      </c>
      <c r="B23" s="5" t="s">
        <v>351</v>
      </c>
      <c r="C23" s="1195"/>
    </row>
    <row r="24" spans="1:3" s="229" customFormat="1" ht="12" customHeight="1" x14ac:dyDescent="0.2">
      <c r="A24" s="221" t="s">
        <v>108</v>
      </c>
      <c r="B24" s="5" t="s">
        <v>352</v>
      </c>
      <c r="C24" s="1200">
        <f>86729523+685800+1240576+5067105</f>
        <v>93723004</v>
      </c>
    </row>
    <row r="25" spans="1:3" s="229" customFormat="1" ht="12" customHeight="1" thickBot="1" x14ac:dyDescent="0.25">
      <c r="A25" s="221" t="s">
        <v>109</v>
      </c>
      <c r="B25" s="5" t="s">
        <v>524</v>
      </c>
      <c r="C25" s="1200">
        <f>69276523+685800+5067105</f>
        <v>75029428</v>
      </c>
    </row>
    <row r="26" spans="1:3" s="229" customFormat="1" ht="12" customHeight="1" thickBot="1" x14ac:dyDescent="0.25">
      <c r="A26" s="77" t="s">
        <v>23</v>
      </c>
      <c r="B26" s="57" t="s">
        <v>140</v>
      </c>
      <c r="C26" s="681"/>
    </row>
    <row r="27" spans="1:3" s="229" customFormat="1" ht="12" customHeight="1" thickBot="1" x14ac:dyDescent="0.25">
      <c r="A27" s="77" t="s">
        <v>24</v>
      </c>
      <c r="B27" s="57" t="s">
        <v>525</v>
      </c>
      <c r="C27" s="674">
        <f>+C28+C29+C30</f>
        <v>10813800</v>
      </c>
    </row>
    <row r="28" spans="1:3" s="229" customFormat="1" ht="12" customHeight="1" x14ac:dyDescent="0.2">
      <c r="A28" s="222" t="s">
        <v>211</v>
      </c>
      <c r="B28" s="223" t="s">
        <v>206</v>
      </c>
      <c r="C28" s="682"/>
    </row>
    <row r="29" spans="1:3" s="229" customFormat="1" ht="12" customHeight="1" x14ac:dyDescent="0.2">
      <c r="A29" s="222" t="s">
        <v>214</v>
      </c>
      <c r="B29" s="223" t="s">
        <v>351</v>
      </c>
      <c r="C29" s="679"/>
    </row>
    <row r="30" spans="1:3" s="229" customFormat="1" ht="12" customHeight="1" x14ac:dyDescent="0.2">
      <c r="A30" s="222" t="s">
        <v>215</v>
      </c>
      <c r="B30" s="224" t="s">
        <v>353</v>
      </c>
      <c r="C30" s="1200">
        <f>10712200+101600</f>
        <v>10813800</v>
      </c>
    </row>
    <row r="31" spans="1:3" s="229" customFormat="1" ht="12" customHeight="1" thickBot="1" x14ac:dyDescent="0.25">
      <c r="A31" s="221" t="s">
        <v>216</v>
      </c>
      <c r="B31" s="60" t="s">
        <v>526</v>
      </c>
      <c r="C31" s="1201">
        <f>1092200+101600</f>
        <v>1193800</v>
      </c>
    </row>
    <row r="32" spans="1:3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2"/>
    </row>
    <row r="34" spans="1:3" s="229" customFormat="1" ht="12" customHeight="1" x14ac:dyDescent="0.2">
      <c r="A34" s="222" t="s">
        <v>94</v>
      </c>
      <c r="B34" s="224" t="s">
        <v>238</v>
      </c>
      <c r="C34" s="677"/>
    </row>
    <row r="35" spans="1:3" s="177" customFormat="1" ht="12" customHeight="1" thickBot="1" x14ac:dyDescent="0.25">
      <c r="A35" s="221" t="s">
        <v>95</v>
      </c>
      <c r="B35" s="60" t="s">
        <v>239</v>
      </c>
      <c r="C35" s="683"/>
    </row>
    <row r="36" spans="1:3" s="177" customFormat="1" ht="12" customHeight="1" thickBot="1" x14ac:dyDescent="0.25">
      <c r="A36" s="77" t="s">
        <v>26</v>
      </c>
      <c r="B36" s="57" t="s">
        <v>325</v>
      </c>
      <c r="C36" s="681"/>
    </row>
    <row r="37" spans="1:3" s="177" customFormat="1" ht="12" customHeight="1" thickBot="1" x14ac:dyDescent="0.25">
      <c r="A37" s="77" t="s">
        <v>27</v>
      </c>
      <c r="B37" s="57" t="s">
        <v>355</v>
      </c>
      <c r="C37" s="684"/>
    </row>
    <row r="38" spans="1:3" s="177" customFormat="1" ht="12" customHeight="1" thickBot="1" x14ac:dyDescent="0.25">
      <c r="A38" s="74" t="s">
        <v>28</v>
      </c>
      <c r="B38" s="57" t="s">
        <v>356</v>
      </c>
      <c r="C38" s="1198">
        <f>+C9+C21+C26+C27+C32+C36+C37</f>
        <v>294861589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5">
        <f>+C40+C41+C42</f>
        <v>445412575</v>
      </c>
    </row>
    <row r="40" spans="1:3" s="177" customFormat="1" ht="12" customHeight="1" x14ac:dyDescent="0.2">
      <c r="A40" s="222" t="s">
        <v>358</v>
      </c>
      <c r="B40" s="223" t="s">
        <v>182</v>
      </c>
      <c r="C40" s="682">
        <v>4223944</v>
      </c>
    </row>
    <row r="41" spans="1:3" s="229" customFormat="1" ht="12" customHeight="1" x14ac:dyDescent="0.2">
      <c r="A41" s="222" t="s">
        <v>359</v>
      </c>
      <c r="B41" s="224" t="s">
        <v>9</v>
      </c>
      <c r="C41" s="677"/>
    </row>
    <row r="42" spans="1:3" s="229" customFormat="1" ht="15" customHeight="1" thickBot="1" x14ac:dyDescent="0.25">
      <c r="A42" s="221" t="s">
        <v>360</v>
      </c>
      <c r="B42" s="60" t="s">
        <v>361</v>
      </c>
      <c r="C42" s="683">
        <f>417892539-443326+21304586+18158-5614-982-5491-960+800100+608490+1021131</f>
        <v>441188631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1198">
        <f>+C38+C39</f>
        <v>740274164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363</v>
      </c>
      <c r="C47" s="1192">
        <f>SUM(C48:C52)</f>
        <v>723209049</v>
      </c>
    </row>
    <row r="48" spans="1:3" ht="12" customHeight="1" x14ac:dyDescent="0.2">
      <c r="A48" s="221" t="s">
        <v>100</v>
      </c>
      <c r="B48" s="6" t="s">
        <v>51</v>
      </c>
      <c r="C48" s="1199">
        <f>422879901+18131562+540000+76942+89998-127557+127557+522711+1062000+1757506</f>
        <v>445060620</v>
      </c>
    </row>
    <row r="49" spans="1:5" ht="12" customHeight="1" x14ac:dyDescent="0.2">
      <c r="A49" s="221" t="s">
        <v>101</v>
      </c>
      <c r="B49" s="5" t="s">
        <v>149</v>
      </c>
      <c r="C49" s="1200">
        <f>80252538+3173024+145800+13465+15750+85779+178576-736971</f>
        <v>83127961</v>
      </c>
    </row>
    <row r="50" spans="1:5" ht="12" customHeight="1" x14ac:dyDescent="0.2">
      <c r="A50" s="221" t="s">
        <v>102</v>
      </c>
      <c r="B50" s="5" t="s">
        <v>125</v>
      </c>
      <c r="C50" s="1200">
        <f>189361869-97003-112199+800100+1021131+4046570</f>
        <v>195020468</v>
      </c>
    </row>
    <row r="51" spans="1:5" ht="12" customHeight="1" x14ac:dyDescent="0.2">
      <c r="A51" s="221" t="s">
        <v>103</v>
      </c>
      <c r="B51" s="5" t="s">
        <v>150</v>
      </c>
      <c r="C51" s="676"/>
    </row>
    <row r="52" spans="1:5" ht="12" customHeight="1" thickBot="1" x14ac:dyDescent="0.25">
      <c r="A52" s="221" t="s">
        <v>126</v>
      </c>
      <c r="B52" s="5" t="s">
        <v>151</v>
      </c>
      <c r="C52" s="676"/>
    </row>
    <row r="53" spans="1:5" s="230" customFormat="1" ht="12" customHeight="1" thickBot="1" x14ac:dyDescent="0.25">
      <c r="A53" s="77" t="s">
        <v>22</v>
      </c>
      <c r="B53" s="57" t="s">
        <v>364</v>
      </c>
      <c r="C53" s="674">
        <f>SUM(C54:C56)</f>
        <v>17490283</v>
      </c>
    </row>
    <row r="54" spans="1:5" ht="12" customHeight="1" x14ac:dyDescent="0.2">
      <c r="A54" s="221" t="s">
        <v>106</v>
      </c>
      <c r="B54" s="6" t="s">
        <v>173</v>
      </c>
      <c r="C54" s="1199">
        <f>17388683+101600</f>
        <v>17490283</v>
      </c>
    </row>
    <row r="55" spans="1:5" ht="12" customHeight="1" x14ac:dyDescent="0.2">
      <c r="A55" s="221" t="s">
        <v>107</v>
      </c>
      <c r="B55" s="5" t="s">
        <v>153</v>
      </c>
      <c r="C55" s="676"/>
    </row>
    <row r="56" spans="1:5" ht="12" customHeight="1" x14ac:dyDescent="0.2">
      <c r="A56" s="221" t="s">
        <v>108</v>
      </c>
      <c r="B56" s="5" t="s">
        <v>60</v>
      </c>
      <c r="C56" s="676"/>
    </row>
    <row r="57" spans="1:5" ht="15" customHeight="1" thickBot="1" x14ac:dyDescent="0.25">
      <c r="A57" s="221" t="s">
        <v>109</v>
      </c>
      <c r="B57" s="5" t="s">
        <v>527</v>
      </c>
      <c r="C57" s="676"/>
    </row>
    <row r="58" spans="1:5" ht="13.5" thickBot="1" x14ac:dyDescent="0.25">
      <c r="A58" s="77" t="s">
        <v>23</v>
      </c>
      <c r="B58" s="57" t="s">
        <v>15</v>
      </c>
      <c r="C58" s="681"/>
      <c r="D58" s="854"/>
      <c r="E58" s="854"/>
    </row>
    <row r="59" spans="1:5" ht="15" customHeight="1" thickBot="1" x14ac:dyDescent="0.25">
      <c r="A59" s="77" t="s">
        <v>24</v>
      </c>
      <c r="B59" s="100" t="s">
        <v>528</v>
      </c>
      <c r="C59" s="1192">
        <f>+C47+C53+C58</f>
        <v>740699332</v>
      </c>
    </row>
    <row r="60" spans="1:5" ht="14.25" customHeight="1" thickBot="1" x14ac:dyDescent="0.25">
      <c r="C60" s="690"/>
    </row>
    <row r="61" spans="1:5" ht="13.5" thickBot="1" x14ac:dyDescent="0.25">
      <c r="A61" s="102" t="s">
        <v>521</v>
      </c>
      <c r="B61" s="103"/>
      <c r="C61" s="691">
        <v>109</v>
      </c>
    </row>
    <row r="62" spans="1:5" ht="13.5" thickBot="1" x14ac:dyDescent="0.25">
      <c r="A62" s="705" t="s">
        <v>850</v>
      </c>
      <c r="B62" s="704"/>
      <c r="C62" s="706">
        <v>8</v>
      </c>
    </row>
    <row r="63" spans="1:5" s="381" customFormat="1" ht="13.9" customHeight="1" thickBot="1" x14ac:dyDescent="0.25">
      <c r="A63" s="1494" t="s">
        <v>594</v>
      </c>
      <c r="B63" s="1495"/>
      <c r="C63" s="707">
        <v>4</v>
      </c>
    </row>
    <row r="64" spans="1:5" s="381" customFormat="1" ht="13.5" thickBot="1" x14ac:dyDescent="0.25">
      <c r="A64" s="1496" t="s">
        <v>593</v>
      </c>
      <c r="B64" s="1497"/>
      <c r="C64" s="494">
        <v>1.5</v>
      </c>
    </row>
    <row r="65" spans="1:3" ht="13.5" thickBot="1" x14ac:dyDescent="0.25">
      <c r="A65" s="1498" t="s">
        <v>686</v>
      </c>
      <c r="B65" s="1499"/>
      <c r="C65" s="494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70"/>
  <sheetViews>
    <sheetView zoomScale="115" zoomScaleNormal="115" zoomScaleSheetLayoutView="100" workbookViewId="0">
      <selection sqref="A1:C1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9.33203125" style="190" hidden="1" customWidth="1"/>
    <col min="5" max="5" width="15.83203125" style="190" hidden="1" customWidth="1"/>
    <col min="6" max="6" width="15.33203125" style="190" hidden="1" customWidth="1"/>
    <col min="7" max="16384" width="9.33203125" style="190"/>
  </cols>
  <sheetData>
    <row r="1" spans="1:6" s="849" customFormat="1" x14ac:dyDescent="0.25">
      <c r="A1" s="1443" t="str">
        <f>CONCATENATE("3. melléklet"," ",ALAPADATOK!A7," ",ALAPADATOK!B7," ",ALAPADATOK!C7," ",ALAPADATOK!D7," ",ALAPADATOK!E7," ",ALAPADATOK!F7," ",ALAPADATOK!G7," ",ALAPADATOK!H7)</f>
        <v>3. melléklet a 21 / 2020. ( IX.25. ) önkormányzati rendelethez</v>
      </c>
      <c r="B1" s="1443"/>
      <c r="C1" s="1443"/>
    </row>
    <row r="2" spans="1:6" s="1078" customFormat="1" x14ac:dyDescent="0.25">
      <c r="A2" s="904"/>
      <c r="B2" s="904"/>
      <c r="C2" s="904"/>
    </row>
    <row r="3" spans="1:6" s="849" customFormat="1" x14ac:dyDescent="0.25">
      <c r="A3" s="1441" t="str">
        <f>CONCATENATE(ALAPADATOK!A3)</f>
        <v>Tiszavasvári Város Önkormányzat</v>
      </c>
      <c r="B3" s="1441"/>
      <c r="C3" s="1441"/>
    </row>
    <row r="4" spans="1:6" s="849" customFormat="1" x14ac:dyDescent="0.25">
      <c r="A4" s="1442" t="str">
        <f>CONCATENATE(ALAPADATOK!D7," ÉVI KÖLTSÉGVETÉS")</f>
        <v>2020. ÉVI KÖLTSÉGVETÉS</v>
      </c>
      <c r="B4" s="1442"/>
      <c r="C4" s="1442"/>
    </row>
    <row r="5" spans="1:6" s="849" customFormat="1" x14ac:dyDescent="0.25">
      <c r="A5" s="1442" t="s">
        <v>893</v>
      </c>
      <c r="B5" s="1442"/>
      <c r="C5" s="1442"/>
    </row>
    <row r="6" spans="1:6" s="849" customFormat="1" x14ac:dyDescent="0.25">
      <c r="A6" s="848"/>
      <c r="B6" s="848"/>
      <c r="C6" s="312"/>
    </row>
    <row r="7" spans="1:6" ht="15.95" customHeight="1" x14ac:dyDescent="0.25">
      <c r="A7" s="1445" t="s">
        <v>18</v>
      </c>
      <c r="B7" s="1445"/>
      <c r="C7" s="1445"/>
      <c r="D7" s="179"/>
      <c r="E7" s="179"/>
      <c r="F7" s="179"/>
    </row>
    <row r="8" spans="1:6" ht="15.95" customHeight="1" thickBot="1" x14ac:dyDescent="0.3">
      <c r="A8" s="1447"/>
      <c r="B8" s="1447"/>
      <c r="C8" s="126" t="s">
        <v>555</v>
      </c>
      <c r="D8" s="179"/>
      <c r="E8" s="179"/>
      <c r="F8" s="179"/>
    </row>
    <row r="9" spans="1:6" ht="38.1" customHeight="1" thickBot="1" x14ac:dyDescent="0.3">
      <c r="A9" s="20" t="s">
        <v>72</v>
      </c>
      <c r="B9" s="21" t="s">
        <v>20</v>
      </c>
      <c r="C9" s="29" t="s">
        <v>787</v>
      </c>
      <c r="D9" s="179" t="s">
        <v>561</v>
      </c>
      <c r="E9" s="179" t="s">
        <v>562</v>
      </c>
      <c r="F9" s="179" t="s">
        <v>563</v>
      </c>
    </row>
    <row r="10" spans="1:6" s="191" customFormat="1" ht="12" customHeight="1" thickBot="1" x14ac:dyDescent="0.25">
      <c r="A10" s="185" t="s">
        <v>447</v>
      </c>
      <c r="B10" s="186" t="s">
        <v>448</v>
      </c>
      <c r="C10" s="187" t="s">
        <v>449</v>
      </c>
    </row>
    <row r="11" spans="1:6" s="192" customFormat="1" ht="12" customHeight="1" thickBot="1" x14ac:dyDescent="0.25">
      <c r="A11" s="17" t="s">
        <v>21</v>
      </c>
      <c r="B11" s="18" t="s">
        <v>195</v>
      </c>
      <c r="C11" s="117">
        <f t="shared" ref="C11:C76" si="0">SUM(D11:F11)</f>
        <v>196187360</v>
      </c>
      <c r="D11" s="282">
        <f>+D12+D13+D14+D17+D18+D19</f>
        <v>196187360</v>
      </c>
      <c r="E11" s="117">
        <f>+E12+E13+E14+E17+E18+E19</f>
        <v>0</v>
      </c>
      <c r="F11" s="117">
        <f>+F12+F13+F14+F17+F18+F19</f>
        <v>0</v>
      </c>
    </row>
    <row r="12" spans="1:6" s="192" customFormat="1" ht="12" customHeight="1" x14ac:dyDescent="0.2">
      <c r="A12" s="12" t="s">
        <v>100</v>
      </c>
      <c r="B12" s="193" t="s">
        <v>196</v>
      </c>
      <c r="C12" s="188">
        <f t="shared" si="0"/>
        <v>0</v>
      </c>
      <c r="D12" s="284"/>
      <c r="E12" s="231"/>
      <c r="F12" s="119"/>
    </row>
    <row r="13" spans="1:6" s="192" customFormat="1" ht="12" customHeight="1" x14ac:dyDescent="0.2">
      <c r="A13" s="11" t="s">
        <v>101</v>
      </c>
      <c r="B13" s="194" t="s">
        <v>197</v>
      </c>
      <c r="C13" s="308">
        <f t="shared" si="0"/>
        <v>0</v>
      </c>
      <c r="D13" s="106"/>
      <c r="E13" s="121"/>
      <c r="F13" s="118"/>
    </row>
    <row r="14" spans="1:6" s="192" customFormat="1" ht="12" customHeight="1" x14ac:dyDescent="0.2">
      <c r="A14" s="11" t="s">
        <v>102</v>
      </c>
      <c r="B14" s="194" t="s">
        <v>999</v>
      </c>
      <c r="C14" s="305">
        <f t="shared" si="0"/>
        <v>196187360</v>
      </c>
      <c r="D14" s="106">
        <f>D15+D16</f>
        <v>196187360</v>
      </c>
      <c r="E14" s="121"/>
      <c r="F14" s="118"/>
    </row>
    <row r="15" spans="1:6" s="192" customFormat="1" ht="12" customHeight="1" x14ac:dyDescent="0.2">
      <c r="A15" s="11" t="s">
        <v>997</v>
      </c>
      <c r="B15" s="194" t="s">
        <v>1000</v>
      </c>
      <c r="C15" s="308">
        <f t="shared" si="0"/>
        <v>196187360</v>
      </c>
      <c r="D15" s="106">
        <f>183403360+12784000</f>
        <v>196187360</v>
      </c>
      <c r="E15" s="121"/>
      <c r="F15" s="118"/>
    </row>
    <row r="16" spans="1:6" s="192" customFormat="1" ht="12" customHeight="1" x14ac:dyDescent="0.2">
      <c r="A16" s="11" t="s">
        <v>998</v>
      </c>
      <c r="B16" s="194" t="s">
        <v>1001</v>
      </c>
      <c r="C16" s="308">
        <f t="shared" si="0"/>
        <v>0</v>
      </c>
      <c r="D16" s="106"/>
      <c r="E16" s="121"/>
      <c r="F16" s="118"/>
    </row>
    <row r="17" spans="1:6" s="192" customFormat="1" ht="12" customHeight="1" x14ac:dyDescent="0.2">
      <c r="A17" s="11" t="s">
        <v>103</v>
      </c>
      <c r="B17" s="194" t="s">
        <v>199</v>
      </c>
      <c r="C17" s="308">
        <f t="shared" si="0"/>
        <v>0</v>
      </c>
      <c r="D17" s="106"/>
      <c r="E17" s="121"/>
      <c r="F17" s="118"/>
    </row>
    <row r="18" spans="1:6" s="192" customFormat="1" ht="12" customHeight="1" x14ac:dyDescent="0.2">
      <c r="A18" s="11" t="s">
        <v>126</v>
      </c>
      <c r="B18" s="113" t="s">
        <v>450</v>
      </c>
      <c r="C18" s="308">
        <f t="shared" si="0"/>
        <v>0</v>
      </c>
      <c r="D18" s="267"/>
      <c r="E18" s="121"/>
      <c r="F18" s="121"/>
    </row>
    <row r="19" spans="1:6" s="192" customFormat="1" ht="12" customHeight="1" thickBot="1" x14ac:dyDescent="0.25">
      <c r="A19" s="13" t="s">
        <v>104</v>
      </c>
      <c r="B19" s="114" t="s">
        <v>451</v>
      </c>
      <c r="C19" s="309">
        <f t="shared" si="0"/>
        <v>0</v>
      </c>
      <c r="D19" s="106"/>
      <c r="E19" s="118"/>
      <c r="F19" s="118"/>
    </row>
    <row r="20" spans="1:6" s="192" customFormat="1" ht="12" customHeight="1" thickBot="1" x14ac:dyDescent="0.25">
      <c r="A20" s="17" t="s">
        <v>22</v>
      </c>
      <c r="B20" s="112" t="s">
        <v>200</v>
      </c>
      <c r="C20" s="117">
        <f t="shared" si="0"/>
        <v>210621789</v>
      </c>
      <c r="D20" s="282">
        <f>+D21+D22+D23+D24+D25</f>
        <v>123206466</v>
      </c>
      <c r="E20" s="117">
        <f>+E21+E22+E23+E24+E25</f>
        <v>0</v>
      </c>
      <c r="F20" s="117">
        <f>+F21+F22+F23+F24+F25</f>
        <v>87415323</v>
      </c>
    </row>
    <row r="21" spans="1:6" s="192" customFormat="1" ht="12" customHeight="1" x14ac:dyDescent="0.2">
      <c r="A21" s="12" t="s">
        <v>106</v>
      </c>
      <c r="B21" s="193" t="s">
        <v>201</v>
      </c>
      <c r="C21" s="188">
        <f t="shared" si="0"/>
        <v>0</v>
      </c>
      <c r="D21" s="284"/>
      <c r="E21" s="119"/>
      <c r="F21" s="119"/>
    </row>
    <row r="22" spans="1:6" s="192" customFormat="1" ht="12" customHeight="1" x14ac:dyDescent="0.2">
      <c r="A22" s="11" t="s">
        <v>107</v>
      </c>
      <c r="B22" s="194" t="s">
        <v>202</v>
      </c>
      <c r="C22" s="308">
        <f t="shared" si="0"/>
        <v>0</v>
      </c>
      <c r="D22" s="106"/>
      <c r="E22" s="118"/>
      <c r="F22" s="118"/>
    </row>
    <row r="23" spans="1:6" s="192" customFormat="1" ht="12" customHeight="1" x14ac:dyDescent="0.2">
      <c r="A23" s="11" t="s">
        <v>108</v>
      </c>
      <c r="B23" s="194" t="s">
        <v>370</v>
      </c>
      <c r="C23" s="308">
        <f t="shared" si="0"/>
        <v>0</v>
      </c>
      <c r="D23" s="106"/>
      <c r="E23" s="118"/>
      <c r="F23" s="118"/>
    </row>
    <row r="24" spans="1:6" s="192" customFormat="1" ht="12" customHeight="1" x14ac:dyDescent="0.2">
      <c r="A24" s="11" t="s">
        <v>109</v>
      </c>
      <c r="B24" s="194" t="s">
        <v>371</v>
      </c>
      <c r="C24" s="308">
        <f t="shared" si="0"/>
        <v>0</v>
      </c>
      <c r="D24" s="106"/>
      <c r="E24" s="118"/>
      <c r="F24" s="118"/>
    </row>
    <row r="25" spans="1:6" s="192" customFormat="1" ht="12" customHeight="1" x14ac:dyDescent="0.2">
      <c r="A25" s="11" t="s">
        <v>110</v>
      </c>
      <c r="B25" s="194" t="s">
        <v>203</v>
      </c>
      <c r="C25" s="1140">
        <f t="shared" si="0"/>
        <v>210621789</v>
      </c>
      <c r="D25" s="267">
        <f>113272668+4308828+557865+5067105</f>
        <v>123206466</v>
      </c>
      <c r="E25" s="121"/>
      <c r="F25" s="121">
        <f>86729523+685800</f>
        <v>87415323</v>
      </c>
    </row>
    <row r="26" spans="1:6" s="192" customFormat="1" ht="12" customHeight="1" thickBot="1" x14ac:dyDescent="0.25">
      <c r="A26" s="13" t="s">
        <v>119</v>
      </c>
      <c r="B26" s="114" t="s">
        <v>204</v>
      </c>
      <c r="C26" s="1381">
        <f t="shared" si="0"/>
        <v>76270004</v>
      </c>
      <c r="D26" s="271">
        <f>1240576+5067105</f>
        <v>6307681</v>
      </c>
      <c r="E26" s="182"/>
      <c r="F26" s="182">
        <f>69276523+685800</f>
        <v>69962323</v>
      </c>
    </row>
    <row r="27" spans="1:6" s="192" customFormat="1" ht="12" customHeight="1" thickBot="1" x14ac:dyDescent="0.25">
      <c r="A27" s="17" t="s">
        <v>23</v>
      </c>
      <c r="B27" s="18" t="s">
        <v>205</v>
      </c>
      <c r="C27" s="117">
        <f t="shared" si="0"/>
        <v>16013800</v>
      </c>
      <c r="D27" s="282">
        <f>+D28+D29+D30+D31+D32</f>
        <v>5301600</v>
      </c>
      <c r="E27" s="117">
        <f>+E28+E29+E30+E31+E32</f>
        <v>0</v>
      </c>
      <c r="F27" s="117">
        <f>+F28+F29+F30+F31+F32</f>
        <v>10712200</v>
      </c>
    </row>
    <row r="28" spans="1:6" s="192" customFormat="1" ht="12" customHeight="1" x14ac:dyDescent="0.2">
      <c r="A28" s="12" t="s">
        <v>89</v>
      </c>
      <c r="B28" s="193" t="s">
        <v>206</v>
      </c>
      <c r="C28" s="188">
        <f t="shared" si="0"/>
        <v>0</v>
      </c>
      <c r="D28" s="284"/>
      <c r="E28" s="589"/>
      <c r="F28" s="119"/>
    </row>
    <row r="29" spans="1:6" s="192" customFormat="1" ht="12" customHeight="1" x14ac:dyDescent="0.2">
      <c r="A29" s="11" t="s">
        <v>90</v>
      </c>
      <c r="B29" s="194" t="s">
        <v>207</v>
      </c>
      <c r="C29" s="308">
        <f t="shared" si="0"/>
        <v>0</v>
      </c>
      <c r="D29" s="106"/>
      <c r="E29" s="121"/>
      <c r="F29" s="118"/>
    </row>
    <row r="30" spans="1:6" s="192" customFormat="1" ht="12" customHeight="1" x14ac:dyDescent="0.2">
      <c r="A30" s="11" t="s">
        <v>91</v>
      </c>
      <c r="B30" s="194" t="s">
        <v>372</v>
      </c>
      <c r="C30" s="308">
        <f t="shared" si="0"/>
        <v>0</v>
      </c>
      <c r="D30" s="106"/>
      <c r="E30" s="121"/>
      <c r="F30" s="118"/>
    </row>
    <row r="31" spans="1:6" s="192" customFormat="1" ht="12" customHeight="1" x14ac:dyDescent="0.2">
      <c r="A31" s="11" t="s">
        <v>92</v>
      </c>
      <c r="B31" s="194" t="s">
        <v>373</v>
      </c>
      <c r="C31" s="308">
        <f t="shared" si="0"/>
        <v>0</v>
      </c>
      <c r="D31" s="106"/>
      <c r="E31" s="121"/>
      <c r="F31" s="118"/>
    </row>
    <row r="32" spans="1:6" s="192" customFormat="1" ht="12" customHeight="1" x14ac:dyDescent="0.2">
      <c r="A32" s="11" t="s">
        <v>137</v>
      </c>
      <c r="B32" s="194" t="s">
        <v>208</v>
      </c>
      <c r="C32" s="1140">
        <f t="shared" si="0"/>
        <v>16013800</v>
      </c>
      <c r="D32" s="267">
        <f>5200000+101600</f>
        <v>5301600</v>
      </c>
      <c r="E32" s="121"/>
      <c r="F32" s="121">
        <f>10712200</f>
        <v>10712200</v>
      </c>
    </row>
    <row r="33" spans="1:6" s="192" customFormat="1" ht="12" customHeight="1" thickBot="1" x14ac:dyDescent="0.25">
      <c r="A33" s="13" t="s">
        <v>138</v>
      </c>
      <c r="B33" s="195" t="s">
        <v>209</v>
      </c>
      <c r="C33" s="1381">
        <f t="shared" si="0"/>
        <v>1193800</v>
      </c>
      <c r="D33" s="271">
        <v>101600</v>
      </c>
      <c r="E33" s="182"/>
      <c r="F33" s="182">
        <f>1092200</f>
        <v>1092200</v>
      </c>
    </row>
    <row r="34" spans="1:6" s="192" customFormat="1" ht="12" customHeight="1" thickBot="1" x14ac:dyDescent="0.25">
      <c r="A34" s="17" t="s">
        <v>139</v>
      </c>
      <c r="B34" s="18" t="s">
        <v>656</v>
      </c>
      <c r="C34" s="310">
        <f t="shared" si="0"/>
        <v>0</v>
      </c>
      <c r="D34" s="285">
        <f>+D35+D39+D40+D41</f>
        <v>0</v>
      </c>
      <c r="E34" s="122">
        <f>+E35+E39+E40+E41</f>
        <v>0</v>
      </c>
      <c r="F34" s="122">
        <f>+F35+F39+F40+F41</f>
        <v>0</v>
      </c>
    </row>
    <row r="35" spans="1:6" s="192" customFormat="1" ht="12" customHeight="1" x14ac:dyDescent="0.2">
      <c r="A35" s="12" t="s">
        <v>211</v>
      </c>
      <c r="B35" s="193" t="s">
        <v>652</v>
      </c>
      <c r="C35" s="188">
        <f t="shared" si="0"/>
        <v>0</v>
      </c>
      <c r="D35" s="299">
        <f>SUM(D36:D37)</f>
        <v>0</v>
      </c>
      <c r="E35" s="299">
        <f>SUM(E36:E37)</f>
        <v>0</v>
      </c>
      <c r="F35" s="299">
        <f>SUM(F36:F37)</f>
        <v>0</v>
      </c>
    </row>
    <row r="36" spans="1:6" s="192" customFormat="1" ht="12" customHeight="1" x14ac:dyDescent="0.2">
      <c r="A36" s="11" t="s">
        <v>212</v>
      </c>
      <c r="B36" s="194" t="s">
        <v>217</v>
      </c>
      <c r="C36" s="308">
        <f t="shared" si="0"/>
        <v>0</v>
      </c>
      <c r="D36" s="106"/>
      <c r="E36" s="118"/>
      <c r="F36" s="118"/>
    </row>
    <row r="37" spans="1:6" s="192" customFormat="1" ht="12" customHeight="1" x14ac:dyDescent="0.2">
      <c r="A37" s="11" t="s">
        <v>213</v>
      </c>
      <c r="B37" s="251" t="s">
        <v>651</v>
      </c>
      <c r="C37" s="308">
        <f t="shared" si="0"/>
        <v>0</v>
      </c>
      <c r="D37" s="106"/>
      <c r="E37" s="118"/>
      <c r="F37" s="118"/>
    </row>
    <row r="38" spans="1:6" s="192" customFormat="1" ht="12" customHeight="1" x14ac:dyDescent="0.2">
      <c r="A38" s="11" t="s">
        <v>214</v>
      </c>
      <c r="B38" s="194" t="s">
        <v>538</v>
      </c>
      <c r="C38" s="308">
        <f t="shared" si="0"/>
        <v>0</v>
      </c>
      <c r="D38" s="106"/>
      <c r="E38" s="121"/>
      <c r="F38" s="118"/>
    </row>
    <row r="39" spans="1:6" s="192" customFormat="1" ht="12" customHeight="1" x14ac:dyDescent="0.2">
      <c r="A39" s="11" t="s">
        <v>539</v>
      </c>
      <c r="B39" s="194" t="s">
        <v>218</v>
      </c>
      <c r="C39" s="308">
        <f t="shared" si="0"/>
        <v>0</v>
      </c>
      <c r="D39" s="106"/>
      <c r="E39" s="118"/>
      <c r="F39" s="118"/>
    </row>
    <row r="40" spans="1:6" s="192" customFormat="1" ht="12" customHeight="1" x14ac:dyDescent="0.2">
      <c r="A40" s="11" t="s">
        <v>216</v>
      </c>
      <c r="B40" s="194" t="s">
        <v>219</v>
      </c>
      <c r="C40" s="308">
        <f t="shared" si="0"/>
        <v>0</v>
      </c>
      <c r="D40" s="106"/>
      <c r="E40" s="118"/>
      <c r="F40" s="118"/>
    </row>
    <row r="41" spans="1:6" s="192" customFormat="1" ht="12" customHeight="1" thickBot="1" x14ac:dyDescent="0.25">
      <c r="A41" s="13" t="s">
        <v>540</v>
      </c>
      <c r="B41" s="195" t="s">
        <v>220</v>
      </c>
      <c r="C41" s="309">
        <f t="shared" si="0"/>
        <v>0</v>
      </c>
      <c r="D41" s="107"/>
      <c r="E41" s="182"/>
      <c r="F41" s="120"/>
    </row>
    <row r="42" spans="1:6" s="192" customFormat="1" ht="12" customHeight="1" thickBot="1" x14ac:dyDescent="0.25">
      <c r="A42" s="17" t="s">
        <v>25</v>
      </c>
      <c r="B42" s="18" t="s">
        <v>452</v>
      </c>
      <c r="C42" s="117">
        <f t="shared" si="0"/>
        <v>196885485</v>
      </c>
      <c r="D42" s="282">
        <f>SUM(D43:D53)</f>
        <v>5405000</v>
      </c>
      <c r="E42" s="117">
        <f>SUM(E43:E53)</f>
        <v>0</v>
      </c>
      <c r="F42" s="117">
        <f>SUM(F43:F53)</f>
        <v>191480485</v>
      </c>
    </row>
    <row r="43" spans="1:6" s="192" customFormat="1" ht="12" customHeight="1" x14ac:dyDescent="0.2">
      <c r="A43" s="12" t="s">
        <v>93</v>
      </c>
      <c r="B43" s="193" t="s">
        <v>223</v>
      </c>
      <c r="C43" s="188">
        <f t="shared" si="0"/>
        <v>0</v>
      </c>
      <c r="D43" s="284"/>
      <c r="E43" s="231"/>
      <c r="F43" s="119"/>
    </row>
    <row r="44" spans="1:6" s="192" customFormat="1" ht="12" customHeight="1" x14ac:dyDescent="0.2">
      <c r="A44" s="11" t="s">
        <v>94</v>
      </c>
      <c r="B44" s="194" t="s">
        <v>224</v>
      </c>
      <c r="C44" s="305">
        <f t="shared" si="0"/>
        <v>7443905</v>
      </c>
      <c r="D44" s="267">
        <f>4303149-47244</f>
        <v>4255905</v>
      </c>
      <c r="E44" s="121"/>
      <c r="F44" s="119">
        <f>2278000+910000</f>
        <v>3188000</v>
      </c>
    </row>
    <row r="45" spans="1:6" s="192" customFormat="1" ht="12" customHeight="1" x14ac:dyDescent="0.2">
      <c r="A45" s="11" t="s">
        <v>95</v>
      </c>
      <c r="B45" s="194" t="s">
        <v>225</v>
      </c>
      <c r="C45" s="308">
        <f t="shared" si="0"/>
        <v>12700000</v>
      </c>
      <c r="D45" s="267"/>
      <c r="E45" s="121"/>
      <c r="F45" s="119">
        <f>12700000</f>
        <v>12700000</v>
      </c>
    </row>
    <row r="46" spans="1:6" s="192" customFormat="1" ht="12" customHeight="1" x14ac:dyDescent="0.2">
      <c r="A46" s="11" t="s">
        <v>141</v>
      </c>
      <c r="B46" s="194" t="s">
        <v>226</v>
      </c>
      <c r="C46" s="308">
        <f t="shared" si="0"/>
        <v>0</v>
      </c>
      <c r="D46" s="106"/>
      <c r="E46" s="121"/>
      <c r="F46" s="119"/>
    </row>
    <row r="47" spans="1:6" s="192" customFormat="1" ht="12" customHeight="1" x14ac:dyDescent="0.2">
      <c r="A47" s="11" t="s">
        <v>142</v>
      </c>
      <c r="B47" s="194" t="s">
        <v>227</v>
      </c>
      <c r="C47" s="308">
        <f t="shared" si="0"/>
        <v>173575135</v>
      </c>
      <c r="D47" s="106"/>
      <c r="E47" s="121"/>
      <c r="F47" s="119">
        <f>173575135</f>
        <v>173575135</v>
      </c>
    </row>
    <row r="48" spans="1:6" s="192" customFormat="1" ht="12" customHeight="1" x14ac:dyDescent="0.2">
      <c r="A48" s="11" t="s">
        <v>143</v>
      </c>
      <c r="B48" s="194" t="s">
        <v>228</v>
      </c>
      <c r="C48" s="305">
        <f t="shared" si="0"/>
        <v>3166445</v>
      </c>
      <c r="D48" s="106">
        <f>1161851-12756</f>
        <v>1149095</v>
      </c>
      <c r="E48" s="121"/>
      <c r="F48" s="119">
        <f>1771650+245700</f>
        <v>2017350</v>
      </c>
    </row>
    <row r="49" spans="1:6" s="192" customFormat="1" ht="12" customHeight="1" x14ac:dyDescent="0.2">
      <c r="A49" s="11" t="s">
        <v>144</v>
      </c>
      <c r="B49" s="194" t="s">
        <v>229</v>
      </c>
      <c r="C49" s="308">
        <f t="shared" si="0"/>
        <v>0</v>
      </c>
      <c r="D49" s="106"/>
      <c r="E49" s="121"/>
      <c r="F49" s="119"/>
    </row>
    <row r="50" spans="1:6" s="192" customFormat="1" ht="12" customHeight="1" x14ac:dyDescent="0.2">
      <c r="A50" s="11" t="s">
        <v>145</v>
      </c>
      <c r="B50" s="194" t="s">
        <v>544</v>
      </c>
      <c r="C50" s="308">
        <f t="shared" si="0"/>
        <v>0</v>
      </c>
      <c r="D50" s="106"/>
      <c r="E50" s="121"/>
      <c r="F50" s="121"/>
    </row>
    <row r="51" spans="1:6" s="192" customFormat="1" ht="12" customHeight="1" x14ac:dyDescent="0.2">
      <c r="A51" s="11" t="s">
        <v>221</v>
      </c>
      <c r="B51" s="194" t="s">
        <v>231</v>
      </c>
      <c r="C51" s="308">
        <f t="shared" si="0"/>
        <v>0</v>
      </c>
      <c r="D51" s="267"/>
      <c r="E51" s="121"/>
      <c r="F51" s="121"/>
    </row>
    <row r="52" spans="1:6" s="192" customFormat="1" ht="12" customHeight="1" x14ac:dyDescent="0.2">
      <c r="A52" s="13" t="s">
        <v>222</v>
      </c>
      <c r="B52" s="195" t="s">
        <v>453</v>
      </c>
      <c r="C52" s="308">
        <f t="shared" si="0"/>
        <v>0</v>
      </c>
      <c r="D52" s="271"/>
      <c r="E52" s="182"/>
      <c r="F52" s="182"/>
    </row>
    <row r="53" spans="1:6" s="192" customFormat="1" ht="12" customHeight="1" thickBot="1" x14ac:dyDescent="0.25">
      <c r="A53" s="13" t="s">
        <v>454</v>
      </c>
      <c r="B53" s="114" t="s">
        <v>232</v>
      </c>
      <c r="C53" s="309">
        <f t="shared" si="0"/>
        <v>0</v>
      </c>
      <c r="D53" s="271"/>
      <c r="E53" s="182"/>
      <c r="F53" s="182"/>
    </row>
    <row r="54" spans="1:6" s="192" customFormat="1" ht="12" customHeight="1" thickBot="1" x14ac:dyDescent="0.25">
      <c r="A54" s="17" t="s">
        <v>26</v>
      </c>
      <c r="B54" s="18" t="s">
        <v>233</v>
      </c>
      <c r="C54" s="117">
        <f t="shared" si="0"/>
        <v>0</v>
      </c>
      <c r="D54" s="282">
        <f>SUM(D55:D59)</f>
        <v>0</v>
      </c>
      <c r="E54" s="117">
        <f>SUM(E55:E59)</f>
        <v>0</v>
      </c>
      <c r="F54" s="117">
        <f>SUM(F55:F59)</f>
        <v>0</v>
      </c>
    </row>
    <row r="55" spans="1:6" s="192" customFormat="1" ht="12" customHeight="1" x14ac:dyDescent="0.2">
      <c r="A55" s="12" t="s">
        <v>96</v>
      </c>
      <c r="B55" s="193" t="s">
        <v>237</v>
      </c>
      <c r="C55" s="188">
        <f t="shared" si="0"/>
        <v>0</v>
      </c>
      <c r="D55" s="286"/>
      <c r="E55" s="231"/>
      <c r="F55" s="231"/>
    </row>
    <row r="56" spans="1:6" s="192" customFormat="1" ht="12" customHeight="1" x14ac:dyDescent="0.2">
      <c r="A56" s="11" t="s">
        <v>97</v>
      </c>
      <c r="B56" s="194" t="s">
        <v>238</v>
      </c>
      <c r="C56" s="308">
        <f t="shared" si="0"/>
        <v>0</v>
      </c>
      <c r="D56" s="267"/>
      <c r="E56" s="121"/>
      <c r="F56" s="121"/>
    </row>
    <row r="57" spans="1:6" s="192" customFormat="1" ht="12" customHeight="1" x14ac:dyDescent="0.2">
      <c r="A57" s="11" t="s">
        <v>234</v>
      </c>
      <c r="B57" s="194" t="s">
        <v>239</v>
      </c>
      <c r="C57" s="308">
        <f t="shared" si="0"/>
        <v>0</v>
      </c>
      <c r="D57" s="267"/>
      <c r="E57" s="121"/>
      <c r="F57" s="121"/>
    </row>
    <row r="58" spans="1:6" s="192" customFormat="1" ht="12" customHeight="1" x14ac:dyDescent="0.2">
      <c r="A58" s="11" t="s">
        <v>235</v>
      </c>
      <c r="B58" s="194" t="s">
        <v>240</v>
      </c>
      <c r="C58" s="308">
        <f t="shared" si="0"/>
        <v>0</v>
      </c>
      <c r="D58" s="267"/>
      <c r="E58" s="121"/>
      <c r="F58" s="121"/>
    </row>
    <row r="59" spans="1:6" s="192" customFormat="1" ht="12" customHeight="1" thickBot="1" x14ac:dyDescent="0.25">
      <c r="A59" s="13" t="s">
        <v>236</v>
      </c>
      <c r="B59" s="114" t="s">
        <v>241</v>
      </c>
      <c r="C59" s="309">
        <f t="shared" si="0"/>
        <v>0</v>
      </c>
      <c r="D59" s="271"/>
      <c r="E59" s="182"/>
      <c r="F59" s="182"/>
    </row>
    <row r="60" spans="1:6" s="192" customFormat="1" ht="12" customHeight="1" thickBot="1" x14ac:dyDescent="0.25">
      <c r="A60" s="17" t="s">
        <v>146</v>
      </c>
      <c r="B60" s="18" t="s">
        <v>242</v>
      </c>
      <c r="C60" s="117">
        <f t="shared" si="0"/>
        <v>1109000</v>
      </c>
      <c r="D60" s="282">
        <f>SUM(D61:D63)</f>
        <v>1109000</v>
      </c>
      <c r="E60" s="117">
        <f>SUM(E61:E63)</f>
        <v>0</v>
      </c>
      <c r="F60" s="117">
        <f>SUM(F61:F63)</f>
        <v>0</v>
      </c>
    </row>
    <row r="61" spans="1:6" s="192" customFormat="1" ht="12" customHeight="1" x14ac:dyDescent="0.2">
      <c r="A61" s="12" t="s">
        <v>98</v>
      </c>
      <c r="B61" s="193" t="s">
        <v>243</v>
      </c>
      <c r="C61" s="188">
        <f t="shared" si="0"/>
        <v>0</v>
      </c>
      <c r="D61" s="284"/>
      <c r="E61" s="119"/>
      <c r="F61" s="119"/>
    </row>
    <row r="62" spans="1:6" s="192" customFormat="1" ht="12" customHeight="1" x14ac:dyDescent="0.2">
      <c r="A62" s="11" t="s">
        <v>99</v>
      </c>
      <c r="B62" s="194" t="s">
        <v>374</v>
      </c>
      <c r="C62" s="308">
        <f t="shared" si="0"/>
        <v>400000</v>
      </c>
      <c r="D62" s="267">
        <v>400000</v>
      </c>
      <c r="E62" s="121"/>
      <c r="F62" s="121"/>
    </row>
    <row r="63" spans="1:6" s="192" customFormat="1" ht="12" customHeight="1" x14ac:dyDescent="0.2">
      <c r="A63" s="11" t="s">
        <v>246</v>
      </c>
      <c r="B63" s="194" t="s">
        <v>244</v>
      </c>
      <c r="C63" s="305">
        <f t="shared" si="0"/>
        <v>709000</v>
      </c>
      <c r="D63" s="267">
        <f>675000+34000</f>
        <v>709000</v>
      </c>
      <c r="E63" s="121"/>
      <c r="F63" s="121"/>
    </row>
    <row r="64" spans="1:6" s="192" customFormat="1" ht="12" customHeight="1" thickBot="1" x14ac:dyDescent="0.25">
      <c r="A64" s="13" t="s">
        <v>247</v>
      </c>
      <c r="B64" s="114" t="s">
        <v>245</v>
      </c>
      <c r="C64" s="309">
        <f t="shared" si="0"/>
        <v>0</v>
      </c>
      <c r="D64" s="107"/>
      <c r="E64" s="120"/>
      <c r="F64" s="120"/>
    </row>
    <row r="65" spans="1:6" s="192" customFormat="1" ht="12" customHeight="1" thickBot="1" x14ac:dyDescent="0.25">
      <c r="A65" s="17" t="s">
        <v>28</v>
      </c>
      <c r="B65" s="112" t="s">
        <v>248</v>
      </c>
      <c r="C65" s="117">
        <f t="shared" si="0"/>
        <v>6000000</v>
      </c>
      <c r="D65" s="282">
        <f>SUM(D66:D68)</f>
        <v>6000000</v>
      </c>
      <c r="E65" s="117">
        <f>SUM(E66:E68)</f>
        <v>0</v>
      </c>
      <c r="F65" s="117">
        <f>SUM(F66:F68)</f>
        <v>0</v>
      </c>
    </row>
    <row r="66" spans="1:6" s="192" customFormat="1" ht="12" customHeight="1" x14ac:dyDescent="0.2">
      <c r="A66" s="12" t="s">
        <v>147</v>
      </c>
      <c r="B66" s="193" t="s">
        <v>250</v>
      </c>
      <c r="C66" s="188">
        <f t="shared" si="0"/>
        <v>0</v>
      </c>
      <c r="D66" s="267"/>
      <c r="E66" s="121"/>
      <c r="F66" s="121"/>
    </row>
    <row r="67" spans="1:6" s="192" customFormat="1" ht="12" customHeight="1" x14ac:dyDescent="0.2">
      <c r="A67" s="11" t="s">
        <v>148</v>
      </c>
      <c r="B67" s="194" t="s">
        <v>375</v>
      </c>
      <c r="C67" s="308">
        <f t="shared" si="0"/>
        <v>0</v>
      </c>
      <c r="D67" s="267"/>
      <c r="E67" s="121"/>
      <c r="F67" s="121"/>
    </row>
    <row r="68" spans="1:6" s="192" customFormat="1" ht="12" customHeight="1" x14ac:dyDescent="0.2">
      <c r="A68" s="11" t="s">
        <v>174</v>
      </c>
      <c r="B68" s="194" t="s">
        <v>251</v>
      </c>
      <c r="C68" s="305">
        <f t="shared" si="0"/>
        <v>6000000</v>
      </c>
      <c r="D68" s="267">
        <f>6000000</f>
        <v>6000000</v>
      </c>
      <c r="E68" s="121"/>
      <c r="F68" s="121"/>
    </row>
    <row r="69" spans="1:6" s="192" customFormat="1" ht="12" customHeight="1" thickBot="1" x14ac:dyDescent="0.25">
      <c r="A69" s="13" t="s">
        <v>249</v>
      </c>
      <c r="B69" s="114" t="s">
        <v>252</v>
      </c>
      <c r="C69" s="1186">
        <f t="shared" si="0"/>
        <v>6000000</v>
      </c>
      <c r="D69" s="267">
        <f>6000000</f>
        <v>6000000</v>
      </c>
      <c r="E69" s="121"/>
      <c r="F69" s="121"/>
    </row>
    <row r="70" spans="1:6" s="192" customFormat="1" ht="12" customHeight="1" thickBot="1" x14ac:dyDescent="0.25">
      <c r="A70" s="252" t="s">
        <v>455</v>
      </c>
      <c r="B70" s="18" t="s">
        <v>253</v>
      </c>
      <c r="C70" s="117">
        <f t="shared" si="0"/>
        <v>626817434</v>
      </c>
      <c r="D70" s="285">
        <f>+D11+D20+D27+D34+D42+D54+D60+D65</f>
        <v>337209426</v>
      </c>
      <c r="E70" s="122">
        <f>+E11+E20+E27+E34+E42+E54+E60+E65</f>
        <v>0</v>
      </c>
      <c r="F70" s="122">
        <f>+F11+F20+F27+F34+F42+F54+F60+F65</f>
        <v>289608008</v>
      </c>
    </row>
    <row r="71" spans="1:6" s="192" customFormat="1" ht="12" customHeight="1" thickBot="1" x14ac:dyDescent="0.25">
      <c r="A71" s="253" t="s">
        <v>254</v>
      </c>
      <c r="B71" s="112" t="s">
        <v>255</v>
      </c>
      <c r="C71" s="117">
        <f t="shared" si="0"/>
        <v>0</v>
      </c>
      <c r="D71" s="282">
        <f>SUM(D72:D74)</f>
        <v>0</v>
      </c>
      <c r="E71" s="117">
        <f>SUM(E72:E74)</f>
        <v>0</v>
      </c>
      <c r="F71" s="268">
        <f>SUM(F72:F74)</f>
        <v>0</v>
      </c>
    </row>
    <row r="72" spans="1:6" s="192" customFormat="1" ht="12" customHeight="1" x14ac:dyDescent="0.2">
      <c r="A72" s="12" t="s">
        <v>286</v>
      </c>
      <c r="B72" s="193" t="s">
        <v>256</v>
      </c>
      <c r="C72" s="188">
        <f t="shared" si="0"/>
        <v>0</v>
      </c>
      <c r="D72" s="267"/>
      <c r="E72" s="121"/>
      <c r="F72" s="121">
        <v>0</v>
      </c>
    </row>
    <row r="73" spans="1:6" s="192" customFormat="1" ht="12" customHeight="1" x14ac:dyDescent="0.2">
      <c r="A73" s="11" t="s">
        <v>295</v>
      </c>
      <c r="B73" s="194" t="s">
        <v>257</v>
      </c>
      <c r="C73" s="308">
        <f t="shared" si="0"/>
        <v>0</v>
      </c>
      <c r="D73" s="267"/>
      <c r="E73" s="121"/>
      <c r="F73" s="121"/>
    </row>
    <row r="74" spans="1:6" s="192" customFormat="1" ht="12" customHeight="1" thickBot="1" x14ac:dyDescent="0.25">
      <c r="A74" s="13" t="s">
        <v>296</v>
      </c>
      <c r="B74" s="254" t="s">
        <v>456</v>
      </c>
      <c r="C74" s="309">
        <f t="shared" si="0"/>
        <v>0</v>
      </c>
      <c r="D74" s="267"/>
      <c r="E74" s="121"/>
      <c r="F74" s="121"/>
    </row>
    <row r="75" spans="1:6" s="192" customFormat="1" ht="12" customHeight="1" thickBot="1" x14ac:dyDescent="0.25">
      <c r="A75" s="253" t="s">
        <v>259</v>
      </c>
      <c r="B75" s="112" t="s">
        <v>260</v>
      </c>
      <c r="C75" s="310">
        <f t="shared" si="0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</row>
    <row r="76" spans="1:6" s="192" customFormat="1" ht="12" customHeight="1" x14ac:dyDescent="0.2">
      <c r="A76" s="12" t="s">
        <v>127</v>
      </c>
      <c r="B76" s="193" t="s">
        <v>261</v>
      </c>
      <c r="C76" s="188">
        <f t="shared" si="0"/>
        <v>0</v>
      </c>
      <c r="D76" s="267"/>
      <c r="E76" s="121"/>
      <c r="F76" s="121"/>
    </row>
    <row r="77" spans="1:6" s="192" customFormat="1" ht="12" customHeight="1" x14ac:dyDescent="0.2">
      <c r="A77" s="11" t="s">
        <v>128</v>
      </c>
      <c r="B77" s="194" t="s">
        <v>262</v>
      </c>
      <c r="C77" s="308">
        <f t="shared" ref="C77:C95" si="1">SUM(D77:F77)</f>
        <v>0</v>
      </c>
      <c r="D77" s="267"/>
      <c r="E77" s="121"/>
      <c r="F77" s="121"/>
    </row>
    <row r="78" spans="1:6" s="192" customFormat="1" ht="12" customHeight="1" x14ac:dyDescent="0.2">
      <c r="A78" s="11" t="s">
        <v>287</v>
      </c>
      <c r="B78" s="194" t="s">
        <v>263</v>
      </c>
      <c r="C78" s="308">
        <f t="shared" si="1"/>
        <v>0</v>
      </c>
      <c r="D78" s="267"/>
      <c r="E78" s="121"/>
      <c r="F78" s="121"/>
    </row>
    <row r="79" spans="1:6" s="192" customFormat="1" ht="12" customHeight="1" thickBot="1" x14ac:dyDescent="0.25">
      <c r="A79" s="13" t="s">
        <v>288</v>
      </c>
      <c r="B79" s="114" t="s">
        <v>264</v>
      </c>
      <c r="C79" s="309">
        <f t="shared" si="1"/>
        <v>0</v>
      </c>
      <c r="D79" s="267"/>
      <c r="E79" s="121"/>
      <c r="F79" s="121"/>
    </row>
    <row r="80" spans="1:6" s="192" customFormat="1" ht="12" customHeight="1" thickBot="1" x14ac:dyDescent="0.25">
      <c r="A80" s="253" t="s">
        <v>265</v>
      </c>
      <c r="B80" s="112" t="s">
        <v>266</v>
      </c>
      <c r="C80" s="117">
        <f t="shared" si="1"/>
        <v>12403772</v>
      </c>
      <c r="D80" s="282">
        <f>SUM(D81:D82)</f>
        <v>8179828</v>
      </c>
      <c r="E80" s="117">
        <f>SUM(E81:E82)</f>
        <v>0</v>
      </c>
      <c r="F80" s="117">
        <f>SUM(F81:F82)</f>
        <v>4223944</v>
      </c>
    </row>
    <row r="81" spans="1:6" s="192" customFormat="1" ht="12" customHeight="1" x14ac:dyDescent="0.2">
      <c r="A81" s="12" t="s">
        <v>289</v>
      </c>
      <c r="B81" s="193" t="s">
        <v>267</v>
      </c>
      <c r="C81" s="188">
        <f t="shared" si="1"/>
        <v>12403772</v>
      </c>
      <c r="D81" s="267">
        <v>8179828</v>
      </c>
      <c r="E81" s="121"/>
      <c r="F81" s="121">
        <f>4223944</f>
        <v>4223944</v>
      </c>
    </row>
    <row r="82" spans="1:6" s="192" customFormat="1" ht="12" customHeight="1" thickBot="1" x14ac:dyDescent="0.25">
      <c r="A82" s="13" t="s">
        <v>290</v>
      </c>
      <c r="B82" s="114" t="s">
        <v>268</v>
      </c>
      <c r="C82" s="309">
        <f t="shared" si="1"/>
        <v>0</v>
      </c>
      <c r="D82" s="267"/>
      <c r="E82" s="121"/>
      <c r="F82" s="121"/>
    </row>
    <row r="83" spans="1:6" s="192" customFormat="1" ht="12" customHeight="1" thickBot="1" x14ac:dyDescent="0.25">
      <c r="A83" s="253" t="s">
        <v>269</v>
      </c>
      <c r="B83" s="112" t="s">
        <v>270</v>
      </c>
      <c r="C83" s="117">
        <f t="shared" si="1"/>
        <v>0</v>
      </c>
      <c r="D83" s="282">
        <f>SUM(D84:D86)</f>
        <v>0</v>
      </c>
      <c r="E83" s="117">
        <f>SUM(E84:E86)</f>
        <v>0</v>
      </c>
      <c r="F83" s="117">
        <f>SUM(F84:F86)</f>
        <v>0</v>
      </c>
    </row>
    <row r="84" spans="1:6" s="192" customFormat="1" ht="12" customHeight="1" x14ac:dyDescent="0.2">
      <c r="A84" s="12" t="s">
        <v>291</v>
      </c>
      <c r="B84" s="193" t="s">
        <v>271</v>
      </c>
      <c r="C84" s="188">
        <f t="shared" si="1"/>
        <v>0</v>
      </c>
      <c r="D84" s="267"/>
      <c r="E84" s="121"/>
      <c r="F84" s="121"/>
    </row>
    <row r="85" spans="1:6" s="192" customFormat="1" ht="12" customHeight="1" x14ac:dyDescent="0.2">
      <c r="A85" s="11" t="s">
        <v>292</v>
      </c>
      <c r="B85" s="194" t="s">
        <v>272</v>
      </c>
      <c r="C85" s="308">
        <f t="shared" si="1"/>
        <v>0</v>
      </c>
      <c r="D85" s="267"/>
      <c r="E85" s="121"/>
      <c r="F85" s="121"/>
    </row>
    <row r="86" spans="1:6" s="192" customFormat="1" ht="12" customHeight="1" thickBot="1" x14ac:dyDescent="0.25">
      <c r="A86" s="13" t="s">
        <v>293</v>
      </c>
      <c r="B86" s="114" t="s">
        <v>273</v>
      </c>
      <c r="C86" s="309">
        <f t="shared" si="1"/>
        <v>0</v>
      </c>
      <c r="D86" s="267"/>
      <c r="E86" s="121"/>
      <c r="F86" s="121"/>
    </row>
    <row r="87" spans="1:6" s="192" customFormat="1" ht="12" customHeight="1" thickBot="1" x14ac:dyDescent="0.25">
      <c r="A87" s="253" t="s">
        <v>274</v>
      </c>
      <c r="B87" s="112" t="s">
        <v>294</v>
      </c>
      <c r="C87" s="117">
        <f t="shared" si="1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</row>
    <row r="88" spans="1:6" s="192" customFormat="1" ht="12" customHeight="1" x14ac:dyDescent="0.2">
      <c r="A88" s="197" t="s">
        <v>275</v>
      </c>
      <c r="B88" s="193" t="s">
        <v>276</v>
      </c>
      <c r="C88" s="188">
        <f t="shared" si="1"/>
        <v>0</v>
      </c>
      <c r="D88" s="267"/>
      <c r="E88" s="121"/>
      <c r="F88" s="121"/>
    </row>
    <row r="89" spans="1:6" s="192" customFormat="1" ht="12" customHeight="1" x14ac:dyDescent="0.2">
      <c r="A89" s="198" t="s">
        <v>277</v>
      </c>
      <c r="B89" s="194" t="s">
        <v>278</v>
      </c>
      <c r="C89" s="308">
        <f t="shared" si="1"/>
        <v>0</v>
      </c>
      <c r="D89" s="267"/>
      <c r="E89" s="121"/>
      <c r="F89" s="121"/>
    </row>
    <row r="90" spans="1:6" s="192" customFormat="1" ht="12" customHeight="1" x14ac:dyDescent="0.2">
      <c r="A90" s="198" t="s">
        <v>279</v>
      </c>
      <c r="B90" s="194" t="s">
        <v>280</v>
      </c>
      <c r="C90" s="308">
        <f t="shared" si="1"/>
        <v>0</v>
      </c>
      <c r="D90" s="267"/>
      <c r="E90" s="121"/>
      <c r="F90" s="121"/>
    </row>
    <row r="91" spans="1:6" s="192" customFormat="1" ht="12" customHeight="1" thickBot="1" x14ac:dyDescent="0.25">
      <c r="A91" s="199" t="s">
        <v>281</v>
      </c>
      <c r="B91" s="114" t="s">
        <v>282</v>
      </c>
      <c r="C91" s="309">
        <f t="shared" si="1"/>
        <v>0</v>
      </c>
      <c r="D91" s="267"/>
      <c r="E91" s="121"/>
      <c r="F91" s="121"/>
    </row>
    <row r="92" spans="1:6" s="192" customFormat="1" ht="12" customHeight="1" thickBot="1" x14ac:dyDescent="0.25">
      <c r="A92" s="253" t="s">
        <v>283</v>
      </c>
      <c r="B92" s="112" t="s">
        <v>457</v>
      </c>
      <c r="C92" s="117">
        <f t="shared" si="1"/>
        <v>0</v>
      </c>
      <c r="D92" s="287"/>
      <c r="E92" s="232"/>
      <c r="F92" s="232"/>
    </row>
    <row r="93" spans="1:6" s="192" customFormat="1" ht="13.5" customHeight="1" thickBot="1" x14ac:dyDescent="0.25">
      <c r="A93" s="253" t="s">
        <v>285</v>
      </c>
      <c r="B93" s="112" t="s">
        <v>284</v>
      </c>
      <c r="C93" s="117">
        <f t="shared" si="1"/>
        <v>0</v>
      </c>
      <c r="D93" s="287"/>
      <c r="E93" s="232"/>
      <c r="F93" s="232"/>
    </row>
    <row r="94" spans="1:6" s="192" customFormat="1" ht="15.75" customHeight="1" thickBot="1" x14ac:dyDescent="0.25">
      <c r="A94" s="253" t="s">
        <v>297</v>
      </c>
      <c r="B94" s="200" t="s">
        <v>458</v>
      </c>
      <c r="C94" s="117">
        <f t="shared" si="1"/>
        <v>12403772</v>
      </c>
      <c r="D94" s="285">
        <f>+D71+D75+D80+D83+D87+D93+D92</f>
        <v>8179828</v>
      </c>
      <c r="E94" s="122">
        <f>+E71+E75+E80+E83+E87+E93+E92</f>
        <v>0</v>
      </c>
      <c r="F94" s="122">
        <f>+F71+F75+F80+F83+F87+F93+F92</f>
        <v>4223944</v>
      </c>
    </row>
    <row r="95" spans="1:6" s="192" customFormat="1" ht="16.5" customHeight="1" thickBot="1" x14ac:dyDescent="0.25">
      <c r="A95" s="255" t="s">
        <v>459</v>
      </c>
      <c r="B95" s="201" t="s">
        <v>460</v>
      </c>
      <c r="C95" s="117">
        <f t="shared" si="1"/>
        <v>639221206</v>
      </c>
      <c r="D95" s="285">
        <f>+D70+D94</f>
        <v>345389254</v>
      </c>
      <c r="E95" s="122">
        <f>+E70+E94</f>
        <v>0</v>
      </c>
      <c r="F95" s="122">
        <f>+F70+F94</f>
        <v>293831952</v>
      </c>
    </row>
    <row r="96" spans="1:6" s="192" customFormat="1" ht="83.25" customHeight="1" x14ac:dyDescent="0.2">
      <c r="A96" s="2"/>
      <c r="B96" s="3"/>
      <c r="C96" s="123"/>
    </row>
    <row r="97" spans="1:6" ht="16.5" customHeight="1" x14ac:dyDescent="0.25">
      <c r="A97" s="1445" t="s">
        <v>49</v>
      </c>
      <c r="B97" s="1445"/>
      <c r="C97" s="1445"/>
    </row>
    <row r="98" spans="1:6" s="202" customFormat="1" ht="16.5" customHeight="1" thickBot="1" x14ac:dyDescent="0.3">
      <c r="A98" s="1446" t="s">
        <v>130</v>
      </c>
      <c r="B98" s="1446"/>
      <c r="C98" s="59" t="s">
        <v>555</v>
      </c>
    </row>
    <row r="99" spans="1:6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6" s="191" customFormat="1" ht="12" customHeight="1" thickBot="1" x14ac:dyDescent="0.25">
      <c r="A100" s="25" t="s">
        <v>447</v>
      </c>
      <c r="B100" s="26" t="s">
        <v>448</v>
      </c>
      <c r="C100" s="27" t="s">
        <v>449</v>
      </c>
    </row>
    <row r="101" spans="1:6" ht="12" customHeight="1" thickBot="1" x14ac:dyDescent="0.3">
      <c r="A101" s="19" t="s">
        <v>21</v>
      </c>
      <c r="B101" s="23" t="s">
        <v>498</v>
      </c>
      <c r="C101" s="117">
        <f t="shared" ref="C101:C162" si="2">SUM(D101:F101)</f>
        <v>811281506</v>
      </c>
      <c r="D101" s="290">
        <f>+D102+D103+D104+D105+D106+D119</f>
        <v>96555362</v>
      </c>
      <c r="E101" s="116">
        <f>+E102+E103+E104+E105+E106+E119</f>
        <v>0</v>
      </c>
      <c r="F101" s="117">
        <f>F102+F103+F104+F105+F106+F119</f>
        <v>714726144</v>
      </c>
    </row>
    <row r="102" spans="1:6" ht="12" customHeight="1" x14ac:dyDescent="0.25">
      <c r="A102" s="14" t="s">
        <v>100</v>
      </c>
      <c r="B102" s="7" t="s">
        <v>51</v>
      </c>
      <c r="C102" s="1382">
        <f t="shared" si="2"/>
        <v>454018302</v>
      </c>
      <c r="D102" s="300">
        <f>8164238+706940-2106730+4001885+483000+1757506</f>
        <v>13006839</v>
      </c>
      <c r="E102" s="275"/>
      <c r="F102" s="275">
        <f>422879901+18131562</f>
        <v>441011463</v>
      </c>
    </row>
    <row r="103" spans="1:6" ht="12" customHeight="1" x14ac:dyDescent="0.25">
      <c r="A103" s="11" t="s">
        <v>101</v>
      </c>
      <c r="B103" s="5" t="s">
        <v>149</v>
      </c>
      <c r="C103" s="1140">
        <f t="shared" si="2"/>
        <v>85510756</v>
      </c>
      <c r="D103" s="267">
        <f>2011190+175015+561095+74865-736971</f>
        <v>2085194</v>
      </c>
      <c r="E103" s="121"/>
      <c r="F103" s="121">
        <f>80252538+3173024</f>
        <v>83425562</v>
      </c>
    </row>
    <row r="104" spans="1:6" ht="12" customHeight="1" x14ac:dyDescent="0.25">
      <c r="A104" s="11" t="s">
        <v>102</v>
      </c>
      <c r="B104" s="5" t="s">
        <v>125</v>
      </c>
      <c r="C104" s="1140">
        <f t="shared" si="2"/>
        <v>261145289</v>
      </c>
      <c r="D104" s="271">
        <f>62807314+665937+2106730+488+1197131+32000+4046570</f>
        <v>70856170</v>
      </c>
      <c r="E104" s="182"/>
      <c r="F104" s="121">
        <f>189361869+927250</f>
        <v>190289119</v>
      </c>
    </row>
    <row r="105" spans="1:6" ht="12" customHeight="1" x14ac:dyDescent="0.25">
      <c r="A105" s="11" t="s">
        <v>103</v>
      </c>
      <c r="B105" s="5" t="s">
        <v>150</v>
      </c>
      <c r="C105" s="308">
        <f t="shared" si="2"/>
        <v>0</v>
      </c>
      <c r="D105" s="271"/>
      <c r="E105" s="182"/>
      <c r="F105" s="121"/>
    </row>
    <row r="106" spans="1:6" ht="12" customHeight="1" x14ac:dyDescent="0.25">
      <c r="A106" s="11" t="s">
        <v>114</v>
      </c>
      <c r="B106" s="4" t="s">
        <v>151</v>
      </c>
      <c r="C106" s="308">
        <f t="shared" si="2"/>
        <v>10607159</v>
      </c>
      <c r="D106" s="271">
        <f>SUM(D107:D118)</f>
        <v>10607159</v>
      </c>
      <c r="E106" s="271">
        <f>SUM(E107:E118)</f>
        <v>0</v>
      </c>
      <c r="F106" s="271">
        <f>SUM(F107:F118)</f>
        <v>0</v>
      </c>
    </row>
    <row r="107" spans="1:6" ht="12" customHeight="1" x14ac:dyDescent="0.25">
      <c r="A107" s="11" t="s">
        <v>104</v>
      </c>
      <c r="B107" s="5" t="s">
        <v>461</v>
      </c>
      <c r="C107" s="308">
        <f t="shared" si="2"/>
        <v>0</v>
      </c>
      <c r="D107" s="271"/>
      <c r="E107" s="182"/>
      <c r="F107" s="182"/>
    </row>
    <row r="108" spans="1:6" ht="12" customHeight="1" x14ac:dyDescent="0.25">
      <c r="A108" s="11" t="s">
        <v>105</v>
      </c>
      <c r="B108" s="63" t="s">
        <v>462</v>
      </c>
      <c r="C108" s="308">
        <f t="shared" si="2"/>
        <v>0</v>
      </c>
      <c r="D108" s="271"/>
      <c r="E108" s="182"/>
      <c r="F108" s="182"/>
    </row>
    <row r="109" spans="1:6" ht="12" customHeight="1" x14ac:dyDescent="0.25">
      <c r="A109" s="11" t="s">
        <v>115</v>
      </c>
      <c r="B109" s="63" t="s">
        <v>463</v>
      </c>
      <c r="C109" s="308">
        <f t="shared" si="2"/>
        <v>0</v>
      </c>
      <c r="D109" s="271"/>
      <c r="E109" s="182"/>
      <c r="F109" s="182"/>
    </row>
    <row r="110" spans="1:6" ht="12" customHeight="1" x14ac:dyDescent="0.25">
      <c r="A110" s="11" t="s">
        <v>116</v>
      </c>
      <c r="B110" s="61" t="s">
        <v>300</v>
      </c>
      <c r="C110" s="308">
        <f t="shared" si="2"/>
        <v>0</v>
      </c>
      <c r="D110" s="271"/>
      <c r="E110" s="182"/>
      <c r="F110" s="182"/>
    </row>
    <row r="111" spans="1:6" ht="12" customHeight="1" x14ac:dyDescent="0.25">
      <c r="A111" s="11" t="s">
        <v>117</v>
      </c>
      <c r="B111" s="62" t="s">
        <v>301</v>
      </c>
      <c r="C111" s="308">
        <f t="shared" si="2"/>
        <v>0</v>
      </c>
      <c r="D111" s="271"/>
      <c r="E111" s="182"/>
      <c r="F111" s="182"/>
    </row>
    <row r="112" spans="1:6" ht="12" customHeight="1" x14ac:dyDescent="0.25">
      <c r="A112" s="11" t="s">
        <v>118</v>
      </c>
      <c r="B112" s="62" t="s">
        <v>302</v>
      </c>
      <c r="C112" s="308">
        <f t="shared" si="2"/>
        <v>0</v>
      </c>
      <c r="D112" s="271"/>
      <c r="E112" s="182"/>
      <c r="F112" s="182"/>
    </row>
    <row r="113" spans="1:6" ht="12" customHeight="1" x14ac:dyDescent="0.25">
      <c r="A113" s="11" t="s">
        <v>120</v>
      </c>
      <c r="B113" s="61" t="s">
        <v>303</v>
      </c>
      <c r="C113" s="308">
        <f t="shared" si="2"/>
        <v>0</v>
      </c>
      <c r="D113" s="271"/>
      <c r="E113" s="182"/>
      <c r="F113" s="182"/>
    </row>
    <row r="114" spans="1:6" ht="12" customHeight="1" x14ac:dyDescent="0.25">
      <c r="A114" s="11" t="s">
        <v>152</v>
      </c>
      <c r="B114" s="61" t="s">
        <v>304</v>
      </c>
      <c r="C114" s="308">
        <f t="shared" si="2"/>
        <v>0</v>
      </c>
      <c r="D114" s="271"/>
      <c r="E114" s="182"/>
      <c r="F114" s="182"/>
    </row>
    <row r="115" spans="1:6" ht="12" customHeight="1" x14ac:dyDescent="0.25">
      <c r="A115" s="11" t="s">
        <v>298</v>
      </c>
      <c r="B115" s="62" t="s">
        <v>305</v>
      </c>
      <c r="C115" s="308">
        <f t="shared" si="2"/>
        <v>0</v>
      </c>
      <c r="D115" s="271"/>
      <c r="E115" s="182"/>
      <c r="F115" s="182"/>
    </row>
    <row r="116" spans="1:6" ht="12" customHeight="1" x14ac:dyDescent="0.25">
      <c r="A116" s="10" t="s">
        <v>299</v>
      </c>
      <c r="B116" s="63" t="s">
        <v>306</v>
      </c>
      <c r="C116" s="308">
        <f t="shared" si="2"/>
        <v>0</v>
      </c>
      <c r="D116" s="271"/>
      <c r="E116" s="182"/>
      <c r="F116" s="182"/>
    </row>
    <row r="117" spans="1:6" ht="12" customHeight="1" x14ac:dyDescent="0.25">
      <c r="A117" s="11" t="s">
        <v>464</v>
      </c>
      <c r="B117" s="63" t="s">
        <v>307</v>
      </c>
      <c r="C117" s="308">
        <f t="shared" si="2"/>
        <v>0</v>
      </c>
      <c r="D117" s="271"/>
      <c r="E117" s="182"/>
      <c r="F117" s="182"/>
    </row>
    <row r="118" spans="1:6" ht="12" customHeight="1" x14ac:dyDescent="0.25">
      <c r="A118" s="13" t="s">
        <v>465</v>
      </c>
      <c r="B118" s="63" t="s">
        <v>308</v>
      </c>
      <c r="C118" s="305">
        <f t="shared" si="2"/>
        <v>10607159</v>
      </c>
      <c r="D118" s="267">
        <f>8000000+1620969+986190</f>
        <v>10607159</v>
      </c>
      <c r="E118" s="121"/>
      <c r="F118" s="279"/>
    </row>
    <row r="119" spans="1:6" ht="12" customHeight="1" x14ac:dyDescent="0.25">
      <c r="A119" s="11" t="s">
        <v>466</v>
      </c>
      <c r="B119" s="5" t="s">
        <v>52</v>
      </c>
      <c r="C119" s="308">
        <f t="shared" si="2"/>
        <v>0</v>
      </c>
      <c r="D119" s="106"/>
      <c r="E119" s="121"/>
      <c r="F119" s="118"/>
    </row>
    <row r="120" spans="1:6" ht="12" customHeight="1" x14ac:dyDescent="0.25">
      <c r="A120" s="11" t="s">
        <v>467</v>
      </c>
      <c r="B120" s="5" t="s">
        <v>468</v>
      </c>
      <c r="C120" s="308">
        <f t="shared" si="2"/>
        <v>0</v>
      </c>
      <c r="D120" s="107"/>
      <c r="E120" s="182"/>
      <c r="F120" s="118"/>
    </row>
    <row r="121" spans="1:6" ht="12" customHeight="1" thickBot="1" x14ac:dyDescent="0.3">
      <c r="A121" s="15" t="s">
        <v>469</v>
      </c>
      <c r="B121" s="256" t="s">
        <v>470</v>
      </c>
      <c r="C121" s="308">
        <f t="shared" si="2"/>
        <v>0</v>
      </c>
      <c r="D121" s="291"/>
      <c r="E121" s="280"/>
      <c r="F121" s="124"/>
    </row>
    <row r="122" spans="1:6" ht="12" customHeight="1" thickBot="1" x14ac:dyDescent="0.3">
      <c r="A122" s="257" t="s">
        <v>22</v>
      </c>
      <c r="B122" s="258" t="s">
        <v>309</v>
      </c>
      <c r="C122" s="117">
        <f t="shared" si="2"/>
        <v>34275491</v>
      </c>
      <c r="D122" s="282">
        <f>+D123+D125+D127</f>
        <v>16886808</v>
      </c>
      <c r="E122" s="117">
        <f>+E123+E125+E127</f>
        <v>0</v>
      </c>
      <c r="F122" s="259">
        <f>+F123+F125+F127</f>
        <v>17388683</v>
      </c>
    </row>
    <row r="123" spans="1:6" ht="12" customHeight="1" x14ac:dyDescent="0.25">
      <c r="A123" s="12" t="s">
        <v>106</v>
      </c>
      <c r="B123" s="5" t="s">
        <v>173</v>
      </c>
      <c r="C123" s="1382">
        <f t="shared" si="2"/>
        <v>34275491</v>
      </c>
      <c r="D123" s="286">
        <f>5410804+580+6000000+174312-488+5200000+101600</f>
        <v>16886808</v>
      </c>
      <c r="E123" s="231"/>
      <c r="F123" s="231">
        <f>17388683</f>
        <v>17388683</v>
      </c>
    </row>
    <row r="124" spans="1:6" ht="12" customHeight="1" x14ac:dyDescent="0.25">
      <c r="A124" s="12" t="s">
        <v>107</v>
      </c>
      <c r="B124" s="9" t="s">
        <v>313</v>
      </c>
      <c r="C124" s="1140">
        <f t="shared" si="2"/>
        <v>12210696</v>
      </c>
      <c r="D124" s="286">
        <f>5016316+580+6000000+101600</f>
        <v>11118496</v>
      </c>
      <c r="E124" s="231"/>
      <c r="F124" s="231">
        <f>1092200</f>
        <v>1092200</v>
      </c>
    </row>
    <row r="125" spans="1:6" ht="12" customHeight="1" x14ac:dyDescent="0.25">
      <c r="A125" s="12" t="s">
        <v>108</v>
      </c>
      <c r="B125" s="9" t="s">
        <v>153</v>
      </c>
      <c r="C125" s="308">
        <f t="shared" si="2"/>
        <v>0</v>
      </c>
      <c r="D125" s="106"/>
      <c r="E125" s="121"/>
      <c r="F125" s="121"/>
    </row>
    <row r="126" spans="1:6" ht="12" customHeight="1" x14ac:dyDescent="0.25">
      <c r="A126" s="12" t="s">
        <v>109</v>
      </c>
      <c r="B126" s="9" t="s">
        <v>314</v>
      </c>
      <c r="C126" s="308">
        <f t="shared" si="2"/>
        <v>0</v>
      </c>
      <c r="D126" s="106"/>
      <c r="E126" s="278"/>
      <c r="F126" s="267"/>
    </row>
    <row r="127" spans="1:6" ht="12" customHeight="1" x14ac:dyDescent="0.25">
      <c r="A127" s="12" t="s">
        <v>110</v>
      </c>
      <c r="B127" s="114" t="s">
        <v>175</v>
      </c>
      <c r="C127" s="106">
        <f>SUM(C128:C135)</f>
        <v>0</v>
      </c>
      <c r="D127" s="272"/>
      <c r="E127" s="267"/>
      <c r="F127" s="267"/>
    </row>
    <row r="128" spans="1:6" ht="12" customHeight="1" x14ac:dyDescent="0.25">
      <c r="A128" s="12" t="s">
        <v>119</v>
      </c>
      <c r="B128" s="113" t="s">
        <v>376</v>
      </c>
      <c r="C128" s="308">
        <f t="shared" si="2"/>
        <v>0</v>
      </c>
      <c r="D128" s="272"/>
      <c r="E128" s="106"/>
      <c r="F128" s="106"/>
    </row>
    <row r="129" spans="1:6" ht="12" customHeight="1" x14ac:dyDescent="0.25">
      <c r="A129" s="12" t="s">
        <v>121</v>
      </c>
      <c r="B129" s="189" t="s">
        <v>319</v>
      </c>
      <c r="C129" s="308">
        <f t="shared" si="2"/>
        <v>0</v>
      </c>
      <c r="D129" s="272"/>
      <c r="E129" s="106"/>
      <c r="F129" s="106"/>
    </row>
    <row r="130" spans="1:6" x14ac:dyDescent="0.25">
      <c r="A130" s="12" t="s">
        <v>154</v>
      </c>
      <c r="B130" s="62" t="s">
        <v>302</v>
      </c>
      <c r="C130" s="308">
        <f t="shared" si="2"/>
        <v>0</v>
      </c>
      <c r="D130" s="272"/>
      <c r="E130" s="106"/>
      <c r="F130" s="106"/>
    </row>
    <row r="131" spans="1:6" ht="12" customHeight="1" x14ac:dyDescent="0.25">
      <c r="A131" s="12" t="s">
        <v>155</v>
      </c>
      <c r="B131" s="62" t="s">
        <v>318</v>
      </c>
      <c r="C131" s="308">
        <f t="shared" si="2"/>
        <v>0</v>
      </c>
      <c r="D131" s="272"/>
      <c r="E131" s="106"/>
      <c r="F131" s="106"/>
    </row>
    <row r="132" spans="1:6" ht="12" customHeight="1" x14ac:dyDescent="0.25">
      <c r="A132" s="12" t="s">
        <v>156</v>
      </c>
      <c r="B132" s="62" t="s">
        <v>317</v>
      </c>
      <c r="C132" s="308">
        <f t="shared" si="2"/>
        <v>0</v>
      </c>
      <c r="D132" s="272"/>
      <c r="E132" s="106"/>
      <c r="F132" s="106"/>
    </row>
    <row r="133" spans="1:6" ht="12" customHeight="1" x14ac:dyDescent="0.25">
      <c r="A133" s="12" t="s">
        <v>310</v>
      </c>
      <c r="B133" s="62" t="s">
        <v>305</v>
      </c>
      <c r="C133" s="308">
        <f t="shared" si="2"/>
        <v>0</v>
      </c>
      <c r="D133" s="272"/>
      <c r="E133" s="106"/>
      <c r="F133" s="106"/>
    </row>
    <row r="134" spans="1:6" ht="12" customHeight="1" x14ac:dyDescent="0.25">
      <c r="A134" s="12" t="s">
        <v>311</v>
      </c>
      <c r="B134" s="62" t="s">
        <v>316</v>
      </c>
      <c r="C134" s="308">
        <f t="shared" si="2"/>
        <v>0</v>
      </c>
      <c r="D134" s="272"/>
      <c r="E134" s="106"/>
      <c r="F134" s="106"/>
    </row>
    <row r="135" spans="1:6" ht="16.5" thickBot="1" x14ac:dyDescent="0.3">
      <c r="A135" s="10" t="s">
        <v>312</v>
      </c>
      <c r="B135" s="62" t="s">
        <v>315</v>
      </c>
      <c r="C135" s="309">
        <f t="shared" si="2"/>
        <v>0</v>
      </c>
      <c r="D135" s="273"/>
      <c r="E135" s="271"/>
      <c r="F135" s="271"/>
    </row>
    <row r="136" spans="1:6" ht="12" customHeight="1" thickBot="1" x14ac:dyDescent="0.3">
      <c r="A136" s="17" t="s">
        <v>23</v>
      </c>
      <c r="B136" s="57" t="s">
        <v>471</v>
      </c>
      <c r="C136" s="117">
        <f t="shared" si="2"/>
        <v>845556997</v>
      </c>
      <c r="D136" s="282">
        <f>+D101+D122</f>
        <v>113442170</v>
      </c>
      <c r="E136" s="117">
        <f>+E101+E122</f>
        <v>0</v>
      </c>
      <c r="F136" s="117">
        <f>+F101+F122</f>
        <v>732114827</v>
      </c>
    </row>
    <row r="137" spans="1:6" ht="12" customHeight="1" thickBot="1" x14ac:dyDescent="0.3">
      <c r="A137" s="17" t="s">
        <v>24</v>
      </c>
      <c r="B137" s="57" t="s">
        <v>472</v>
      </c>
      <c r="C137" s="117">
        <f t="shared" si="2"/>
        <v>3474590</v>
      </c>
      <c r="D137" s="282">
        <f>+D138+D139+D140</f>
        <v>3474590</v>
      </c>
      <c r="E137" s="117">
        <f>+E138+E139+E140</f>
        <v>0</v>
      </c>
      <c r="F137" s="117">
        <f>+F138+F139+F140</f>
        <v>0</v>
      </c>
    </row>
    <row r="138" spans="1:6" ht="12" customHeight="1" x14ac:dyDescent="0.25">
      <c r="A138" s="12" t="s">
        <v>211</v>
      </c>
      <c r="B138" s="9" t="s">
        <v>473</v>
      </c>
      <c r="C138" s="188">
        <f t="shared" si="2"/>
        <v>3474590</v>
      </c>
      <c r="D138" s="267">
        <v>3474590</v>
      </c>
      <c r="E138" s="267"/>
      <c r="F138" s="267"/>
    </row>
    <row r="139" spans="1:6" ht="12" customHeight="1" x14ac:dyDescent="0.25">
      <c r="A139" s="12" t="s">
        <v>214</v>
      </c>
      <c r="B139" s="9" t="s">
        <v>474</v>
      </c>
      <c r="C139" s="308">
        <f t="shared" si="2"/>
        <v>0</v>
      </c>
      <c r="D139" s="106"/>
      <c r="E139" s="106"/>
      <c r="F139" s="106"/>
    </row>
    <row r="140" spans="1:6" ht="12" customHeight="1" thickBot="1" x14ac:dyDescent="0.3">
      <c r="A140" s="10" t="s">
        <v>215</v>
      </c>
      <c r="B140" s="9" t="s">
        <v>475</v>
      </c>
      <c r="C140" s="309">
        <f t="shared" si="2"/>
        <v>0</v>
      </c>
      <c r="D140" s="106"/>
      <c r="E140" s="106"/>
      <c r="F140" s="106"/>
    </row>
    <row r="141" spans="1:6" ht="12" customHeight="1" thickBot="1" x14ac:dyDescent="0.3">
      <c r="A141" s="17" t="s">
        <v>25</v>
      </c>
      <c r="B141" s="57" t="s">
        <v>476</v>
      </c>
      <c r="C141" s="310">
        <f t="shared" si="2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</row>
    <row r="142" spans="1:6" ht="12" customHeight="1" x14ac:dyDescent="0.25">
      <c r="A142" s="12" t="s">
        <v>93</v>
      </c>
      <c r="B142" s="6" t="s">
        <v>477</v>
      </c>
      <c r="C142" s="188">
        <f t="shared" si="2"/>
        <v>0</v>
      </c>
      <c r="D142" s="106"/>
      <c r="E142" s="106"/>
      <c r="F142" s="106"/>
    </row>
    <row r="143" spans="1:6" ht="12" customHeight="1" x14ac:dyDescent="0.25">
      <c r="A143" s="12" t="s">
        <v>94</v>
      </c>
      <c r="B143" s="6" t="s">
        <v>478</v>
      </c>
      <c r="C143" s="308">
        <f t="shared" si="2"/>
        <v>0</v>
      </c>
      <c r="D143" s="106"/>
      <c r="E143" s="106"/>
      <c r="F143" s="106"/>
    </row>
    <row r="144" spans="1:6" ht="12" customHeight="1" x14ac:dyDescent="0.25">
      <c r="A144" s="12" t="s">
        <v>95</v>
      </c>
      <c r="B144" s="6" t="s">
        <v>479</v>
      </c>
      <c r="C144" s="308">
        <f t="shared" si="2"/>
        <v>0</v>
      </c>
      <c r="D144" s="106"/>
      <c r="E144" s="106"/>
      <c r="F144" s="106"/>
    </row>
    <row r="145" spans="1:6" ht="12" customHeight="1" x14ac:dyDescent="0.25">
      <c r="A145" s="12" t="s">
        <v>141</v>
      </c>
      <c r="B145" s="6" t="s">
        <v>480</v>
      </c>
      <c r="C145" s="308">
        <f t="shared" si="2"/>
        <v>0</v>
      </c>
      <c r="D145" s="106"/>
      <c r="E145" s="106"/>
      <c r="F145" s="106"/>
    </row>
    <row r="146" spans="1:6" ht="12" customHeight="1" x14ac:dyDescent="0.25">
      <c r="A146" s="12" t="s">
        <v>142</v>
      </c>
      <c r="B146" s="6" t="s">
        <v>481</v>
      </c>
      <c r="C146" s="308">
        <f t="shared" si="2"/>
        <v>0</v>
      </c>
      <c r="D146" s="106"/>
      <c r="E146" s="106"/>
      <c r="F146" s="106"/>
    </row>
    <row r="147" spans="1:6" ht="12" customHeight="1" thickBot="1" x14ac:dyDescent="0.3">
      <c r="A147" s="10" t="s">
        <v>143</v>
      </c>
      <c r="B147" s="6" t="s">
        <v>482</v>
      </c>
      <c r="C147" s="309">
        <f t="shared" si="2"/>
        <v>0</v>
      </c>
      <c r="D147" s="106"/>
      <c r="E147" s="106"/>
      <c r="F147" s="106"/>
    </row>
    <row r="148" spans="1:6" ht="12" customHeight="1" thickBot="1" x14ac:dyDescent="0.3">
      <c r="A148" s="17" t="s">
        <v>26</v>
      </c>
      <c r="B148" s="57" t="s">
        <v>483</v>
      </c>
      <c r="C148" s="117">
        <f t="shared" si="2"/>
        <v>0</v>
      </c>
      <c r="D148" s="285">
        <f>+D149+D150+D151+D152</f>
        <v>0</v>
      </c>
      <c r="E148" s="122">
        <f>+E149+E150+E151+E152</f>
        <v>0</v>
      </c>
      <c r="F148" s="122">
        <f>+F149+F150+F151+F152</f>
        <v>0</v>
      </c>
    </row>
    <row r="149" spans="1:6" ht="12" customHeight="1" x14ac:dyDescent="0.25">
      <c r="A149" s="12" t="s">
        <v>96</v>
      </c>
      <c r="B149" s="6" t="s">
        <v>320</v>
      </c>
      <c r="C149" s="188">
        <f t="shared" si="2"/>
        <v>0</v>
      </c>
      <c r="D149" s="106"/>
      <c r="E149" s="106"/>
      <c r="F149" s="106"/>
    </row>
    <row r="150" spans="1:6" ht="12" customHeight="1" x14ac:dyDescent="0.25">
      <c r="A150" s="12" t="s">
        <v>97</v>
      </c>
      <c r="B150" s="6" t="s">
        <v>321</v>
      </c>
      <c r="C150" s="308">
        <f t="shared" si="2"/>
        <v>0</v>
      </c>
      <c r="D150" s="106"/>
      <c r="E150" s="106"/>
      <c r="F150" s="106"/>
    </row>
    <row r="151" spans="1:6" ht="12" customHeight="1" x14ac:dyDescent="0.25">
      <c r="A151" s="12" t="s">
        <v>234</v>
      </c>
      <c r="B151" s="6" t="s">
        <v>484</v>
      </c>
      <c r="C151" s="308">
        <f t="shared" si="2"/>
        <v>0</v>
      </c>
      <c r="D151" s="106"/>
      <c r="E151" s="106"/>
      <c r="F151" s="106"/>
    </row>
    <row r="152" spans="1:6" ht="12" customHeight="1" thickBot="1" x14ac:dyDescent="0.3">
      <c r="A152" s="10" t="s">
        <v>235</v>
      </c>
      <c r="B152" s="4" t="s">
        <v>339</v>
      </c>
      <c r="C152" s="309">
        <f t="shared" si="2"/>
        <v>0</v>
      </c>
      <c r="D152" s="106"/>
      <c r="E152" s="106"/>
      <c r="F152" s="106"/>
    </row>
    <row r="153" spans="1:6" ht="12" customHeight="1" thickBot="1" x14ac:dyDescent="0.3">
      <c r="A153" s="17" t="s">
        <v>27</v>
      </c>
      <c r="B153" s="57" t="s">
        <v>485</v>
      </c>
      <c r="C153" s="117">
        <f t="shared" si="2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</row>
    <row r="154" spans="1:6" ht="12" customHeight="1" x14ac:dyDescent="0.25">
      <c r="A154" s="12" t="s">
        <v>98</v>
      </c>
      <c r="B154" s="6" t="s">
        <v>486</v>
      </c>
      <c r="C154" s="188">
        <f t="shared" si="2"/>
        <v>0</v>
      </c>
      <c r="D154" s="106"/>
      <c r="E154" s="106"/>
      <c r="F154" s="106"/>
    </row>
    <row r="155" spans="1:6" ht="12" customHeight="1" x14ac:dyDescent="0.25">
      <c r="A155" s="12" t="s">
        <v>99</v>
      </c>
      <c r="B155" s="6" t="s">
        <v>487</v>
      </c>
      <c r="C155" s="308">
        <f t="shared" si="2"/>
        <v>0</v>
      </c>
      <c r="D155" s="106"/>
      <c r="E155" s="106"/>
      <c r="F155" s="106"/>
    </row>
    <row r="156" spans="1:6" ht="12" customHeight="1" x14ac:dyDescent="0.25">
      <c r="A156" s="12" t="s">
        <v>246</v>
      </c>
      <c r="B156" s="6" t="s">
        <v>488</v>
      </c>
      <c r="C156" s="308">
        <f t="shared" si="2"/>
        <v>0</v>
      </c>
      <c r="D156" s="106"/>
      <c r="E156" s="106"/>
      <c r="F156" s="106"/>
    </row>
    <row r="157" spans="1:6" ht="12" customHeight="1" x14ac:dyDescent="0.25">
      <c r="A157" s="12" t="s">
        <v>247</v>
      </c>
      <c r="B157" s="6" t="s">
        <v>489</v>
      </c>
      <c r="C157" s="308">
        <f t="shared" si="2"/>
        <v>0</v>
      </c>
      <c r="D157" s="106"/>
      <c r="E157" s="106"/>
      <c r="F157" s="106"/>
    </row>
    <row r="158" spans="1:6" ht="12" customHeight="1" thickBot="1" x14ac:dyDescent="0.3">
      <c r="A158" s="12" t="s">
        <v>490</v>
      </c>
      <c r="B158" s="6" t="s">
        <v>491</v>
      </c>
      <c r="C158" s="309">
        <f t="shared" si="2"/>
        <v>0</v>
      </c>
      <c r="D158" s="107"/>
      <c r="E158" s="107"/>
      <c r="F158" s="106"/>
    </row>
    <row r="159" spans="1:6" ht="12" customHeight="1" thickBot="1" x14ac:dyDescent="0.3">
      <c r="A159" s="17" t="s">
        <v>28</v>
      </c>
      <c r="B159" s="57" t="s">
        <v>492</v>
      </c>
      <c r="C159" s="117">
        <f t="shared" si="2"/>
        <v>0</v>
      </c>
      <c r="D159" s="292"/>
      <c r="E159" s="125"/>
      <c r="F159" s="260"/>
    </row>
    <row r="160" spans="1:6" ht="12" customHeight="1" thickBot="1" x14ac:dyDescent="0.3">
      <c r="A160" s="17" t="s">
        <v>29</v>
      </c>
      <c r="B160" s="57" t="s">
        <v>493</v>
      </c>
      <c r="C160" s="117">
        <f t="shared" si="2"/>
        <v>0</v>
      </c>
      <c r="D160" s="292"/>
      <c r="E160" s="125"/>
      <c r="F160" s="260"/>
    </row>
    <row r="161" spans="1:9" ht="15" customHeight="1" thickBot="1" x14ac:dyDescent="0.3">
      <c r="A161" s="17" t="s">
        <v>30</v>
      </c>
      <c r="B161" s="57" t="s">
        <v>494</v>
      </c>
      <c r="C161" s="117">
        <f t="shared" si="2"/>
        <v>3474590</v>
      </c>
      <c r="D161" s="293">
        <f>+D137+D141+D148+D153+D159+D160</f>
        <v>3474590</v>
      </c>
      <c r="E161" s="203">
        <f>+E137+E141+E148+E153+E159+E160</f>
        <v>0</v>
      </c>
      <c r="F161" s="203">
        <f>+F137+F141+F148+F153+F159+F160</f>
        <v>0</v>
      </c>
      <c r="G161" s="204"/>
      <c r="H161" s="204"/>
      <c r="I161" s="204"/>
    </row>
    <row r="162" spans="1:9" s="192" customFormat="1" ht="12.95" customHeight="1" thickBot="1" x14ac:dyDescent="0.25">
      <c r="A162" s="115" t="s">
        <v>31</v>
      </c>
      <c r="B162" s="178" t="s">
        <v>495</v>
      </c>
      <c r="C162" s="117">
        <f t="shared" si="2"/>
        <v>849031587</v>
      </c>
      <c r="D162" s="293">
        <f>+D136+D161</f>
        <v>116916760</v>
      </c>
      <c r="E162" s="203">
        <f>+E136+E161</f>
        <v>0</v>
      </c>
      <c r="F162" s="203">
        <f>+F136+F161</f>
        <v>732114827</v>
      </c>
    </row>
    <row r="163" spans="1:9" ht="7.5" customHeight="1" x14ac:dyDescent="0.25"/>
    <row r="164" spans="1:9" x14ac:dyDescent="0.25">
      <c r="A164" s="1442" t="s">
        <v>322</v>
      </c>
      <c r="B164" s="1442"/>
      <c r="C164" s="1442"/>
    </row>
    <row r="165" spans="1:9" ht="15" customHeight="1" thickBot="1" x14ac:dyDescent="0.3">
      <c r="A165" s="1444" t="s">
        <v>131</v>
      </c>
      <c r="B165" s="1444"/>
      <c r="C165" s="126" t="s">
        <v>555</v>
      </c>
    </row>
    <row r="166" spans="1:9" ht="13.5" customHeight="1" thickBot="1" x14ac:dyDescent="0.3">
      <c r="A166" s="17">
        <v>1</v>
      </c>
      <c r="B166" s="22" t="s">
        <v>496</v>
      </c>
      <c r="C166" s="117">
        <f>+C70-C136</f>
        <v>-218739563</v>
      </c>
    </row>
    <row r="167" spans="1:9" ht="21.75" thickBot="1" x14ac:dyDescent="0.3">
      <c r="A167" s="17" t="s">
        <v>22</v>
      </c>
      <c r="B167" s="22" t="s">
        <v>993</v>
      </c>
      <c r="C167" s="117">
        <f>+C94-C161</f>
        <v>8929182</v>
      </c>
    </row>
    <row r="170" spans="1:9" x14ac:dyDescent="0.25">
      <c r="D170" s="204"/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/>
  <dimension ref="A1:D62"/>
  <sheetViews>
    <sheetView topLeftCell="A55" zoomScale="115" zoomScaleNormal="115" workbookViewId="0">
      <selection activeCell="E16" sqref="E16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5" style="1013" bestFit="1" customWidth="1"/>
    <col min="5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490" t="str">
        <f>CONCATENATE("11. melléklet ",[2]ALAPADATOK!A7," ",[2]ALAPADATOK!B7," ",[2]ALAPADATOK!C7," ",[2]ALAPADATOK!D7," ",[2]ALAPADATOK!E7," ",[2]ALAPADATOK!F7," ",[2]ALAPADATOK!G7," ",[2]ALAPADATOK!H7)</f>
        <v>11. melléklet a 14. / 2020. ( V.28.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374"/>
    </row>
    <row r="3" spans="1:3" s="226" customFormat="1" ht="34.5" customHeight="1" x14ac:dyDescent="0.2">
      <c r="A3" s="183" t="s">
        <v>167</v>
      </c>
      <c r="B3" s="162" t="s">
        <v>546</v>
      </c>
      <c r="C3" s="375" t="s">
        <v>63</v>
      </c>
    </row>
    <row r="4" spans="1:3" s="226" customFormat="1" ht="24.75" thickBot="1" x14ac:dyDescent="0.25">
      <c r="A4" s="219" t="s">
        <v>166</v>
      </c>
      <c r="B4" s="163" t="s">
        <v>618</v>
      </c>
      <c r="C4" s="376" t="s">
        <v>63</v>
      </c>
    </row>
    <row r="5" spans="1:3" s="227" customFormat="1" ht="15.95" customHeight="1" thickBot="1" x14ac:dyDescent="0.3">
      <c r="A5" s="84"/>
      <c r="B5" s="84"/>
      <c r="C5" s="377" t="s">
        <v>556</v>
      </c>
    </row>
    <row r="6" spans="1:3" ht="13.5" thickBot="1" x14ac:dyDescent="0.25">
      <c r="A6" s="184" t="s">
        <v>168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79" t="s">
        <v>449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523</v>
      </c>
      <c r="C9" s="674">
        <f>SUM(C10:C20)</f>
        <v>1270959</v>
      </c>
    </row>
    <row r="10" spans="1:3" s="177" customFormat="1" ht="12" customHeight="1" x14ac:dyDescent="0.2">
      <c r="A10" s="220" t="s">
        <v>100</v>
      </c>
      <c r="B10" s="7" t="s">
        <v>223</v>
      </c>
      <c r="C10" s="675"/>
    </row>
    <row r="11" spans="1:3" s="177" customFormat="1" ht="12" customHeight="1" x14ac:dyDescent="0.2">
      <c r="A11" s="221" t="s">
        <v>101</v>
      </c>
      <c r="B11" s="5" t="s">
        <v>224</v>
      </c>
      <c r="C11" s="676">
        <v>1000755</v>
      </c>
    </row>
    <row r="12" spans="1:3" s="177" customFormat="1" ht="12" customHeight="1" x14ac:dyDescent="0.2">
      <c r="A12" s="221" t="s">
        <v>102</v>
      </c>
      <c r="B12" s="5" t="s">
        <v>225</v>
      </c>
      <c r="C12" s="676"/>
    </row>
    <row r="13" spans="1:3" s="177" customFormat="1" ht="12" customHeight="1" x14ac:dyDescent="0.2">
      <c r="A13" s="221" t="s">
        <v>103</v>
      </c>
      <c r="B13" s="5" t="s">
        <v>226</v>
      </c>
      <c r="C13" s="676"/>
    </row>
    <row r="14" spans="1:3" s="177" customFormat="1" ht="12" customHeight="1" x14ac:dyDescent="0.2">
      <c r="A14" s="221" t="s">
        <v>126</v>
      </c>
      <c r="B14" s="5" t="s">
        <v>227</v>
      </c>
      <c r="C14" s="676"/>
    </row>
    <row r="15" spans="1:3" s="177" customFormat="1" ht="12" customHeight="1" x14ac:dyDescent="0.2">
      <c r="A15" s="221" t="s">
        <v>104</v>
      </c>
      <c r="B15" s="5" t="s">
        <v>348</v>
      </c>
      <c r="C15" s="676">
        <v>270204</v>
      </c>
    </row>
    <row r="16" spans="1:3" s="177" customFormat="1" ht="12" customHeight="1" x14ac:dyDescent="0.2">
      <c r="A16" s="221" t="s">
        <v>105</v>
      </c>
      <c r="B16" s="4" t="s">
        <v>349</v>
      </c>
      <c r="C16" s="676"/>
    </row>
    <row r="17" spans="1:3" s="177" customFormat="1" ht="12" customHeight="1" x14ac:dyDescent="0.2">
      <c r="A17" s="221" t="s">
        <v>115</v>
      </c>
      <c r="B17" s="5" t="s">
        <v>230</v>
      </c>
      <c r="C17" s="677"/>
    </row>
    <row r="18" spans="1:3" s="229" customFormat="1" ht="12" customHeight="1" x14ac:dyDescent="0.2">
      <c r="A18" s="221" t="s">
        <v>116</v>
      </c>
      <c r="B18" s="5" t="s">
        <v>231</v>
      </c>
      <c r="C18" s="676"/>
    </row>
    <row r="19" spans="1:3" s="229" customFormat="1" ht="12" customHeight="1" x14ac:dyDescent="0.2">
      <c r="A19" s="221" t="s">
        <v>117</v>
      </c>
      <c r="B19" s="5" t="s">
        <v>453</v>
      </c>
      <c r="C19" s="678"/>
    </row>
    <row r="20" spans="1:3" s="229" customFormat="1" ht="12" customHeight="1" thickBot="1" x14ac:dyDescent="0.25">
      <c r="A20" s="221" t="s">
        <v>118</v>
      </c>
      <c r="B20" s="4" t="s">
        <v>232</v>
      </c>
      <c r="C20" s="678"/>
    </row>
    <row r="21" spans="1:3" s="177" customFormat="1" ht="12" customHeight="1" thickBot="1" x14ac:dyDescent="0.25">
      <c r="A21" s="74" t="s">
        <v>22</v>
      </c>
      <c r="B21" s="91" t="s">
        <v>350</v>
      </c>
      <c r="C21" s="674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679"/>
    </row>
    <row r="23" spans="1:3" s="229" customFormat="1" ht="12" customHeight="1" x14ac:dyDescent="0.2">
      <c r="A23" s="221" t="s">
        <v>107</v>
      </c>
      <c r="B23" s="5" t="s">
        <v>351</v>
      </c>
      <c r="C23" s="676"/>
    </row>
    <row r="24" spans="1:3" s="229" customFormat="1" ht="12" customHeight="1" x14ac:dyDescent="0.2">
      <c r="A24" s="221" t="s">
        <v>108</v>
      </c>
      <c r="B24" s="5" t="s">
        <v>352</v>
      </c>
      <c r="C24" s="680"/>
    </row>
    <row r="25" spans="1:3" s="229" customFormat="1" ht="12" customHeight="1" thickBot="1" x14ac:dyDescent="0.25">
      <c r="A25" s="221" t="s">
        <v>109</v>
      </c>
      <c r="B25" s="5" t="s">
        <v>524</v>
      </c>
      <c r="C25" s="676"/>
    </row>
    <row r="26" spans="1:3" s="229" customFormat="1" ht="12" customHeight="1" thickBot="1" x14ac:dyDescent="0.25">
      <c r="A26" s="77" t="s">
        <v>23</v>
      </c>
      <c r="B26" s="57" t="s">
        <v>140</v>
      </c>
      <c r="C26" s="681"/>
    </row>
    <row r="27" spans="1:3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2"/>
    </row>
    <row r="29" spans="1:3" s="229" customFormat="1" ht="12" customHeight="1" x14ac:dyDescent="0.2">
      <c r="A29" s="222" t="s">
        <v>214</v>
      </c>
      <c r="B29" s="223" t="s">
        <v>351</v>
      </c>
      <c r="C29" s="679"/>
    </row>
    <row r="30" spans="1:3" s="229" customFormat="1" ht="12" customHeight="1" x14ac:dyDescent="0.2">
      <c r="A30" s="222" t="s">
        <v>215</v>
      </c>
      <c r="B30" s="224" t="s">
        <v>353</v>
      </c>
      <c r="C30" s="679"/>
    </row>
    <row r="31" spans="1:3" s="229" customFormat="1" ht="12" customHeight="1" thickBot="1" x14ac:dyDescent="0.25">
      <c r="A31" s="221" t="s">
        <v>216</v>
      </c>
      <c r="B31" s="60" t="s">
        <v>526</v>
      </c>
      <c r="C31" s="683"/>
    </row>
    <row r="32" spans="1:3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2"/>
    </row>
    <row r="34" spans="1:3" s="229" customFormat="1" ht="12" customHeight="1" x14ac:dyDescent="0.2">
      <c r="A34" s="222" t="s">
        <v>94</v>
      </c>
      <c r="B34" s="224" t="s">
        <v>238</v>
      </c>
      <c r="C34" s="677"/>
    </row>
    <row r="35" spans="1:3" s="177" customFormat="1" ht="12" customHeight="1" thickBot="1" x14ac:dyDescent="0.25">
      <c r="A35" s="221" t="s">
        <v>95</v>
      </c>
      <c r="B35" s="60" t="s">
        <v>239</v>
      </c>
      <c r="C35" s="683"/>
    </row>
    <row r="36" spans="1:3" s="177" customFormat="1" ht="12" customHeight="1" thickBot="1" x14ac:dyDescent="0.25">
      <c r="A36" s="77" t="s">
        <v>26</v>
      </c>
      <c r="B36" s="57" t="s">
        <v>325</v>
      </c>
      <c r="C36" s="681"/>
    </row>
    <row r="37" spans="1:3" s="177" customFormat="1" ht="12" customHeight="1" thickBot="1" x14ac:dyDescent="0.25">
      <c r="A37" s="77" t="s">
        <v>27</v>
      </c>
      <c r="B37" s="57" t="s">
        <v>355</v>
      </c>
      <c r="C37" s="684"/>
    </row>
    <row r="38" spans="1:3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1270959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5">
        <f>+C40+C41+C42</f>
        <v>0</v>
      </c>
    </row>
    <row r="40" spans="1:3" s="177" customFormat="1" ht="12" customHeight="1" x14ac:dyDescent="0.2">
      <c r="A40" s="222" t="s">
        <v>358</v>
      </c>
      <c r="B40" s="223" t="s">
        <v>182</v>
      </c>
      <c r="C40" s="682"/>
    </row>
    <row r="41" spans="1:3" s="229" customFormat="1" ht="12" customHeight="1" x14ac:dyDescent="0.2">
      <c r="A41" s="222" t="s">
        <v>359</v>
      </c>
      <c r="B41" s="224" t="s">
        <v>9</v>
      </c>
      <c r="C41" s="677"/>
    </row>
    <row r="42" spans="1:3" s="229" customFormat="1" ht="15" customHeight="1" thickBot="1" x14ac:dyDescent="0.25">
      <c r="A42" s="221" t="s">
        <v>360</v>
      </c>
      <c r="B42" s="60" t="s">
        <v>361</v>
      </c>
      <c r="C42" s="683"/>
    </row>
    <row r="43" spans="1:3" s="229" customFormat="1" ht="15" customHeight="1" thickBot="1" x14ac:dyDescent="0.25">
      <c r="A43" s="92" t="s">
        <v>30</v>
      </c>
      <c r="B43" s="93" t="s">
        <v>362</v>
      </c>
      <c r="C43" s="686">
        <f>+C38+C39</f>
        <v>1270959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363</v>
      </c>
      <c r="C47" s="1197">
        <f>SUM(C48:C52)</f>
        <v>845791</v>
      </c>
    </row>
    <row r="48" spans="1:3" ht="12" customHeight="1" x14ac:dyDescent="0.2">
      <c r="A48" s="221" t="s">
        <v>100</v>
      </c>
      <c r="B48" s="6" t="s">
        <v>51</v>
      </c>
      <c r="C48" s="1194">
        <f>333277+15454</f>
        <v>348731</v>
      </c>
    </row>
    <row r="49" spans="1:4" ht="12" customHeight="1" x14ac:dyDescent="0.2">
      <c r="A49" s="221" t="s">
        <v>101</v>
      </c>
      <c r="B49" s="5" t="s">
        <v>149</v>
      </c>
      <c r="C49" s="1195">
        <f>58324+2704</f>
        <v>61028</v>
      </c>
    </row>
    <row r="50" spans="1:4" ht="12" customHeight="1" x14ac:dyDescent="0.2">
      <c r="A50" s="221" t="s">
        <v>102</v>
      </c>
      <c r="B50" s="5" t="s">
        <v>125</v>
      </c>
      <c r="C50" s="676">
        <v>436032</v>
      </c>
    </row>
    <row r="51" spans="1:4" ht="12" customHeight="1" x14ac:dyDescent="0.2">
      <c r="A51" s="221" t="s">
        <v>103</v>
      </c>
      <c r="B51" s="5" t="s">
        <v>150</v>
      </c>
      <c r="C51" s="676"/>
    </row>
    <row r="52" spans="1:4" ht="12" customHeight="1" thickBot="1" x14ac:dyDescent="0.25">
      <c r="A52" s="221" t="s">
        <v>126</v>
      </c>
      <c r="B52" s="5" t="s">
        <v>151</v>
      </c>
      <c r="C52" s="676"/>
    </row>
    <row r="53" spans="1:4" s="230" customFormat="1" ht="12" customHeight="1" thickBot="1" x14ac:dyDescent="0.25">
      <c r="A53" s="77" t="s">
        <v>22</v>
      </c>
      <c r="B53" s="57" t="s">
        <v>364</v>
      </c>
      <c r="C53" s="674">
        <f>SUM(C54:C56)</f>
        <v>0</v>
      </c>
    </row>
    <row r="54" spans="1:4" ht="12" customHeight="1" x14ac:dyDescent="0.2">
      <c r="A54" s="221" t="s">
        <v>106</v>
      </c>
      <c r="B54" s="6" t="s">
        <v>173</v>
      </c>
      <c r="C54" s="682"/>
    </row>
    <row r="55" spans="1:4" ht="12" customHeight="1" x14ac:dyDescent="0.2">
      <c r="A55" s="221" t="s">
        <v>107</v>
      </c>
      <c r="B55" s="5" t="s">
        <v>153</v>
      </c>
      <c r="C55" s="676"/>
    </row>
    <row r="56" spans="1:4" ht="12" customHeight="1" x14ac:dyDescent="0.2">
      <c r="A56" s="221" t="s">
        <v>108</v>
      </c>
      <c r="B56" s="5" t="s">
        <v>60</v>
      </c>
      <c r="C56" s="676"/>
    </row>
    <row r="57" spans="1:4" ht="15" customHeight="1" thickBot="1" x14ac:dyDescent="0.25">
      <c r="A57" s="221" t="s">
        <v>109</v>
      </c>
      <c r="B57" s="5" t="s">
        <v>527</v>
      </c>
      <c r="C57" s="676"/>
    </row>
    <row r="58" spans="1:4" ht="13.5" thickBot="1" x14ac:dyDescent="0.25">
      <c r="A58" s="77" t="s">
        <v>23</v>
      </c>
      <c r="B58" s="57" t="s">
        <v>15</v>
      </c>
      <c r="C58" s="681"/>
      <c r="D58" s="854"/>
    </row>
    <row r="59" spans="1:4" ht="15" customHeight="1" thickBot="1" x14ac:dyDescent="0.25">
      <c r="A59" s="77" t="s">
        <v>24</v>
      </c>
      <c r="B59" s="100" t="s">
        <v>528</v>
      </c>
      <c r="C59" s="173">
        <f>+C47+C53+C58</f>
        <v>845791</v>
      </c>
    </row>
    <row r="60" spans="1:4" ht="14.25" customHeight="1" thickBot="1" x14ac:dyDescent="0.25">
      <c r="C60" s="690"/>
    </row>
    <row r="61" spans="1:4" ht="13.5" thickBot="1" x14ac:dyDescent="0.25">
      <c r="A61" s="102" t="s">
        <v>521</v>
      </c>
      <c r="B61" s="103"/>
      <c r="C61" s="691">
        <v>0</v>
      </c>
    </row>
    <row r="62" spans="1:4" ht="13.5" thickBot="1" x14ac:dyDescent="0.25">
      <c r="A62" s="1500"/>
      <c r="B62" s="1501"/>
      <c r="C62" s="526"/>
      <c r="D62" s="366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topLeftCell="A40" zoomScale="130" zoomScaleNormal="130" workbookViewId="0">
      <selection activeCell="J13" sqref="J13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0" style="1013" hidden="1" customWidth="1"/>
    <col min="5" max="5" width="11.83203125" style="1037" hidden="1" customWidth="1"/>
    <col min="6" max="6" width="12.5" style="1037" hidden="1" customWidth="1"/>
    <col min="7" max="8" width="0" style="1013" hidden="1" customWidth="1"/>
    <col min="9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490" t="str">
        <f>CONCATENATE("26. melléklet"," ",ALAPADATOK!A7," ",ALAPADATOK!B7," ",ALAPADATOK!C7," ",ALAPADATOK!D7," ",ALAPADATOK!E7," ",ALAPADATOK!F7," ",ALAPADATOK!G7," ",ALAPADATOK!H7)</f>
        <v>26. melléklet a 21 / 2020. ( IX.25. ) önkormányzati rendelethez</v>
      </c>
      <c r="B1" s="1490"/>
      <c r="C1" s="1490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6" customHeight="1" x14ac:dyDescent="0.2">
      <c r="A3" s="183" t="s">
        <v>167</v>
      </c>
      <c r="B3" s="162" t="s">
        <v>537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166</v>
      </c>
      <c r="B4" s="163" t="s">
        <v>347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556</v>
      </c>
      <c r="E5" s="573"/>
      <c r="F5" s="573"/>
    </row>
    <row r="6" spans="1:6" ht="13.5" thickBot="1" x14ac:dyDescent="0.25">
      <c r="A6" s="184" t="s">
        <v>168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79" t="s">
        <v>449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523</v>
      </c>
      <c r="C9" s="674">
        <f>SUM(C10:C20)</f>
        <v>1010766</v>
      </c>
      <c r="E9" s="575">
        <f>'9.7.1. sz. mell TIB  '!C9+'9.7.2. sz. mell TIB'!C9</f>
        <v>1010766</v>
      </c>
      <c r="F9" s="575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5"/>
      <c r="E10" s="575">
        <f>'9.7.1. sz. mell TIB  '!C10+'9.7.2. sz. mell TIB'!C10</f>
        <v>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6"/>
      <c r="E11" s="575">
        <f>'9.7.1. sz. mell TIB  '!C11+'9.7.2. sz. mell TIB'!C11</f>
        <v>0</v>
      </c>
      <c r="F11" s="575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6"/>
      <c r="E12" s="575">
        <f>'9.7.1. sz. mell TIB  '!C12+'9.7.2. sz. mell TIB'!C12</f>
        <v>0</v>
      </c>
      <c r="F12" s="575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6"/>
      <c r="E13" s="575">
        <f>'9.7.1. sz. mell TIB  '!C13+'9.7.2. sz. mell TIB'!C13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6">
        <f>1382012-371246</f>
        <v>1010766</v>
      </c>
      <c r="E14" s="575">
        <f>'9.7.1. sz. mell TIB  '!C14+'9.7.2. sz. mell TIB'!C14</f>
        <v>1010766</v>
      </c>
      <c r="F14" s="575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6"/>
      <c r="E15" s="575">
        <f>'9.7.1. sz. mell TIB  '!C15+'9.7.2. sz. mell TIB'!C15</f>
        <v>0</v>
      </c>
      <c r="F15" s="575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6"/>
      <c r="E16" s="575">
        <f>'9.7.1. sz. mell TIB  '!C16+'9.7.2. sz. mell TIB'!C16</f>
        <v>0</v>
      </c>
      <c r="F16" s="575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7"/>
      <c r="E17" s="575">
        <f>'9.7.1. sz. mell TIB  '!C17+'9.7.2. sz. mell TIB'!C17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6"/>
      <c r="E18" s="575">
        <f>'9.7.1. sz. mell TIB  '!C18+'9.7.2. sz. mell TIB'!C18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8"/>
      <c r="E19" s="575">
        <f>'9.7.1. sz. mell TIB  '!C19+'9.7.2. sz. mell TIB'!C19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8"/>
      <c r="E20" s="575">
        <f>'9.7.1. sz. mell TIB  '!C20+'9.7.2. sz. mell TIB'!C20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674">
        <f>SUM(C22:C24)</f>
        <v>358859</v>
      </c>
      <c r="E21" s="575">
        <f>'9.7.1. sz. mell TIB  '!C21+'9.7.2. sz. mell TIB'!C21</f>
        <v>358859</v>
      </c>
      <c r="F21" s="575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79"/>
      <c r="E22" s="575">
        <f>'9.7.1. sz. mell TIB  '!C22+'9.7.2. sz. mell TIB'!C22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6"/>
      <c r="E23" s="575">
        <f>'9.7.1. sz. mell TIB  '!C23+'9.7.2. sz. mell TIB'!C23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680">
        <v>358859</v>
      </c>
      <c r="E24" s="575">
        <f>'9.7.1. sz. mell TIB  '!C24+'9.7.2. sz. mell TIB'!C24</f>
        <v>358859</v>
      </c>
      <c r="F24" s="575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676">
        <v>358859</v>
      </c>
      <c r="E25" s="575">
        <f>'9.7.1. sz. mell TIB  '!C25+'9.7.2. sz. mell TIB'!C25</f>
        <v>358859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1"/>
      <c r="E26" s="575">
        <f>'9.7.1. sz. mell TIB  '!C26+'9.7.2. sz. mell TIB'!C26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  <c r="E27" s="575">
        <f>'9.7.1. sz. mell TIB  '!C27+'9.7.2. sz. mell TIB'!C27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2"/>
      <c r="E28" s="575">
        <f>'9.7.1. sz. mell TIB  '!C28+'9.7.2. sz. mell TIB'!C28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79"/>
      <c r="E29" s="575">
        <f>'9.7.1. sz. mell TIB  '!C29+'9.7.2. sz. mell TIB'!C29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679"/>
      <c r="E30" s="575">
        <f>'9.7.1. sz. mell TIB  '!C30+'9.7.2. sz. mell TIB'!C30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683"/>
      <c r="E31" s="575">
        <f>'9.7.1. sz. mell TIB  '!C31+'9.7.2. sz. mell TIB'!C31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  <c r="E32" s="575">
        <f>'9.7.1. sz. mell TIB  '!C32+'9.7.2. sz. mell TIB'!C32</f>
        <v>0</v>
      </c>
      <c r="F32" s="575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2"/>
      <c r="E33" s="575">
        <f>'9.7.1. sz. mell TIB  '!C33+'9.7.2. sz. mell TIB'!C33</f>
        <v>0</v>
      </c>
      <c r="F33" s="575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7"/>
      <c r="E34" s="575">
        <f>'9.7.1. sz. mell TIB  '!C34+'9.7.2. sz. mell TIB'!C34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3"/>
      <c r="E35" s="575">
        <f>'9.7.1. sz. mell TIB  '!C35+'9.7.2. sz. mell TIB'!C35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681"/>
      <c r="E36" s="575">
        <f>'9.7.1. sz. mell TIB  '!C36+'9.7.2. sz. mell TIB'!C36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4"/>
      <c r="E37" s="575">
        <f>'9.7.1. sz. mell TIB  '!C37+'9.7.2. sz. mell TIB'!C37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1369625</v>
      </c>
      <c r="E38" s="575">
        <f>'9.7.1. sz. mell TIB  '!C38+'9.7.2. sz. mell TIB'!C38</f>
        <v>1369625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1198">
        <f>+C40+C41+C42</f>
        <v>100877625</v>
      </c>
      <c r="E39" s="575">
        <f>'9.7.1. sz. mell TIB  '!C39+'9.7.2. sz. mell TIB'!C39</f>
        <v>100877625</v>
      </c>
      <c r="F39" s="575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2">
        <v>820681</v>
      </c>
      <c r="E40" s="575">
        <f>'9.7.1. sz. mell TIB  '!C40+'9.7.2. sz. mell TIB'!C40</f>
        <v>820681</v>
      </c>
      <c r="F40" s="575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7"/>
      <c r="E41" s="575">
        <f>'9.7.1. sz. mell TIB  '!C41+'9.7.2. sz. mell TIB'!C41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683">
        <f>97939593+640498+1160572-812674+1128955</f>
        <v>100056944</v>
      </c>
      <c r="E42" s="575">
        <f>'9.7.1. sz. mell TIB  '!C42+'9.7.2. sz. mell TIB'!C42</f>
        <v>100056944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1198">
        <f>+C38+C39</f>
        <v>102247250</v>
      </c>
      <c r="E43" s="575">
        <f>'9.7.1. sz. mell TIB  '!C43+'9.7.2. sz. mell TIB'!C43</f>
        <v>102247250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'9.7.1. sz. mell TIB  '!C44+'9.7.2. sz. mell TIB'!C44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'9.7.1. sz. mell TIB  '!C45+'9.7.2. sz. mell TIB'!C45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'9.7.1. sz. mell TIB  '!C46+'9.7.2. sz. mell TIB'!C46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1197">
        <f>SUM(C48:C52)</f>
        <v>101636400</v>
      </c>
      <c r="E47" s="575">
        <f>'9.7.1. sz. mell TIB  '!C47+'9.7.2. sz. mell TIB'!C47</f>
        <v>101636400</v>
      </c>
      <c r="F47" s="575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682">
        <f>71236352+545105+826870+977450</f>
        <v>73585777</v>
      </c>
      <c r="E48" s="575">
        <f>'9.7.1. sz. mell TIB  '!C48+'9.7.2. sz. mell TIB'!C48</f>
        <v>73585777</v>
      </c>
      <c r="F48" s="575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676">
        <f>12731399+95393+144702+151505</f>
        <v>13122999</v>
      </c>
      <c r="E49" s="575">
        <f>'9.7.1. sz. mell TIB  '!C49+'9.7.2. sz. mell TIB'!C49</f>
        <v>13122999</v>
      </c>
      <c r="F49" s="575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676">
        <f>15922544+189000-45500+45500-1183920</f>
        <v>14927624</v>
      </c>
      <c r="E50" s="575">
        <f>'9.7.1. sz. mell TIB  '!C50+'9.7.2. sz. mell TIB'!C50</f>
        <v>14927624</v>
      </c>
      <c r="F50" s="575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6"/>
      <c r="E51" s="575">
        <f>'9.7.1. sz. mell TIB  '!C51+'9.7.2. sz. mell TIB'!C51</f>
        <v>0</v>
      </c>
      <c r="F51" s="575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6"/>
      <c r="E52" s="575">
        <f>'9.7.1. sz. mell TIB  '!C52+'9.7.2. sz. mell TIB'!C52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4">
        <f>SUM(C54:C56)</f>
        <v>610850</v>
      </c>
      <c r="E53" s="575">
        <f>'9.7.1. sz. mell TIB  '!C53+'9.7.2. sz. mell TIB'!C53</f>
        <v>610850</v>
      </c>
      <c r="F53" s="575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682">
        <v>610850</v>
      </c>
      <c r="E54" s="575">
        <f>'9.7.1. sz. mell TIB  '!C54+'9.7.2. sz. mell TIB'!C54</f>
        <v>610850</v>
      </c>
      <c r="F54" s="575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6"/>
      <c r="E55" s="575">
        <f>'9.7.1. sz. mell TIB  '!C55+'9.7.2. sz. mell TIB'!C55</f>
        <v>0</v>
      </c>
      <c r="F55" s="575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6"/>
      <c r="E56" s="575">
        <f>'9.7.1. sz. mell TIB  '!C56+'9.7.2. sz. mell TIB'!C56</f>
        <v>0</v>
      </c>
      <c r="F56" s="575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6"/>
      <c r="E57" s="575">
        <f>'9.7.1. sz. mell TIB  '!C57+'9.7.2. sz. mell TIB'!C57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'9.7.1. sz. mell TIB  '!C58+'9.7.2. sz. mell TIB'!C58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1197">
        <f>+C47+C53+C58</f>
        <v>102247250</v>
      </c>
      <c r="E59" s="575">
        <f>'9.7.1. sz. mell TIB  '!C59+'9.7.2. sz. mell TIB'!C59</f>
        <v>102247250</v>
      </c>
      <c r="F59" s="575">
        <f t="shared" si="0"/>
        <v>0</v>
      </c>
    </row>
    <row r="60" spans="1:6" ht="14.25" customHeight="1" thickBot="1" x14ac:dyDescent="0.25">
      <c r="C60" s="690"/>
      <c r="E60" s="575">
        <f>'9.7.1. sz. mell TIB  '!C60+'9.7.2. sz. mell TIB'!C60</f>
        <v>0</v>
      </c>
      <c r="F60" s="575">
        <f t="shared" si="0"/>
        <v>0</v>
      </c>
    </row>
    <row r="61" spans="1:6" ht="13.5" thickBot="1" x14ac:dyDescent="0.25">
      <c r="A61" s="102" t="s">
        <v>521</v>
      </c>
      <c r="B61" s="103"/>
      <c r="C61" s="691">
        <v>21</v>
      </c>
      <c r="E61" s="575" t="e">
        <f>'9.7.1. sz. mell TIB  '!C61+'9.7.2. sz. mell TIB'!#REF!</f>
        <v>#REF!</v>
      </c>
      <c r="F61" s="575" t="e">
        <f t="shared" si="0"/>
        <v>#REF!</v>
      </c>
    </row>
    <row r="62" spans="1:6" x14ac:dyDescent="0.2">
      <c r="E62" s="575"/>
      <c r="F62" s="575"/>
    </row>
    <row r="63" spans="1:6" x14ac:dyDescent="0.2">
      <c r="E63" s="575"/>
      <c r="F63" s="57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topLeftCell="A46" zoomScale="145" zoomScaleNormal="145" workbookViewId="0">
      <selection activeCell="C48" sqref="C48:C49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490" t="str">
        <f>CONCATENATE("27. melléklet"," ",ALAPADATOK!A7," ",ALAPADATOK!B7," ",ALAPADATOK!C7," ",ALAPADATOK!D7," ",ALAPADATOK!E7," ",ALAPADATOK!F7," ",ALAPADATOK!G7," ",ALAPADATOK!H7)</f>
        <v>27. melléklet a 21 / 2020. ( IX.25. ) önkormányzati rendelethez</v>
      </c>
      <c r="B1" s="1490"/>
      <c r="C1" s="1490"/>
    </row>
    <row r="2" spans="1:3" s="81" customFormat="1" ht="21" customHeight="1" thickBot="1" x14ac:dyDescent="0.25">
      <c r="A2" s="80"/>
      <c r="B2" s="82"/>
      <c r="C2" s="374"/>
    </row>
    <row r="3" spans="1:3" s="226" customFormat="1" ht="36" customHeight="1" x14ac:dyDescent="0.2">
      <c r="A3" s="183" t="s">
        <v>167</v>
      </c>
      <c r="B3" s="162" t="s">
        <v>537</v>
      </c>
      <c r="C3" s="375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6" t="s">
        <v>55</v>
      </c>
    </row>
    <row r="5" spans="1:3" s="227" customFormat="1" ht="15.95" customHeight="1" thickBot="1" x14ac:dyDescent="0.3">
      <c r="A5" s="84"/>
      <c r="B5" s="84"/>
      <c r="C5" s="377" t="s">
        <v>556</v>
      </c>
    </row>
    <row r="6" spans="1:3" ht="13.5" thickBot="1" x14ac:dyDescent="0.25">
      <c r="A6" s="184" t="s">
        <v>168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79" t="s">
        <v>449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523</v>
      </c>
      <c r="C9" s="674">
        <f>SUM(C10:C20)</f>
        <v>1010766</v>
      </c>
    </row>
    <row r="10" spans="1:3" s="177" customFormat="1" ht="12" customHeight="1" x14ac:dyDescent="0.2">
      <c r="A10" s="220" t="s">
        <v>100</v>
      </c>
      <c r="B10" s="7" t="s">
        <v>223</v>
      </c>
      <c r="C10" s="675"/>
    </row>
    <row r="11" spans="1:3" s="177" customFormat="1" ht="12" customHeight="1" x14ac:dyDescent="0.2">
      <c r="A11" s="221" t="s">
        <v>101</v>
      </c>
      <c r="B11" s="5" t="s">
        <v>224</v>
      </c>
      <c r="C11" s="676"/>
    </row>
    <row r="12" spans="1:3" s="177" customFormat="1" ht="12" customHeight="1" x14ac:dyDescent="0.2">
      <c r="A12" s="221" t="s">
        <v>102</v>
      </c>
      <c r="B12" s="5" t="s">
        <v>225</v>
      </c>
      <c r="C12" s="676"/>
    </row>
    <row r="13" spans="1:3" s="177" customFormat="1" ht="12" customHeight="1" x14ac:dyDescent="0.2">
      <c r="A13" s="221" t="s">
        <v>103</v>
      </c>
      <c r="B13" s="5" t="s">
        <v>226</v>
      </c>
      <c r="C13" s="676"/>
    </row>
    <row r="14" spans="1:3" s="177" customFormat="1" ht="12" customHeight="1" x14ac:dyDescent="0.2">
      <c r="A14" s="221" t="s">
        <v>126</v>
      </c>
      <c r="B14" s="5" t="s">
        <v>227</v>
      </c>
      <c r="C14" s="676">
        <f>1382012-371246</f>
        <v>1010766</v>
      </c>
    </row>
    <row r="15" spans="1:3" s="177" customFormat="1" ht="12" customHeight="1" x14ac:dyDescent="0.2">
      <c r="A15" s="221" t="s">
        <v>104</v>
      </c>
      <c r="B15" s="5" t="s">
        <v>348</v>
      </c>
      <c r="C15" s="676"/>
    </row>
    <row r="16" spans="1:3" s="177" customFormat="1" ht="12" customHeight="1" x14ac:dyDescent="0.2">
      <c r="A16" s="221" t="s">
        <v>105</v>
      </c>
      <c r="B16" s="4" t="s">
        <v>349</v>
      </c>
      <c r="C16" s="676"/>
    </row>
    <row r="17" spans="1:3" s="177" customFormat="1" ht="12" customHeight="1" x14ac:dyDescent="0.2">
      <c r="A17" s="221" t="s">
        <v>115</v>
      </c>
      <c r="B17" s="5" t="s">
        <v>230</v>
      </c>
      <c r="C17" s="677"/>
    </row>
    <row r="18" spans="1:3" s="229" customFormat="1" ht="12" customHeight="1" x14ac:dyDescent="0.2">
      <c r="A18" s="221" t="s">
        <v>116</v>
      </c>
      <c r="B18" s="5" t="s">
        <v>231</v>
      </c>
      <c r="C18" s="676"/>
    </row>
    <row r="19" spans="1:3" s="229" customFormat="1" ht="12" customHeight="1" x14ac:dyDescent="0.2">
      <c r="A19" s="221" t="s">
        <v>117</v>
      </c>
      <c r="B19" s="5" t="s">
        <v>453</v>
      </c>
      <c r="C19" s="678"/>
    </row>
    <row r="20" spans="1:3" s="229" customFormat="1" ht="12" customHeight="1" thickBot="1" x14ac:dyDescent="0.25">
      <c r="A20" s="221" t="s">
        <v>118</v>
      </c>
      <c r="B20" s="4" t="s">
        <v>232</v>
      </c>
      <c r="C20" s="678"/>
    </row>
    <row r="21" spans="1:3" s="177" customFormat="1" ht="12" customHeight="1" thickBot="1" x14ac:dyDescent="0.25">
      <c r="A21" s="74" t="s">
        <v>22</v>
      </c>
      <c r="B21" s="91" t="s">
        <v>350</v>
      </c>
      <c r="C21" s="674">
        <f>SUM(C22:C24)</f>
        <v>358859</v>
      </c>
    </row>
    <row r="22" spans="1:3" s="229" customFormat="1" ht="12" customHeight="1" x14ac:dyDescent="0.2">
      <c r="A22" s="221" t="s">
        <v>106</v>
      </c>
      <c r="B22" s="6" t="s">
        <v>201</v>
      </c>
      <c r="C22" s="679"/>
    </row>
    <row r="23" spans="1:3" s="229" customFormat="1" ht="12" customHeight="1" x14ac:dyDescent="0.2">
      <c r="A23" s="221" t="s">
        <v>107</v>
      </c>
      <c r="B23" s="5" t="s">
        <v>351</v>
      </c>
      <c r="C23" s="676"/>
    </row>
    <row r="24" spans="1:3" s="229" customFormat="1" ht="12" customHeight="1" x14ac:dyDescent="0.2">
      <c r="A24" s="221" t="s">
        <v>108</v>
      </c>
      <c r="B24" s="5" t="s">
        <v>352</v>
      </c>
      <c r="C24" s="680">
        <v>358859</v>
      </c>
    </row>
    <row r="25" spans="1:3" s="229" customFormat="1" ht="12" customHeight="1" thickBot="1" x14ac:dyDescent="0.25">
      <c r="A25" s="221" t="s">
        <v>109</v>
      </c>
      <c r="B25" s="5" t="s">
        <v>524</v>
      </c>
      <c r="C25" s="676">
        <v>358859</v>
      </c>
    </row>
    <row r="26" spans="1:3" s="229" customFormat="1" ht="12" customHeight="1" thickBot="1" x14ac:dyDescent="0.25">
      <c r="A26" s="77" t="s">
        <v>23</v>
      </c>
      <c r="B26" s="57" t="s">
        <v>140</v>
      </c>
      <c r="C26" s="681"/>
    </row>
    <row r="27" spans="1:3" s="229" customFormat="1" ht="12" customHeight="1" thickBot="1" x14ac:dyDescent="0.25">
      <c r="A27" s="77" t="s">
        <v>24</v>
      </c>
      <c r="B27" s="57" t="s">
        <v>525</v>
      </c>
      <c r="C27" s="674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2"/>
    </row>
    <row r="29" spans="1:3" s="229" customFormat="1" ht="12" customHeight="1" x14ac:dyDescent="0.2">
      <c r="A29" s="222" t="s">
        <v>214</v>
      </c>
      <c r="B29" s="223" t="s">
        <v>351</v>
      </c>
      <c r="C29" s="679"/>
    </row>
    <row r="30" spans="1:3" s="229" customFormat="1" ht="12" customHeight="1" x14ac:dyDescent="0.2">
      <c r="A30" s="222" t="s">
        <v>215</v>
      </c>
      <c r="B30" s="224" t="s">
        <v>353</v>
      </c>
      <c r="C30" s="679"/>
    </row>
    <row r="31" spans="1:3" s="229" customFormat="1" ht="12" customHeight="1" thickBot="1" x14ac:dyDescent="0.25">
      <c r="A31" s="221" t="s">
        <v>216</v>
      </c>
      <c r="B31" s="60" t="s">
        <v>526</v>
      </c>
      <c r="C31" s="683"/>
    </row>
    <row r="32" spans="1:3" s="229" customFormat="1" ht="12" customHeight="1" thickBot="1" x14ac:dyDescent="0.25">
      <c r="A32" s="77" t="s">
        <v>25</v>
      </c>
      <c r="B32" s="57" t="s">
        <v>354</v>
      </c>
      <c r="C32" s="674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2"/>
    </row>
    <row r="34" spans="1:3" s="229" customFormat="1" ht="12" customHeight="1" x14ac:dyDescent="0.2">
      <c r="A34" s="222" t="s">
        <v>94</v>
      </c>
      <c r="B34" s="224" t="s">
        <v>238</v>
      </c>
      <c r="C34" s="677"/>
    </row>
    <row r="35" spans="1:3" s="177" customFormat="1" ht="12" customHeight="1" thickBot="1" x14ac:dyDescent="0.25">
      <c r="A35" s="221" t="s">
        <v>95</v>
      </c>
      <c r="B35" s="60" t="s">
        <v>239</v>
      </c>
      <c r="C35" s="683"/>
    </row>
    <row r="36" spans="1:3" s="177" customFormat="1" ht="12" customHeight="1" thickBot="1" x14ac:dyDescent="0.25">
      <c r="A36" s="77" t="s">
        <v>26</v>
      </c>
      <c r="B36" s="57" t="s">
        <v>325</v>
      </c>
      <c r="C36" s="681"/>
    </row>
    <row r="37" spans="1:3" s="177" customFormat="1" ht="12" customHeight="1" thickBot="1" x14ac:dyDescent="0.25">
      <c r="A37" s="77" t="s">
        <v>27</v>
      </c>
      <c r="B37" s="57" t="s">
        <v>355</v>
      </c>
      <c r="C37" s="684"/>
    </row>
    <row r="38" spans="1:3" s="177" customFormat="1" ht="12" customHeight="1" thickBot="1" x14ac:dyDescent="0.25">
      <c r="A38" s="74" t="s">
        <v>28</v>
      </c>
      <c r="B38" s="57" t="s">
        <v>356</v>
      </c>
      <c r="C38" s="685">
        <f>+C9+C21+C26+C27+C32+C36+C37</f>
        <v>1369625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198">
        <f>+C40+C41+C42</f>
        <v>100877625</v>
      </c>
    </row>
    <row r="40" spans="1:3" s="177" customFormat="1" ht="12" customHeight="1" x14ac:dyDescent="0.2">
      <c r="A40" s="222" t="s">
        <v>358</v>
      </c>
      <c r="B40" s="223" t="s">
        <v>182</v>
      </c>
      <c r="C40" s="682">
        <v>820681</v>
      </c>
    </row>
    <row r="41" spans="1:3" s="229" customFormat="1" ht="12" customHeight="1" x14ac:dyDescent="0.2">
      <c r="A41" s="222" t="s">
        <v>359</v>
      </c>
      <c r="B41" s="224" t="s">
        <v>9</v>
      </c>
      <c r="C41" s="677"/>
    </row>
    <row r="42" spans="1:3" s="229" customFormat="1" ht="15" customHeight="1" thickBot="1" x14ac:dyDescent="0.25">
      <c r="A42" s="221" t="s">
        <v>360</v>
      </c>
      <c r="B42" s="60" t="s">
        <v>361</v>
      </c>
      <c r="C42" s="683">
        <f>97939593+640498+1160572-812674+1128955</f>
        <v>100056944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1198">
        <f>+C38+C39</f>
        <v>102247250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363</v>
      </c>
      <c r="C47" s="1197">
        <f>SUM(C48:C52)</f>
        <v>101636400</v>
      </c>
    </row>
    <row r="48" spans="1:3" ht="12" customHeight="1" x14ac:dyDescent="0.2">
      <c r="A48" s="221" t="s">
        <v>100</v>
      </c>
      <c r="B48" s="6" t="s">
        <v>51</v>
      </c>
      <c r="C48" s="682">
        <f>71236352+545105+826870+977450</f>
        <v>73585777</v>
      </c>
    </row>
    <row r="49" spans="1:3" ht="12" customHeight="1" x14ac:dyDescent="0.2">
      <c r="A49" s="221" t="s">
        <v>101</v>
      </c>
      <c r="B49" s="5" t="s">
        <v>149</v>
      </c>
      <c r="C49" s="676">
        <f>12731399+95393+144702+151505</f>
        <v>13122999</v>
      </c>
    </row>
    <row r="50" spans="1:3" ht="12" customHeight="1" x14ac:dyDescent="0.2">
      <c r="A50" s="221" t="s">
        <v>102</v>
      </c>
      <c r="B50" s="5" t="s">
        <v>125</v>
      </c>
      <c r="C50" s="676">
        <f>15922544+189000-45500+45500-1183920</f>
        <v>14927624</v>
      </c>
    </row>
    <row r="51" spans="1:3" ht="12" customHeight="1" x14ac:dyDescent="0.2">
      <c r="A51" s="221" t="s">
        <v>103</v>
      </c>
      <c r="B51" s="5" t="s">
        <v>150</v>
      </c>
      <c r="C51" s="676"/>
    </row>
    <row r="52" spans="1:3" ht="12" customHeight="1" thickBot="1" x14ac:dyDescent="0.25">
      <c r="A52" s="221" t="s">
        <v>126</v>
      </c>
      <c r="B52" s="5" t="s">
        <v>151</v>
      </c>
      <c r="C52" s="676"/>
    </row>
    <row r="53" spans="1:3" s="230" customFormat="1" ht="12" customHeight="1" thickBot="1" x14ac:dyDescent="0.25">
      <c r="A53" s="77" t="s">
        <v>22</v>
      </c>
      <c r="B53" s="57" t="s">
        <v>364</v>
      </c>
      <c r="C53" s="674">
        <f>SUM(C54:C56)</f>
        <v>610850</v>
      </c>
    </row>
    <row r="54" spans="1:3" ht="12" customHeight="1" x14ac:dyDescent="0.2">
      <c r="A54" s="221" t="s">
        <v>106</v>
      </c>
      <c r="B54" s="6" t="s">
        <v>173</v>
      </c>
      <c r="C54" s="682">
        <v>610850</v>
      </c>
    </row>
    <row r="55" spans="1:3" ht="12" customHeight="1" x14ac:dyDescent="0.2">
      <c r="A55" s="221" t="s">
        <v>107</v>
      </c>
      <c r="B55" s="5" t="s">
        <v>153</v>
      </c>
      <c r="C55" s="676"/>
    </row>
    <row r="56" spans="1:3" ht="12" customHeight="1" x14ac:dyDescent="0.2">
      <c r="A56" s="221" t="s">
        <v>108</v>
      </c>
      <c r="B56" s="5" t="s">
        <v>60</v>
      </c>
      <c r="C56" s="676"/>
    </row>
    <row r="57" spans="1:3" ht="15" customHeight="1" thickBot="1" x14ac:dyDescent="0.25">
      <c r="A57" s="221" t="s">
        <v>109</v>
      </c>
      <c r="B57" s="5" t="s">
        <v>527</v>
      </c>
      <c r="C57" s="676"/>
    </row>
    <row r="58" spans="1:3" ht="13.5" thickBot="1" x14ac:dyDescent="0.25">
      <c r="A58" s="77" t="s">
        <v>23</v>
      </c>
      <c r="B58" s="57" t="s">
        <v>15</v>
      </c>
      <c r="C58" s="681"/>
    </row>
    <row r="59" spans="1:3" ht="15" customHeight="1" thickBot="1" x14ac:dyDescent="0.25">
      <c r="A59" s="77" t="s">
        <v>24</v>
      </c>
      <c r="B59" s="100" t="s">
        <v>528</v>
      </c>
      <c r="C59" s="1197">
        <f>+C47+C53+C58</f>
        <v>102247250</v>
      </c>
    </row>
    <row r="60" spans="1:3" ht="14.25" customHeight="1" thickBot="1" x14ac:dyDescent="0.25">
      <c r="C60" s="690"/>
    </row>
    <row r="61" spans="1:3" ht="13.5" thickBot="1" x14ac:dyDescent="0.25">
      <c r="A61" s="102" t="s">
        <v>521</v>
      </c>
      <c r="B61" s="103"/>
      <c r="C61" s="691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0"/>
  <sheetViews>
    <sheetView topLeftCell="A43" workbookViewId="0">
      <selection activeCell="E13" sqref="E13"/>
    </sheetView>
  </sheetViews>
  <sheetFormatPr defaultRowHeight="12.75" x14ac:dyDescent="0.2"/>
  <cols>
    <col min="1" max="1" width="13.83203125" style="1005" customWidth="1"/>
    <col min="2" max="2" width="79.1640625" style="1005" customWidth="1"/>
    <col min="3" max="3" width="25" style="1005" customWidth="1"/>
    <col min="4" max="16384" width="9.33203125" style="1005"/>
  </cols>
  <sheetData>
    <row r="1" spans="1:3" x14ac:dyDescent="0.2">
      <c r="A1" s="1491" t="str">
        <f>CONCATENATE("9.7.2. melléklet ",[2]ALAPADATOK!A7," ",[2]ALAPADATOK!B7," ",[2]ALAPADATOK!C7," ",[2]ALAPADATOK!D7," ",[2]ALAPADATOK!E7," ",[2]ALAPADATOK!F7," ",[2]ALAPADATOK!G7," ",[2]ALAPADATOK!H7)</f>
        <v>9.7.2. melléklet a 14. / 2020. ( V.28. ) önkormányzati rendelethez</v>
      </c>
      <c r="B1" s="1491"/>
      <c r="C1" s="1491"/>
    </row>
    <row r="2" spans="1:3" ht="16.5" thickBot="1" x14ac:dyDescent="0.25">
      <c r="A2" s="80"/>
      <c r="B2" s="82"/>
      <c r="C2" s="225"/>
    </row>
    <row r="3" spans="1:3" ht="36" x14ac:dyDescent="0.2">
      <c r="A3" s="183" t="s">
        <v>167</v>
      </c>
      <c r="B3" s="162" t="s">
        <v>537</v>
      </c>
      <c r="C3" s="175" t="s">
        <v>63</v>
      </c>
    </row>
    <row r="4" spans="1:3" ht="24.75" thickBot="1" x14ac:dyDescent="0.25">
      <c r="A4" s="219" t="s">
        <v>166</v>
      </c>
      <c r="B4" s="163" t="s">
        <v>366</v>
      </c>
      <c r="C4" s="176" t="s">
        <v>62</v>
      </c>
    </row>
    <row r="5" spans="1:3" ht="14.25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ht="13.5" thickBot="1" x14ac:dyDescent="0.25">
      <c r="A7" s="74" t="s">
        <v>447</v>
      </c>
      <c r="B7" s="75" t="s">
        <v>448</v>
      </c>
      <c r="C7" s="76" t="s">
        <v>449</v>
      </c>
    </row>
    <row r="8" spans="1:3" ht="13.5" thickBot="1" x14ac:dyDescent="0.25">
      <c r="A8" s="88"/>
      <c r="B8" s="89" t="s">
        <v>58</v>
      </c>
      <c r="C8" s="90"/>
    </row>
    <row r="9" spans="1:3" ht="13.5" thickBot="1" x14ac:dyDescent="0.25">
      <c r="A9" s="74" t="s">
        <v>21</v>
      </c>
      <c r="B9" s="91" t="s">
        <v>523</v>
      </c>
      <c r="C9" s="1197">
        <f>SUM(C10:C20)</f>
        <v>0</v>
      </c>
    </row>
    <row r="10" spans="1:3" x14ac:dyDescent="0.2">
      <c r="A10" s="220" t="s">
        <v>100</v>
      </c>
      <c r="B10" s="7" t="s">
        <v>223</v>
      </c>
      <c r="C10" s="167"/>
    </row>
    <row r="11" spans="1:3" x14ac:dyDescent="0.2">
      <c r="A11" s="221" t="s">
        <v>101</v>
      </c>
      <c r="B11" s="5" t="s">
        <v>224</v>
      </c>
      <c r="C11" s="129"/>
    </row>
    <row r="12" spans="1:3" x14ac:dyDescent="0.2">
      <c r="A12" s="221" t="s">
        <v>102</v>
      </c>
      <c r="B12" s="5" t="s">
        <v>225</v>
      </c>
      <c r="C12" s="129"/>
    </row>
    <row r="13" spans="1:3" x14ac:dyDescent="0.2">
      <c r="A13" s="221" t="s">
        <v>103</v>
      </c>
      <c r="B13" s="5" t="s">
        <v>226</v>
      </c>
      <c r="C13" s="129"/>
    </row>
    <row r="14" spans="1:3" x14ac:dyDescent="0.2">
      <c r="A14" s="221" t="s">
        <v>126</v>
      </c>
      <c r="B14" s="5" t="s">
        <v>227</v>
      </c>
      <c r="C14" s="129"/>
    </row>
    <row r="15" spans="1:3" x14ac:dyDescent="0.2">
      <c r="A15" s="221" t="s">
        <v>104</v>
      </c>
      <c r="B15" s="5" t="s">
        <v>348</v>
      </c>
      <c r="C15" s="129"/>
    </row>
    <row r="16" spans="1:3" x14ac:dyDescent="0.2">
      <c r="A16" s="221" t="s">
        <v>105</v>
      </c>
      <c r="B16" s="4" t="s">
        <v>349</v>
      </c>
      <c r="C16" s="129"/>
    </row>
    <row r="17" spans="1:3" x14ac:dyDescent="0.2">
      <c r="A17" s="221" t="s">
        <v>115</v>
      </c>
      <c r="B17" s="5" t="s">
        <v>230</v>
      </c>
      <c r="C17" s="168"/>
    </row>
    <row r="18" spans="1:3" x14ac:dyDescent="0.2">
      <c r="A18" s="221" t="s">
        <v>116</v>
      </c>
      <c r="B18" s="5" t="s">
        <v>231</v>
      </c>
      <c r="C18" s="129"/>
    </row>
    <row r="19" spans="1:3" x14ac:dyDescent="0.2">
      <c r="A19" s="221" t="s">
        <v>117</v>
      </c>
      <c r="B19" s="5" t="s">
        <v>453</v>
      </c>
      <c r="C19" s="130"/>
    </row>
    <row r="20" spans="1:3" ht="13.5" thickBot="1" x14ac:dyDescent="0.25">
      <c r="A20" s="221" t="s">
        <v>118</v>
      </c>
      <c r="B20" s="4" t="s">
        <v>232</v>
      </c>
      <c r="C20" s="130"/>
    </row>
    <row r="21" spans="1:3" ht="13.5" thickBot="1" x14ac:dyDescent="0.25">
      <c r="A21" s="74" t="s">
        <v>22</v>
      </c>
      <c r="B21" s="91" t="s">
        <v>350</v>
      </c>
      <c r="C21" s="1197">
        <f>SUM(C22:C24)</f>
        <v>0</v>
      </c>
    </row>
    <row r="22" spans="1:3" x14ac:dyDescent="0.2">
      <c r="A22" s="221" t="s">
        <v>106</v>
      </c>
      <c r="B22" s="6" t="s">
        <v>201</v>
      </c>
      <c r="C22" s="129"/>
    </row>
    <row r="23" spans="1:3" x14ac:dyDescent="0.2">
      <c r="A23" s="221" t="s">
        <v>107</v>
      </c>
      <c r="B23" s="5" t="s">
        <v>351</v>
      </c>
      <c r="C23" s="129"/>
    </row>
    <row r="24" spans="1:3" x14ac:dyDescent="0.2">
      <c r="A24" s="221" t="s">
        <v>108</v>
      </c>
      <c r="B24" s="5" t="s">
        <v>352</v>
      </c>
      <c r="C24" s="129"/>
    </row>
    <row r="25" spans="1:3" ht="13.5" thickBot="1" x14ac:dyDescent="0.25">
      <c r="A25" s="221" t="s">
        <v>109</v>
      </c>
      <c r="B25" s="5" t="s">
        <v>532</v>
      </c>
      <c r="C25" s="129"/>
    </row>
    <row r="26" spans="1:3" ht="13.5" thickBot="1" x14ac:dyDescent="0.25">
      <c r="A26" s="77" t="s">
        <v>23</v>
      </c>
      <c r="B26" s="57" t="s">
        <v>140</v>
      </c>
      <c r="C26" s="152"/>
    </row>
    <row r="27" spans="1:3" ht="13.5" thickBot="1" x14ac:dyDescent="0.25">
      <c r="A27" s="77" t="s">
        <v>24</v>
      </c>
      <c r="B27" s="57" t="s">
        <v>533</v>
      </c>
      <c r="C27" s="1197">
        <f>+C28+C29</f>
        <v>0</v>
      </c>
    </row>
    <row r="28" spans="1:3" x14ac:dyDescent="0.2">
      <c r="A28" s="222" t="s">
        <v>211</v>
      </c>
      <c r="B28" s="223" t="s">
        <v>351</v>
      </c>
      <c r="C28" s="1194"/>
    </row>
    <row r="29" spans="1:3" x14ac:dyDescent="0.2">
      <c r="A29" s="222" t="s">
        <v>214</v>
      </c>
      <c r="B29" s="224" t="s">
        <v>353</v>
      </c>
      <c r="C29" s="132"/>
    </row>
    <row r="30" spans="1:3" ht="13.5" thickBot="1" x14ac:dyDescent="0.25">
      <c r="A30" s="221" t="s">
        <v>215</v>
      </c>
      <c r="B30" s="60" t="s">
        <v>534</v>
      </c>
      <c r="C30" s="1196"/>
    </row>
    <row r="31" spans="1:3" ht="13.5" thickBot="1" x14ac:dyDescent="0.25">
      <c r="A31" s="77" t="s">
        <v>25</v>
      </c>
      <c r="B31" s="57" t="s">
        <v>354</v>
      </c>
      <c r="C31" s="1197">
        <f>+C32+C33+C34</f>
        <v>0</v>
      </c>
    </row>
    <row r="32" spans="1:3" x14ac:dyDescent="0.2">
      <c r="A32" s="222" t="s">
        <v>93</v>
      </c>
      <c r="B32" s="223" t="s">
        <v>237</v>
      </c>
      <c r="C32" s="1194"/>
    </row>
    <row r="33" spans="1:3" x14ac:dyDescent="0.2">
      <c r="A33" s="222" t="s">
        <v>94</v>
      </c>
      <c r="B33" s="224" t="s">
        <v>238</v>
      </c>
      <c r="C33" s="132"/>
    </row>
    <row r="34" spans="1:3" ht="13.5" thickBot="1" x14ac:dyDescent="0.25">
      <c r="A34" s="221" t="s">
        <v>95</v>
      </c>
      <c r="B34" s="60" t="s">
        <v>239</v>
      </c>
      <c r="C34" s="1196"/>
    </row>
    <row r="35" spans="1:3" ht="13.5" thickBot="1" x14ac:dyDescent="0.25">
      <c r="A35" s="77" t="s">
        <v>26</v>
      </c>
      <c r="B35" s="57" t="s">
        <v>325</v>
      </c>
      <c r="C35" s="152"/>
    </row>
    <row r="36" spans="1:3" ht="13.5" thickBot="1" x14ac:dyDescent="0.25">
      <c r="A36" s="77" t="s">
        <v>27</v>
      </c>
      <c r="B36" s="57" t="s">
        <v>355</v>
      </c>
      <c r="C36" s="169"/>
    </row>
    <row r="37" spans="1:3" ht="13.5" thickBot="1" x14ac:dyDescent="0.25">
      <c r="A37" s="74" t="s">
        <v>28</v>
      </c>
      <c r="B37" s="57" t="s">
        <v>535</v>
      </c>
      <c r="C37" s="1198">
        <f>+C9+C21+C26+C27+C31+C35+C36</f>
        <v>0</v>
      </c>
    </row>
    <row r="38" spans="1:3" ht="13.5" thickBot="1" x14ac:dyDescent="0.25">
      <c r="A38" s="92" t="s">
        <v>29</v>
      </c>
      <c r="B38" s="57" t="s">
        <v>357</v>
      </c>
      <c r="C38" s="1198">
        <f>+C39+C40+C41</f>
        <v>0</v>
      </c>
    </row>
    <row r="39" spans="1:3" x14ac:dyDescent="0.2">
      <c r="A39" s="222" t="s">
        <v>358</v>
      </c>
      <c r="B39" s="223" t="s">
        <v>182</v>
      </c>
      <c r="C39" s="1194"/>
    </row>
    <row r="40" spans="1:3" x14ac:dyDescent="0.2">
      <c r="A40" s="222" t="s">
        <v>359</v>
      </c>
      <c r="B40" s="224" t="s">
        <v>9</v>
      </c>
      <c r="C40" s="132"/>
    </row>
    <row r="41" spans="1:3" ht="13.5" thickBot="1" x14ac:dyDescent="0.25">
      <c r="A41" s="221" t="s">
        <v>360</v>
      </c>
      <c r="B41" s="60" t="s">
        <v>361</v>
      </c>
      <c r="C41" s="1196"/>
    </row>
    <row r="42" spans="1:3" ht="13.5" thickBot="1" x14ac:dyDescent="0.25">
      <c r="A42" s="92" t="s">
        <v>30</v>
      </c>
      <c r="B42" s="93" t="s">
        <v>362</v>
      </c>
      <c r="C42" s="172">
        <f>+C37+C38</f>
        <v>0</v>
      </c>
    </row>
    <row r="43" spans="1:3" x14ac:dyDescent="0.2">
      <c r="A43" s="94"/>
      <c r="B43" s="95"/>
      <c r="C43" s="170"/>
    </row>
    <row r="44" spans="1:3" ht="13.5" thickBot="1" x14ac:dyDescent="0.25">
      <c r="A44" s="96"/>
      <c r="B44" s="97"/>
      <c r="C44" s="171"/>
    </row>
    <row r="45" spans="1:3" ht="13.5" thickBot="1" x14ac:dyDescent="0.25">
      <c r="A45" s="98"/>
      <c r="B45" s="99" t="s">
        <v>59</v>
      </c>
      <c r="C45" s="172"/>
    </row>
    <row r="46" spans="1:3" ht="13.5" thickBot="1" x14ac:dyDescent="0.25">
      <c r="A46" s="77" t="s">
        <v>21</v>
      </c>
      <c r="B46" s="57" t="s">
        <v>363</v>
      </c>
      <c r="C46" s="1197">
        <f>SUM(C47:C51)</f>
        <v>0</v>
      </c>
    </row>
    <row r="47" spans="1:3" x14ac:dyDescent="0.2">
      <c r="A47" s="221" t="s">
        <v>100</v>
      </c>
      <c r="B47" s="6" t="s">
        <v>51</v>
      </c>
      <c r="C47" s="1194"/>
    </row>
    <row r="48" spans="1:3" x14ac:dyDescent="0.2">
      <c r="A48" s="221" t="s">
        <v>101</v>
      </c>
      <c r="B48" s="5" t="s">
        <v>149</v>
      </c>
      <c r="C48" s="1195"/>
    </row>
    <row r="49" spans="1:3" x14ac:dyDescent="0.2">
      <c r="A49" s="221" t="s">
        <v>102</v>
      </c>
      <c r="B49" s="5" t="s">
        <v>125</v>
      </c>
      <c r="C49" s="1195"/>
    </row>
    <row r="50" spans="1:3" x14ac:dyDescent="0.2">
      <c r="A50" s="221" t="s">
        <v>103</v>
      </c>
      <c r="B50" s="5" t="s">
        <v>150</v>
      </c>
      <c r="C50" s="1195"/>
    </row>
    <row r="51" spans="1:3" ht="13.5" thickBot="1" x14ac:dyDescent="0.25">
      <c r="A51" s="221" t="s">
        <v>126</v>
      </c>
      <c r="B51" s="5" t="s">
        <v>151</v>
      </c>
      <c r="C51" s="1195"/>
    </row>
    <row r="52" spans="1:3" ht="13.5" thickBot="1" x14ac:dyDescent="0.25">
      <c r="A52" s="77" t="s">
        <v>22</v>
      </c>
      <c r="B52" s="57" t="s">
        <v>364</v>
      </c>
      <c r="C52" s="1197">
        <f>SUM(C53:C55)</f>
        <v>0</v>
      </c>
    </row>
    <row r="53" spans="1:3" x14ac:dyDescent="0.2">
      <c r="A53" s="221" t="s">
        <v>106</v>
      </c>
      <c r="B53" s="6" t="s">
        <v>173</v>
      </c>
      <c r="C53" s="1194"/>
    </row>
    <row r="54" spans="1:3" x14ac:dyDescent="0.2">
      <c r="A54" s="221" t="s">
        <v>107</v>
      </c>
      <c r="B54" s="5" t="s">
        <v>153</v>
      </c>
      <c r="C54" s="1195"/>
    </row>
    <row r="55" spans="1:3" x14ac:dyDescent="0.2">
      <c r="A55" s="221" t="s">
        <v>108</v>
      </c>
      <c r="B55" s="5" t="s">
        <v>60</v>
      </c>
      <c r="C55" s="1195"/>
    </row>
    <row r="56" spans="1:3" ht="13.5" thickBot="1" x14ac:dyDescent="0.25">
      <c r="A56" s="221" t="s">
        <v>109</v>
      </c>
      <c r="B56" s="5" t="s">
        <v>527</v>
      </c>
      <c r="C56" s="1195"/>
    </row>
    <row r="57" spans="1:3" ht="13.5" thickBot="1" x14ac:dyDescent="0.25">
      <c r="A57" s="77" t="s">
        <v>23</v>
      </c>
      <c r="B57" s="57" t="s">
        <v>15</v>
      </c>
      <c r="C57" s="152"/>
    </row>
    <row r="58" spans="1:3" ht="13.5" thickBot="1" x14ac:dyDescent="0.25">
      <c r="A58" s="77" t="s">
        <v>24</v>
      </c>
      <c r="B58" s="100" t="s">
        <v>528</v>
      </c>
      <c r="C58" s="173">
        <f>+C46+C52+C57</f>
        <v>0</v>
      </c>
    </row>
    <row r="59" spans="1:3" ht="13.5" thickBot="1" x14ac:dyDescent="0.25">
      <c r="A59" s="101"/>
      <c r="B59" s="1013"/>
      <c r="C59" s="174"/>
    </row>
    <row r="60" spans="1:3" ht="13.5" thickBot="1" x14ac:dyDescent="0.25">
      <c r="A60" s="102" t="s">
        <v>521</v>
      </c>
      <c r="B60" s="103"/>
      <c r="C60" s="56"/>
    </row>
  </sheetData>
  <mergeCells count="1">
    <mergeCell ref="A1:C1"/>
  </mergeCells>
  <pageMargins left="0.7" right="0.7" top="0.75" bottom="0.75" header="0.3" footer="0.3"/>
  <pageSetup paperSize="9" scale="7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zoomScaleSheetLayoutView="115" zoomScalePageLayoutView="85" workbookViewId="0">
      <selection sqref="A1:K1"/>
    </sheetView>
  </sheetViews>
  <sheetFormatPr defaultColWidth="12.5" defaultRowHeight="12.75" x14ac:dyDescent="0.2"/>
  <cols>
    <col min="1" max="1" width="35.83203125" style="786" customWidth="1"/>
    <col min="2" max="2" width="12" style="786" customWidth="1"/>
    <col min="3" max="3" width="16" style="786" customWidth="1"/>
    <col min="4" max="4" width="15" style="800" customWidth="1"/>
    <col min="5" max="5" width="14" style="786" customWidth="1"/>
    <col min="6" max="6" width="13.6640625" style="786" customWidth="1"/>
    <col min="7" max="7" width="13.33203125" style="786" customWidth="1"/>
    <col min="8" max="8" width="14.1640625" style="786" customWidth="1"/>
    <col min="9" max="10" width="12" style="786" customWidth="1"/>
    <col min="11" max="11" width="14.83203125" style="800" customWidth="1"/>
    <col min="12" max="254" width="12.5" style="692"/>
    <col min="255" max="255" width="34" style="692" bestFit="1" customWidth="1"/>
    <col min="256" max="256" width="13" style="692" bestFit="1" customWidth="1"/>
    <col min="257" max="258" width="14.83203125" style="692" bestFit="1" customWidth="1"/>
    <col min="259" max="259" width="13.1640625" style="692" customWidth="1"/>
    <col min="260" max="261" width="13" style="692" bestFit="1" customWidth="1"/>
    <col min="262" max="262" width="12.83203125" style="692" customWidth="1"/>
    <col min="263" max="263" width="11.83203125" style="692" bestFit="1" customWidth="1"/>
    <col min="264" max="264" width="14.83203125" style="692" bestFit="1" customWidth="1"/>
    <col min="265" max="510" width="12.5" style="692"/>
    <col min="511" max="511" width="34" style="692" bestFit="1" customWidth="1"/>
    <col min="512" max="512" width="13" style="692" bestFit="1" customWidth="1"/>
    <col min="513" max="514" width="14.83203125" style="692" bestFit="1" customWidth="1"/>
    <col min="515" max="515" width="13.1640625" style="692" customWidth="1"/>
    <col min="516" max="517" width="13" style="692" bestFit="1" customWidth="1"/>
    <col min="518" max="518" width="12.83203125" style="692" customWidth="1"/>
    <col min="519" max="519" width="11.83203125" style="692" bestFit="1" customWidth="1"/>
    <col min="520" max="520" width="14.83203125" style="692" bestFit="1" customWidth="1"/>
    <col min="521" max="766" width="12.5" style="692"/>
    <col min="767" max="767" width="34" style="692" bestFit="1" customWidth="1"/>
    <col min="768" max="768" width="13" style="692" bestFit="1" customWidth="1"/>
    <col min="769" max="770" width="14.83203125" style="692" bestFit="1" customWidth="1"/>
    <col min="771" max="771" width="13.1640625" style="692" customWidth="1"/>
    <col min="772" max="773" width="13" style="692" bestFit="1" customWidth="1"/>
    <col min="774" max="774" width="12.83203125" style="692" customWidth="1"/>
    <col min="775" max="775" width="11.83203125" style="692" bestFit="1" customWidth="1"/>
    <col min="776" max="776" width="14.83203125" style="692" bestFit="1" customWidth="1"/>
    <col min="777" max="1022" width="12.5" style="692"/>
    <col min="1023" max="1023" width="34" style="692" bestFit="1" customWidth="1"/>
    <col min="1024" max="1024" width="13" style="692" bestFit="1" customWidth="1"/>
    <col min="1025" max="1026" width="14.83203125" style="692" bestFit="1" customWidth="1"/>
    <col min="1027" max="1027" width="13.1640625" style="692" customWidth="1"/>
    <col min="1028" max="1029" width="13" style="692" bestFit="1" customWidth="1"/>
    <col min="1030" max="1030" width="12.83203125" style="692" customWidth="1"/>
    <col min="1031" max="1031" width="11.83203125" style="692" bestFit="1" customWidth="1"/>
    <col min="1032" max="1032" width="14.83203125" style="692" bestFit="1" customWidth="1"/>
    <col min="1033" max="1278" width="12.5" style="692"/>
    <col min="1279" max="1279" width="34" style="692" bestFit="1" customWidth="1"/>
    <col min="1280" max="1280" width="13" style="692" bestFit="1" customWidth="1"/>
    <col min="1281" max="1282" width="14.83203125" style="692" bestFit="1" customWidth="1"/>
    <col min="1283" max="1283" width="13.1640625" style="692" customWidth="1"/>
    <col min="1284" max="1285" width="13" style="692" bestFit="1" customWidth="1"/>
    <col min="1286" max="1286" width="12.83203125" style="692" customWidth="1"/>
    <col min="1287" max="1287" width="11.83203125" style="692" bestFit="1" customWidth="1"/>
    <col min="1288" max="1288" width="14.83203125" style="692" bestFit="1" customWidth="1"/>
    <col min="1289" max="1534" width="12.5" style="692"/>
    <col min="1535" max="1535" width="34" style="692" bestFit="1" customWidth="1"/>
    <col min="1536" max="1536" width="13" style="692" bestFit="1" customWidth="1"/>
    <col min="1537" max="1538" width="14.83203125" style="692" bestFit="1" customWidth="1"/>
    <col min="1539" max="1539" width="13.1640625" style="692" customWidth="1"/>
    <col min="1540" max="1541" width="13" style="692" bestFit="1" customWidth="1"/>
    <col min="1542" max="1542" width="12.83203125" style="692" customWidth="1"/>
    <col min="1543" max="1543" width="11.83203125" style="692" bestFit="1" customWidth="1"/>
    <col min="1544" max="1544" width="14.83203125" style="692" bestFit="1" customWidth="1"/>
    <col min="1545" max="1790" width="12.5" style="692"/>
    <col min="1791" max="1791" width="34" style="692" bestFit="1" customWidth="1"/>
    <col min="1792" max="1792" width="13" style="692" bestFit="1" customWidth="1"/>
    <col min="1793" max="1794" width="14.83203125" style="692" bestFit="1" customWidth="1"/>
    <col min="1795" max="1795" width="13.1640625" style="692" customWidth="1"/>
    <col min="1796" max="1797" width="13" style="692" bestFit="1" customWidth="1"/>
    <col min="1798" max="1798" width="12.83203125" style="692" customWidth="1"/>
    <col min="1799" max="1799" width="11.83203125" style="692" bestFit="1" customWidth="1"/>
    <col min="1800" max="1800" width="14.83203125" style="692" bestFit="1" customWidth="1"/>
    <col min="1801" max="2046" width="12.5" style="692"/>
    <col min="2047" max="2047" width="34" style="692" bestFit="1" customWidth="1"/>
    <col min="2048" max="2048" width="13" style="692" bestFit="1" customWidth="1"/>
    <col min="2049" max="2050" width="14.83203125" style="692" bestFit="1" customWidth="1"/>
    <col min="2051" max="2051" width="13.1640625" style="692" customWidth="1"/>
    <col min="2052" max="2053" width="13" style="692" bestFit="1" customWidth="1"/>
    <col min="2054" max="2054" width="12.83203125" style="692" customWidth="1"/>
    <col min="2055" max="2055" width="11.83203125" style="692" bestFit="1" customWidth="1"/>
    <col min="2056" max="2056" width="14.83203125" style="692" bestFit="1" customWidth="1"/>
    <col min="2057" max="2302" width="12.5" style="692"/>
    <col min="2303" max="2303" width="34" style="692" bestFit="1" customWidth="1"/>
    <col min="2304" max="2304" width="13" style="692" bestFit="1" customWidth="1"/>
    <col min="2305" max="2306" width="14.83203125" style="692" bestFit="1" customWidth="1"/>
    <col min="2307" max="2307" width="13.1640625" style="692" customWidth="1"/>
    <col min="2308" max="2309" width="13" style="692" bestFit="1" customWidth="1"/>
    <col min="2310" max="2310" width="12.83203125" style="692" customWidth="1"/>
    <col min="2311" max="2311" width="11.83203125" style="692" bestFit="1" customWidth="1"/>
    <col min="2312" max="2312" width="14.83203125" style="692" bestFit="1" customWidth="1"/>
    <col min="2313" max="2558" width="12.5" style="692"/>
    <col min="2559" max="2559" width="34" style="692" bestFit="1" customWidth="1"/>
    <col min="2560" max="2560" width="13" style="692" bestFit="1" customWidth="1"/>
    <col min="2561" max="2562" width="14.83203125" style="692" bestFit="1" customWidth="1"/>
    <col min="2563" max="2563" width="13.1640625" style="692" customWidth="1"/>
    <col min="2564" max="2565" width="13" style="692" bestFit="1" customWidth="1"/>
    <col min="2566" max="2566" width="12.83203125" style="692" customWidth="1"/>
    <col min="2567" max="2567" width="11.83203125" style="692" bestFit="1" customWidth="1"/>
    <col min="2568" max="2568" width="14.83203125" style="692" bestFit="1" customWidth="1"/>
    <col min="2569" max="2814" width="12.5" style="692"/>
    <col min="2815" max="2815" width="34" style="692" bestFit="1" customWidth="1"/>
    <col min="2816" max="2816" width="13" style="692" bestFit="1" customWidth="1"/>
    <col min="2817" max="2818" width="14.83203125" style="692" bestFit="1" customWidth="1"/>
    <col min="2819" max="2819" width="13.1640625" style="692" customWidth="1"/>
    <col min="2820" max="2821" width="13" style="692" bestFit="1" customWidth="1"/>
    <col min="2822" max="2822" width="12.83203125" style="692" customWidth="1"/>
    <col min="2823" max="2823" width="11.83203125" style="692" bestFit="1" customWidth="1"/>
    <col min="2824" max="2824" width="14.83203125" style="692" bestFit="1" customWidth="1"/>
    <col min="2825" max="3070" width="12.5" style="692"/>
    <col min="3071" max="3071" width="34" style="692" bestFit="1" customWidth="1"/>
    <col min="3072" max="3072" width="13" style="692" bestFit="1" customWidth="1"/>
    <col min="3073" max="3074" width="14.83203125" style="692" bestFit="1" customWidth="1"/>
    <col min="3075" max="3075" width="13.1640625" style="692" customWidth="1"/>
    <col min="3076" max="3077" width="13" style="692" bestFit="1" customWidth="1"/>
    <col min="3078" max="3078" width="12.83203125" style="692" customWidth="1"/>
    <col min="3079" max="3079" width="11.83203125" style="692" bestFit="1" customWidth="1"/>
    <col min="3080" max="3080" width="14.83203125" style="692" bestFit="1" customWidth="1"/>
    <col min="3081" max="3326" width="12.5" style="692"/>
    <col min="3327" max="3327" width="34" style="692" bestFit="1" customWidth="1"/>
    <col min="3328" max="3328" width="13" style="692" bestFit="1" customWidth="1"/>
    <col min="3329" max="3330" width="14.83203125" style="692" bestFit="1" customWidth="1"/>
    <col min="3331" max="3331" width="13.1640625" style="692" customWidth="1"/>
    <col min="3332" max="3333" width="13" style="692" bestFit="1" customWidth="1"/>
    <col min="3334" max="3334" width="12.83203125" style="692" customWidth="1"/>
    <col min="3335" max="3335" width="11.83203125" style="692" bestFit="1" customWidth="1"/>
    <col min="3336" max="3336" width="14.83203125" style="692" bestFit="1" customWidth="1"/>
    <col min="3337" max="3582" width="12.5" style="692"/>
    <col min="3583" max="3583" width="34" style="692" bestFit="1" customWidth="1"/>
    <col min="3584" max="3584" width="13" style="692" bestFit="1" customWidth="1"/>
    <col min="3585" max="3586" width="14.83203125" style="692" bestFit="1" customWidth="1"/>
    <col min="3587" max="3587" width="13.1640625" style="692" customWidth="1"/>
    <col min="3588" max="3589" width="13" style="692" bestFit="1" customWidth="1"/>
    <col min="3590" max="3590" width="12.83203125" style="692" customWidth="1"/>
    <col min="3591" max="3591" width="11.83203125" style="692" bestFit="1" customWidth="1"/>
    <col min="3592" max="3592" width="14.83203125" style="692" bestFit="1" customWidth="1"/>
    <col min="3593" max="3838" width="12.5" style="692"/>
    <col min="3839" max="3839" width="34" style="692" bestFit="1" customWidth="1"/>
    <col min="3840" max="3840" width="13" style="692" bestFit="1" customWidth="1"/>
    <col min="3841" max="3842" width="14.83203125" style="692" bestFit="1" customWidth="1"/>
    <col min="3843" max="3843" width="13.1640625" style="692" customWidth="1"/>
    <col min="3844" max="3845" width="13" style="692" bestFit="1" customWidth="1"/>
    <col min="3846" max="3846" width="12.83203125" style="692" customWidth="1"/>
    <col min="3847" max="3847" width="11.83203125" style="692" bestFit="1" customWidth="1"/>
    <col min="3848" max="3848" width="14.83203125" style="692" bestFit="1" customWidth="1"/>
    <col min="3849" max="4094" width="12.5" style="692"/>
    <col min="4095" max="4095" width="34" style="692" bestFit="1" customWidth="1"/>
    <col min="4096" max="4096" width="13" style="692" bestFit="1" customWidth="1"/>
    <col min="4097" max="4098" width="14.83203125" style="692" bestFit="1" customWidth="1"/>
    <col min="4099" max="4099" width="13.1640625" style="692" customWidth="1"/>
    <col min="4100" max="4101" width="13" style="692" bestFit="1" customWidth="1"/>
    <col min="4102" max="4102" width="12.83203125" style="692" customWidth="1"/>
    <col min="4103" max="4103" width="11.83203125" style="692" bestFit="1" customWidth="1"/>
    <col min="4104" max="4104" width="14.83203125" style="692" bestFit="1" customWidth="1"/>
    <col min="4105" max="4350" width="12.5" style="692"/>
    <col min="4351" max="4351" width="34" style="692" bestFit="1" customWidth="1"/>
    <col min="4352" max="4352" width="13" style="692" bestFit="1" customWidth="1"/>
    <col min="4353" max="4354" width="14.83203125" style="692" bestFit="1" customWidth="1"/>
    <col min="4355" max="4355" width="13.1640625" style="692" customWidth="1"/>
    <col min="4356" max="4357" width="13" style="692" bestFit="1" customWidth="1"/>
    <col min="4358" max="4358" width="12.83203125" style="692" customWidth="1"/>
    <col min="4359" max="4359" width="11.83203125" style="692" bestFit="1" customWidth="1"/>
    <col min="4360" max="4360" width="14.83203125" style="692" bestFit="1" customWidth="1"/>
    <col min="4361" max="4606" width="12.5" style="692"/>
    <col min="4607" max="4607" width="34" style="692" bestFit="1" customWidth="1"/>
    <col min="4608" max="4608" width="13" style="692" bestFit="1" customWidth="1"/>
    <col min="4609" max="4610" width="14.83203125" style="692" bestFit="1" customWidth="1"/>
    <col min="4611" max="4611" width="13.1640625" style="692" customWidth="1"/>
    <col min="4612" max="4613" width="13" style="692" bestFit="1" customWidth="1"/>
    <col min="4614" max="4614" width="12.83203125" style="692" customWidth="1"/>
    <col min="4615" max="4615" width="11.83203125" style="692" bestFit="1" customWidth="1"/>
    <col min="4616" max="4616" width="14.83203125" style="692" bestFit="1" customWidth="1"/>
    <col min="4617" max="4862" width="12.5" style="692"/>
    <col min="4863" max="4863" width="34" style="692" bestFit="1" customWidth="1"/>
    <col min="4864" max="4864" width="13" style="692" bestFit="1" customWidth="1"/>
    <col min="4865" max="4866" width="14.83203125" style="692" bestFit="1" customWidth="1"/>
    <col min="4867" max="4867" width="13.1640625" style="692" customWidth="1"/>
    <col min="4868" max="4869" width="13" style="692" bestFit="1" customWidth="1"/>
    <col min="4870" max="4870" width="12.83203125" style="692" customWidth="1"/>
    <col min="4871" max="4871" width="11.83203125" style="692" bestFit="1" customWidth="1"/>
    <col min="4872" max="4872" width="14.83203125" style="692" bestFit="1" customWidth="1"/>
    <col min="4873" max="5118" width="12.5" style="692"/>
    <col min="5119" max="5119" width="34" style="692" bestFit="1" customWidth="1"/>
    <col min="5120" max="5120" width="13" style="692" bestFit="1" customWidth="1"/>
    <col min="5121" max="5122" width="14.83203125" style="692" bestFit="1" customWidth="1"/>
    <col min="5123" max="5123" width="13.1640625" style="692" customWidth="1"/>
    <col min="5124" max="5125" width="13" style="692" bestFit="1" customWidth="1"/>
    <col min="5126" max="5126" width="12.83203125" style="692" customWidth="1"/>
    <col min="5127" max="5127" width="11.83203125" style="692" bestFit="1" customWidth="1"/>
    <col min="5128" max="5128" width="14.83203125" style="692" bestFit="1" customWidth="1"/>
    <col min="5129" max="5374" width="12.5" style="692"/>
    <col min="5375" max="5375" width="34" style="692" bestFit="1" customWidth="1"/>
    <col min="5376" max="5376" width="13" style="692" bestFit="1" customWidth="1"/>
    <col min="5377" max="5378" width="14.83203125" style="692" bestFit="1" customWidth="1"/>
    <col min="5379" max="5379" width="13.1640625" style="692" customWidth="1"/>
    <col min="5380" max="5381" width="13" style="692" bestFit="1" customWidth="1"/>
    <col min="5382" max="5382" width="12.83203125" style="692" customWidth="1"/>
    <col min="5383" max="5383" width="11.83203125" style="692" bestFit="1" customWidth="1"/>
    <col min="5384" max="5384" width="14.83203125" style="692" bestFit="1" customWidth="1"/>
    <col min="5385" max="5630" width="12.5" style="692"/>
    <col min="5631" max="5631" width="34" style="692" bestFit="1" customWidth="1"/>
    <col min="5632" max="5632" width="13" style="692" bestFit="1" customWidth="1"/>
    <col min="5633" max="5634" width="14.83203125" style="692" bestFit="1" customWidth="1"/>
    <col min="5635" max="5635" width="13.1640625" style="692" customWidth="1"/>
    <col min="5636" max="5637" width="13" style="692" bestFit="1" customWidth="1"/>
    <col min="5638" max="5638" width="12.83203125" style="692" customWidth="1"/>
    <col min="5639" max="5639" width="11.83203125" style="692" bestFit="1" customWidth="1"/>
    <col min="5640" max="5640" width="14.83203125" style="692" bestFit="1" customWidth="1"/>
    <col min="5641" max="5886" width="12.5" style="692"/>
    <col min="5887" max="5887" width="34" style="692" bestFit="1" customWidth="1"/>
    <col min="5888" max="5888" width="13" style="692" bestFit="1" customWidth="1"/>
    <col min="5889" max="5890" width="14.83203125" style="692" bestFit="1" customWidth="1"/>
    <col min="5891" max="5891" width="13.1640625" style="692" customWidth="1"/>
    <col min="5892" max="5893" width="13" style="692" bestFit="1" customWidth="1"/>
    <col min="5894" max="5894" width="12.83203125" style="692" customWidth="1"/>
    <col min="5895" max="5895" width="11.83203125" style="692" bestFit="1" customWidth="1"/>
    <col min="5896" max="5896" width="14.83203125" style="692" bestFit="1" customWidth="1"/>
    <col min="5897" max="6142" width="12.5" style="692"/>
    <col min="6143" max="6143" width="34" style="692" bestFit="1" customWidth="1"/>
    <col min="6144" max="6144" width="13" style="692" bestFit="1" customWidth="1"/>
    <col min="6145" max="6146" width="14.83203125" style="692" bestFit="1" customWidth="1"/>
    <col min="6147" max="6147" width="13.1640625" style="692" customWidth="1"/>
    <col min="6148" max="6149" width="13" style="692" bestFit="1" customWidth="1"/>
    <col min="6150" max="6150" width="12.83203125" style="692" customWidth="1"/>
    <col min="6151" max="6151" width="11.83203125" style="692" bestFit="1" customWidth="1"/>
    <col min="6152" max="6152" width="14.83203125" style="692" bestFit="1" customWidth="1"/>
    <col min="6153" max="6398" width="12.5" style="692"/>
    <col min="6399" max="6399" width="34" style="692" bestFit="1" customWidth="1"/>
    <col min="6400" max="6400" width="13" style="692" bestFit="1" customWidth="1"/>
    <col min="6401" max="6402" width="14.83203125" style="692" bestFit="1" customWidth="1"/>
    <col min="6403" max="6403" width="13.1640625" style="692" customWidth="1"/>
    <col min="6404" max="6405" width="13" style="692" bestFit="1" customWidth="1"/>
    <col min="6406" max="6406" width="12.83203125" style="692" customWidth="1"/>
    <col min="6407" max="6407" width="11.83203125" style="692" bestFit="1" customWidth="1"/>
    <col min="6408" max="6408" width="14.83203125" style="692" bestFit="1" customWidth="1"/>
    <col min="6409" max="6654" width="12.5" style="692"/>
    <col min="6655" max="6655" width="34" style="692" bestFit="1" customWidth="1"/>
    <col min="6656" max="6656" width="13" style="692" bestFit="1" customWidth="1"/>
    <col min="6657" max="6658" width="14.83203125" style="692" bestFit="1" customWidth="1"/>
    <col min="6659" max="6659" width="13.1640625" style="692" customWidth="1"/>
    <col min="6660" max="6661" width="13" style="692" bestFit="1" customWidth="1"/>
    <col min="6662" max="6662" width="12.83203125" style="692" customWidth="1"/>
    <col min="6663" max="6663" width="11.83203125" style="692" bestFit="1" customWidth="1"/>
    <col min="6664" max="6664" width="14.83203125" style="692" bestFit="1" customWidth="1"/>
    <col min="6665" max="6910" width="12.5" style="692"/>
    <col min="6911" max="6911" width="34" style="692" bestFit="1" customWidth="1"/>
    <col min="6912" max="6912" width="13" style="692" bestFit="1" customWidth="1"/>
    <col min="6913" max="6914" width="14.83203125" style="692" bestFit="1" customWidth="1"/>
    <col min="6915" max="6915" width="13.1640625" style="692" customWidth="1"/>
    <col min="6916" max="6917" width="13" style="692" bestFit="1" customWidth="1"/>
    <col min="6918" max="6918" width="12.83203125" style="692" customWidth="1"/>
    <col min="6919" max="6919" width="11.83203125" style="692" bestFit="1" customWidth="1"/>
    <col min="6920" max="6920" width="14.83203125" style="692" bestFit="1" customWidth="1"/>
    <col min="6921" max="7166" width="12.5" style="692"/>
    <col min="7167" max="7167" width="34" style="692" bestFit="1" customWidth="1"/>
    <col min="7168" max="7168" width="13" style="692" bestFit="1" customWidth="1"/>
    <col min="7169" max="7170" width="14.83203125" style="692" bestFit="1" customWidth="1"/>
    <col min="7171" max="7171" width="13.1640625" style="692" customWidth="1"/>
    <col min="7172" max="7173" width="13" style="692" bestFit="1" customWidth="1"/>
    <col min="7174" max="7174" width="12.83203125" style="692" customWidth="1"/>
    <col min="7175" max="7175" width="11.83203125" style="692" bestFit="1" customWidth="1"/>
    <col min="7176" max="7176" width="14.83203125" style="692" bestFit="1" customWidth="1"/>
    <col min="7177" max="7422" width="12.5" style="692"/>
    <col min="7423" max="7423" width="34" style="692" bestFit="1" customWidth="1"/>
    <col min="7424" max="7424" width="13" style="692" bestFit="1" customWidth="1"/>
    <col min="7425" max="7426" width="14.83203125" style="692" bestFit="1" customWidth="1"/>
    <col min="7427" max="7427" width="13.1640625" style="692" customWidth="1"/>
    <col min="7428" max="7429" width="13" style="692" bestFit="1" customWidth="1"/>
    <col min="7430" max="7430" width="12.83203125" style="692" customWidth="1"/>
    <col min="7431" max="7431" width="11.83203125" style="692" bestFit="1" customWidth="1"/>
    <col min="7432" max="7432" width="14.83203125" style="692" bestFit="1" customWidth="1"/>
    <col min="7433" max="7678" width="12.5" style="692"/>
    <col min="7679" max="7679" width="34" style="692" bestFit="1" customWidth="1"/>
    <col min="7680" max="7680" width="13" style="692" bestFit="1" customWidth="1"/>
    <col min="7681" max="7682" width="14.83203125" style="692" bestFit="1" customWidth="1"/>
    <col min="7683" max="7683" width="13.1640625" style="692" customWidth="1"/>
    <col min="7684" max="7685" width="13" style="692" bestFit="1" customWidth="1"/>
    <col min="7686" max="7686" width="12.83203125" style="692" customWidth="1"/>
    <col min="7687" max="7687" width="11.83203125" style="692" bestFit="1" customWidth="1"/>
    <col min="7688" max="7688" width="14.83203125" style="692" bestFit="1" customWidth="1"/>
    <col min="7689" max="7934" width="12.5" style="692"/>
    <col min="7935" max="7935" width="34" style="692" bestFit="1" customWidth="1"/>
    <col min="7936" max="7936" width="13" style="692" bestFit="1" customWidth="1"/>
    <col min="7937" max="7938" width="14.83203125" style="692" bestFit="1" customWidth="1"/>
    <col min="7939" max="7939" width="13.1640625" style="692" customWidth="1"/>
    <col min="7940" max="7941" width="13" style="692" bestFit="1" customWidth="1"/>
    <col min="7942" max="7942" width="12.83203125" style="692" customWidth="1"/>
    <col min="7943" max="7943" width="11.83203125" style="692" bestFit="1" customWidth="1"/>
    <col min="7944" max="7944" width="14.83203125" style="692" bestFit="1" customWidth="1"/>
    <col min="7945" max="8190" width="12.5" style="692"/>
    <col min="8191" max="8191" width="34" style="692" bestFit="1" customWidth="1"/>
    <col min="8192" max="8192" width="13" style="692" bestFit="1" customWidth="1"/>
    <col min="8193" max="8194" width="14.83203125" style="692" bestFit="1" customWidth="1"/>
    <col min="8195" max="8195" width="13.1640625" style="692" customWidth="1"/>
    <col min="8196" max="8197" width="13" style="692" bestFit="1" customWidth="1"/>
    <col min="8198" max="8198" width="12.83203125" style="692" customWidth="1"/>
    <col min="8199" max="8199" width="11.83203125" style="692" bestFit="1" customWidth="1"/>
    <col min="8200" max="8200" width="14.83203125" style="692" bestFit="1" customWidth="1"/>
    <col min="8201" max="8446" width="12.5" style="692"/>
    <col min="8447" max="8447" width="34" style="692" bestFit="1" customWidth="1"/>
    <col min="8448" max="8448" width="13" style="692" bestFit="1" customWidth="1"/>
    <col min="8449" max="8450" width="14.83203125" style="692" bestFit="1" customWidth="1"/>
    <col min="8451" max="8451" width="13.1640625" style="692" customWidth="1"/>
    <col min="8452" max="8453" width="13" style="692" bestFit="1" customWidth="1"/>
    <col min="8454" max="8454" width="12.83203125" style="692" customWidth="1"/>
    <col min="8455" max="8455" width="11.83203125" style="692" bestFit="1" customWidth="1"/>
    <col min="8456" max="8456" width="14.83203125" style="692" bestFit="1" customWidth="1"/>
    <col min="8457" max="8702" width="12.5" style="692"/>
    <col min="8703" max="8703" width="34" style="692" bestFit="1" customWidth="1"/>
    <col min="8704" max="8704" width="13" style="692" bestFit="1" customWidth="1"/>
    <col min="8705" max="8706" width="14.83203125" style="692" bestFit="1" customWidth="1"/>
    <col min="8707" max="8707" width="13.1640625" style="692" customWidth="1"/>
    <col min="8708" max="8709" width="13" style="692" bestFit="1" customWidth="1"/>
    <col min="8710" max="8710" width="12.83203125" style="692" customWidth="1"/>
    <col min="8711" max="8711" width="11.83203125" style="692" bestFit="1" customWidth="1"/>
    <col min="8712" max="8712" width="14.83203125" style="692" bestFit="1" customWidth="1"/>
    <col min="8713" max="8958" width="12.5" style="692"/>
    <col min="8959" max="8959" width="34" style="692" bestFit="1" customWidth="1"/>
    <col min="8960" max="8960" width="13" style="692" bestFit="1" customWidth="1"/>
    <col min="8961" max="8962" width="14.83203125" style="692" bestFit="1" customWidth="1"/>
    <col min="8963" max="8963" width="13.1640625" style="692" customWidth="1"/>
    <col min="8964" max="8965" width="13" style="692" bestFit="1" customWidth="1"/>
    <col min="8966" max="8966" width="12.83203125" style="692" customWidth="1"/>
    <col min="8967" max="8967" width="11.83203125" style="692" bestFit="1" customWidth="1"/>
    <col min="8968" max="8968" width="14.83203125" style="692" bestFit="1" customWidth="1"/>
    <col min="8969" max="9214" width="12.5" style="692"/>
    <col min="9215" max="9215" width="34" style="692" bestFit="1" customWidth="1"/>
    <col min="9216" max="9216" width="13" style="692" bestFit="1" customWidth="1"/>
    <col min="9217" max="9218" width="14.83203125" style="692" bestFit="1" customWidth="1"/>
    <col min="9219" max="9219" width="13.1640625" style="692" customWidth="1"/>
    <col min="9220" max="9221" width="13" style="692" bestFit="1" customWidth="1"/>
    <col min="9222" max="9222" width="12.83203125" style="692" customWidth="1"/>
    <col min="9223" max="9223" width="11.83203125" style="692" bestFit="1" customWidth="1"/>
    <col min="9224" max="9224" width="14.83203125" style="692" bestFit="1" customWidth="1"/>
    <col min="9225" max="9470" width="12.5" style="692"/>
    <col min="9471" max="9471" width="34" style="692" bestFit="1" customWidth="1"/>
    <col min="9472" max="9472" width="13" style="692" bestFit="1" customWidth="1"/>
    <col min="9473" max="9474" width="14.83203125" style="692" bestFit="1" customWidth="1"/>
    <col min="9475" max="9475" width="13.1640625" style="692" customWidth="1"/>
    <col min="9476" max="9477" width="13" style="692" bestFit="1" customWidth="1"/>
    <col min="9478" max="9478" width="12.83203125" style="692" customWidth="1"/>
    <col min="9479" max="9479" width="11.83203125" style="692" bestFit="1" customWidth="1"/>
    <col min="9480" max="9480" width="14.83203125" style="692" bestFit="1" customWidth="1"/>
    <col min="9481" max="9726" width="12.5" style="692"/>
    <col min="9727" max="9727" width="34" style="692" bestFit="1" customWidth="1"/>
    <col min="9728" max="9728" width="13" style="692" bestFit="1" customWidth="1"/>
    <col min="9729" max="9730" width="14.83203125" style="692" bestFit="1" customWidth="1"/>
    <col min="9731" max="9731" width="13.1640625" style="692" customWidth="1"/>
    <col min="9732" max="9733" width="13" style="692" bestFit="1" customWidth="1"/>
    <col min="9734" max="9734" width="12.83203125" style="692" customWidth="1"/>
    <col min="9735" max="9735" width="11.83203125" style="692" bestFit="1" customWidth="1"/>
    <col min="9736" max="9736" width="14.83203125" style="692" bestFit="1" customWidth="1"/>
    <col min="9737" max="9982" width="12.5" style="692"/>
    <col min="9983" max="9983" width="34" style="692" bestFit="1" customWidth="1"/>
    <col min="9984" max="9984" width="13" style="692" bestFit="1" customWidth="1"/>
    <col min="9985" max="9986" width="14.83203125" style="692" bestFit="1" customWidth="1"/>
    <col min="9987" max="9987" width="13.1640625" style="692" customWidth="1"/>
    <col min="9988" max="9989" width="13" style="692" bestFit="1" customWidth="1"/>
    <col min="9990" max="9990" width="12.83203125" style="692" customWidth="1"/>
    <col min="9991" max="9991" width="11.83203125" style="692" bestFit="1" customWidth="1"/>
    <col min="9992" max="9992" width="14.83203125" style="692" bestFit="1" customWidth="1"/>
    <col min="9993" max="10238" width="12.5" style="692"/>
    <col min="10239" max="10239" width="34" style="692" bestFit="1" customWidth="1"/>
    <col min="10240" max="10240" width="13" style="692" bestFit="1" customWidth="1"/>
    <col min="10241" max="10242" width="14.83203125" style="692" bestFit="1" customWidth="1"/>
    <col min="10243" max="10243" width="13.1640625" style="692" customWidth="1"/>
    <col min="10244" max="10245" width="13" style="692" bestFit="1" customWidth="1"/>
    <col min="10246" max="10246" width="12.83203125" style="692" customWidth="1"/>
    <col min="10247" max="10247" width="11.83203125" style="692" bestFit="1" customWidth="1"/>
    <col min="10248" max="10248" width="14.83203125" style="692" bestFit="1" customWidth="1"/>
    <col min="10249" max="10494" width="12.5" style="692"/>
    <col min="10495" max="10495" width="34" style="692" bestFit="1" customWidth="1"/>
    <col min="10496" max="10496" width="13" style="692" bestFit="1" customWidth="1"/>
    <col min="10497" max="10498" width="14.83203125" style="692" bestFit="1" customWidth="1"/>
    <col min="10499" max="10499" width="13.1640625" style="692" customWidth="1"/>
    <col min="10500" max="10501" width="13" style="692" bestFit="1" customWidth="1"/>
    <col min="10502" max="10502" width="12.83203125" style="692" customWidth="1"/>
    <col min="10503" max="10503" width="11.83203125" style="692" bestFit="1" customWidth="1"/>
    <col min="10504" max="10504" width="14.83203125" style="692" bestFit="1" customWidth="1"/>
    <col min="10505" max="10750" width="12.5" style="692"/>
    <col min="10751" max="10751" width="34" style="692" bestFit="1" customWidth="1"/>
    <col min="10752" max="10752" width="13" style="692" bestFit="1" customWidth="1"/>
    <col min="10753" max="10754" width="14.83203125" style="692" bestFit="1" customWidth="1"/>
    <col min="10755" max="10755" width="13.1640625" style="692" customWidth="1"/>
    <col min="10756" max="10757" width="13" style="692" bestFit="1" customWidth="1"/>
    <col min="10758" max="10758" width="12.83203125" style="692" customWidth="1"/>
    <col min="10759" max="10759" width="11.83203125" style="692" bestFit="1" customWidth="1"/>
    <col min="10760" max="10760" width="14.83203125" style="692" bestFit="1" customWidth="1"/>
    <col min="10761" max="11006" width="12.5" style="692"/>
    <col min="11007" max="11007" width="34" style="692" bestFit="1" customWidth="1"/>
    <col min="11008" max="11008" width="13" style="692" bestFit="1" customWidth="1"/>
    <col min="11009" max="11010" width="14.83203125" style="692" bestFit="1" customWidth="1"/>
    <col min="11011" max="11011" width="13.1640625" style="692" customWidth="1"/>
    <col min="11012" max="11013" width="13" style="692" bestFit="1" customWidth="1"/>
    <col min="11014" max="11014" width="12.83203125" style="692" customWidth="1"/>
    <col min="11015" max="11015" width="11.83203125" style="692" bestFit="1" customWidth="1"/>
    <col min="11016" max="11016" width="14.83203125" style="692" bestFit="1" customWidth="1"/>
    <col min="11017" max="11262" width="12.5" style="692"/>
    <col min="11263" max="11263" width="34" style="692" bestFit="1" customWidth="1"/>
    <col min="11264" max="11264" width="13" style="692" bestFit="1" customWidth="1"/>
    <col min="11265" max="11266" width="14.83203125" style="692" bestFit="1" customWidth="1"/>
    <col min="11267" max="11267" width="13.1640625" style="692" customWidth="1"/>
    <col min="11268" max="11269" width="13" style="692" bestFit="1" customWidth="1"/>
    <col min="11270" max="11270" width="12.83203125" style="692" customWidth="1"/>
    <col min="11271" max="11271" width="11.83203125" style="692" bestFit="1" customWidth="1"/>
    <col min="11272" max="11272" width="14.83203125" style="692" bestFit="1" customWidth="1"/>
    <col min="11273" max="11518" width="12.5" style="692"/>
    <col min="11519" max="11519" width="34" style="692" bestFit="1" customWidth="1"/>
    <col min="11520" max="11520" width="13" style="692" bestFit="1" customWidth="1"/>
    <col min="11521" max="11522" width="14.83203125" style="692" bestFit="1" customWidth="1"/>
    <col min="11523" max="11523" width="13.1640625" style="692" customWidth="1"/>
    <col min="11524" max="11525" width="13" style="692" bestFit="1" customWidth="1"/>
    <col min="11526" max="11526" width="12.83203125" style="692" customWidth="1"/>
    <col min="11527" max="11527" width="11.83203125" style="692" bestFit="1" customWidth="1"/>
    <col min="11528" max="11528" width="14.83203125" style="692" bestFit="1" customWidth="1"/>
    <col min="11529" max="11774" width="12.5" style="692"/>
    <col min="11775" max="11775" width="34" style="692" bestFit="1" customWidth="1"/>
    <col min="11776" max="11776" width="13" style="692" bestFit="1" customWidth="1"/>
    <col min="11777" max="11778" width="14.83203125" style="692" bestFit="1" customWidth="1"/>
    <col min="11779" max="11779" width="13.1640625" style="692" customWidth="1"/>
    <col min="11780" max="11781" width="13" style="692" bestFit="1" customWidth="1"/>
    <col min="11782" max="11782" width="12.83203125" style="692" customWidth="1"/>
    <col min="11783" max="11783" width="11.83203125" style="692" bestFit="1" customWidth="1"/>
    <col min="11784" max="11784" width="14.83203125" style="692" bestFit="1" customWidth="1"/>
    <col min="11785" max="12030" width="12.5" style="692"/>
    <col min="12031" max="12031" width="34" style="692" bestFit="1" customWidth="1"/>
    <col min="12032" max="12032" width="13" style="692" bestFit="1" customWidth="1"/>
    <col min="12033" max="12034" width="14.83203125" style="692" bestFit="1" customWidth="1"/>
    <col min="12035" max="12035" width="13.1640625" style="692" customWidth="1"/>
    <col min="12036" max="12037" width="13" style="692" bestFit="1" customWidth="1"/>
    <col min="12038" max="12038" width="12.83203125" style="692" customWidth="1"/>
    <col min="12039" max="12039" width="11.83203125" style="692" bestFit="1" customWidth="1"/>
    <col min="12040" max="12040" width="14.83203125" style="692" bestFit="1" customWidth="1"/>
    <col min="12041" max="12286" width="12.5" style="692"/>
    <col min="12287" max="12287" width="34" style="692" bestFit="1" customWidth="1"/>
    <col min="12288" max="12288" width="13" style="692" bestFit="1" customWidth="1"/>
    <col min="12289" max="12290" width="14.83203125" style="692" bestFit="1" customWidth="1"/>
    <col min="12291" max="12291" width="13.1640625" style="692" customWidth="1"/>
    <col min="12292" max="12293" width="13" style="692" bestFit="1" customWidth="1"/>
    <col min="12294" max="12294" width="12.83203125" style="692" customWidth="1"/>
    <col min="12295" max="12295" width="11.83203125" style="692" bestFit="1" customWidth="1"/>
    <col min="12296" max="12296" width="14.83203125" style="692" bestFit="1" customWidth="1"/>
    <col min="12297" max="12542" width="12.5" style="692"/>
    <col min="12543" max="12543" width="34" style="692" bestFit="1" customWidth="1"/>
    <col min="12544" max="12544" width="13" style="692" bestFit="1" customWidth="1"/>
    <col min="12545" max="12546" width="14.83203125" style="692" bestFit="1" customWidth="1"/>
    <col min="12547" max="12547" width="13.1640625" style="692" customWidth="1"/>
    <col min="12548" max="12549" width="13" style="692" bestFit="1" customWidth="1"/>
    <col min="12550" max="12550" width="12.83203125" style="692" customWidth="1"/>
    <col min="12551" max="12551" width="11.83203125" style="692" bestFit="1" customWidth="1"/>
    <col min="12552" max="12552" width="14.83203125" style="692" bestFit="1" customWidth="1"/>
    <col min="12553" max="12798" width="12.5" style="692"/>
    <col min="12799" max="12799" width="34" style="692" bestFit="1" customWidth="1"/>
    <col min="12800" max="12800" width="13" style="692" bestFit="1" customWidth="1"/>
    <col min="12801" max="12802" width="14.83203125" style="692" bestFit="1" customWidth="1"/>
    <col min="12803" max="12803" width="13.1640625" style="692" customWidth="1"/>
    <col min="12804" max="12805" width="13" style="692" bestFit="1" customWidth="1"/>
    <col min="12806" max="12806" width="12.83203125" style="692" customWidth="1"/>
    <col min="12807" max="12807" width="11.83203125" style="692" bestFit="1" customWidth="1"/>
    <col min="12808" max="12808" width="14.83203125" style="692" bestFit="1" customWidth="1"/>
    <col min="12809" max="13054" width="12.5" style="692"/>
    <col min="13055" max="13055" width="34" style="692" bestFit="1" customWidth="1"/>
    <col min="13056" max="13056" width="13" style="692" bestFit="1" customWidth="1"/>
    <col min="13057" max="13058" width="14.83203125" style="692" bestFit="1" customWidth="1"/>
    <col min="13059" max="13059" width="13.1640625" style="692" customWidth="1"/>
    <col min="13060" max="13061" width="13" style="692" bestFit="1" customWidth="1"/>
    <col min="13062" max="13062" width="12.83203125" style="692" customWidth="1"/>
    <col min="13063" max="13063" width="11.83203125" style="692" bestFit="1" customWidth="1"/>
    <col min="13064" max="13064" width="14.83203125" style="692" bestFit="1" customWidth="1"/>
    <col min="13065" max="13310" width="12.5" style="692"/>
    <col min="13311" max="13311" width="34" style="692" bestFit="1" customWidth="1"/>
    <col min="13312" max="13312" width="13" style="692" bestFit="1" customWidth="1"/>
    <col min="13313" max="13314" width="14.83203125" style="692" bestFit="1" customWidth="1"/>
    <col min="13315" max="13315" width="13.1640625" style="692" customWidth="1"/>
    <col min="13316" max="13317" width="13" style="692" bestFit="1" customWidth="1"/>
    <col min="13318" max="13318" width="12.83203125" style="692" customWidth="1"/>
    <col min="13319" max="13319" width="11.83203125" style="692" bestFit="1" customWidth="1"/>
    <col min="13320" max="13320" width="14.83203125" style="692" bestFit="1" customWidth="1"/>
    <col min="13321" max="13566" width="12.5" style="692"/>
    <col min="13567" max="13567" width="34" style="692" bestFit="1" customWidth="1"/>
    <col min="13568" max="13568" width="13" style="692" bestFit="1" customWidth="1"/>
    <col min="13569" max="13570" width="14.83203125" style="692" bestFit="1" customWidth="1"/>
    <col min="13571" max="13571" width="13.1640625" style="692" customWidth="1"/>
    <col min="13572" max="13573" width="13" style="692" bestFit="1" customWidth="1"/>
    <col min="13574" max="13574" width="12.83203125" style="692" customWidth="1"/>
    <col min="13575" max="13575" width="11.83203125" style="692" bestFit="1" customWidth="1"/>
    <col min="13576" max="13576" width="14.83203125" style="692" bestFit="1" customWidth="1"/>
    <col min="13577" max="13822" width="12.5" style="692"/>
    <col min="13823" max="13823" width="34" style="692" bestFit="1" customWidth="1"/>
    <col min="13824" max="13824" width="13" style="692" bestFit="1" customWidth="1"/>
    <col min="13825" max="13826" width="14.83203125" style="692" bestFit="1" customWidth="1"/>
    <col min="13827" max="13827" width="13.1640625" style="692" customWidth="1"/>
    <col min="13828" max="13829" width="13" style="692" bestFit="1" customWidth="1"/>
    <col min="13830" max="13830" width="12.83203125" style="692" customWidth="1"/>
    <col min="13831" max="13831" width="11.83203125" style="692" bestFit="1" customWidth="1"/>
    <col min="13832" max="13832" width="14.83203125" style="692" bestFit="1" customWidth="1"/>
    <col min="13833" max="14078" width="12.5" style="692"/>
    <col min="14079" max="14079" width="34" style="692" bestFit="1" customWidth="1"/>
    <col min="14080" max="14080" width="13" style="692" bestFit="1" customWidth="1"/>
    <col min="14081" max="14082" width="14.83203125" style="692" bestFit="1" customWidth="1"/>
    <col min="14083" max="14083" width="13.1640625" style="692" customWidth="1"/>
    <col min="14084" max="14085" width="13" style="692" bestFit="1" customWidth="1"/>
    <col min="14086" max="14086" width="12.83203125" style="692" customWidth="1"/>
    <col min="14087" max="14087" width="11.83203125" style="692" bestFit="1" customWidth="1"/>
    <col min="14088" max="14088" width="14.83203125" style="692" bestFit="1" customWidth="1"/>
    <col min="14089" max="14334" width="12.5" style="692"/>
    <col min="14335" max="14335" width="34" style="692" bestFit="1" customWidth="1"/>
    <col min="14336" max="14336" width="13" style="692" bestFit="1" customWidth="1"/>
    <col min="14337" max="14338" width="14.83203125" style="692" bestFit="1" customWidth="1"/>
    <col min="14339" max="14339" width="13.1640625" style="692" customWidth="1"/>
    <col min="14340" max="14341" width="13" style="692" bestFit="1" customWidth="1"/>
    <col min="14342" max="14342" width="12.83203125" style="692" customWidth="1"/>
    <col min="14343" max="14343" width="11.83203125" style="692" bestFit="1" customWidth="1"/>
    <col min="14344" max="14344" width="14.83203125" style="692" bestFit="1" customWidth="1"/>
    <col min="14345" max="14590" width="12.5" style="692"/>
    <col min="14591" max="14591" width="34" style="692" bestFit="1" customWidth="1"/>
    <col min="14592" max="14592" width="13" style="692" bestFit="1" customWidth="1"/>
    <col min="14593" max="14594" width="14.83203125" style="692" bestFit="1" customWidth="1"/>
    <col min="14595" max="14595" width="13.1640625" style="692" customWidth="1"/>
    <col min="14596" max="14597" width="13" style="692" bestFit="1" customWidth="1"/>
    <col min="14598" max="14598" width="12.83203125" style="692" customWidth="1"/>
    <col min="14599" max="14599" width="11.83203125" style="692" bestFit="1" customWidth="1"/>
    <col min="14600" max="14600" width="14.83203125" style="692" bestFit="1" customWidth="1"/>
    <col min="14601" max="14846" width="12.5" style="692"/>
    <col min="14847" max="14847" width="34" style="692" bestFit="1" customWidth="1"/>
    <col min="14848" max="14848" width="13" style="692" bestFit="1" customWidth="1"/>
    <col min="14849" max="14850" width="14.83203125" style="692" bestFit="1" customWidth="1"/>
    <col min="14851" max="14851" width="13.1640625" style="692" customWidth="1"/>
    <col min="14852" max="14853" width="13" style="692" bestFit="1" customWidth="1"/>
    <col min="14854" max="14854" width="12.83203125" style="692" customWidth="1"/>
    <col min="14855" max="14855" width="11.83203125" style="692" bestFit="1" customWidth="1"/>
    <col min="14856" max="14856" width="14.83203125" style="692" bestFit="1" customWidth="1"/>
    <col min="14857" max="15102" width="12.5" style="692"/>
    <col min="15103" max="15103" width="34" style="692" bestFit="1" customWidth="1"/>
    <col min="15104" max="15104" width="13" style="692" bestFit="1" customWidth="1"/>
    <col min="15105" max="15106" width="14.83203125" style="692" bestFit="1" customWidth="1"/>
    <col min="15107" max="15107" width="13.1640625" style="692" customWidth="1"/>
    <col min="15108" max="15109" width="13" style="692" bestFit="1" customWidth="1"/>
    <col min="15110" max="15110" width="12.83203125" style="692" customWidth="1"/>
    <col min="15111" max="15111" width="11.83203125" style="692" bestFit="1" customWidth="1"/>
    <col min="15112" max="15112" width="14.83203125" style="692" bestFit="1" customWidth="1"/>
    <col min="15113" max="15358" width="12.5" style="692"/>
    <col min="15359" max="15359" width="34" style="692" bestFit="1" customWidth="1"/>
    <col min="15360" max="15360" width="13" style="692" bestFit="1" customWidth="1"/>
    <col min="15361" max="15362" width="14.83203125" style="692" bestFit="1" customWidth="1"/>
    <col min="15363" max="15363" width="13.1640625" style="692" customWidth="1"/>
    <col min="15364" max="15365" width="13" style="692" bestFit="1" customWidth="1"/>
    <col min="15366" max="15366" width="12.83203125" style="692" customWidth="1"/>
    <col min="15367" max="15367" width="11.83203125" style="692" bestFit="1" customWidth="1"/>
    <col min="15368" max="15368" width="14.83203125" style="692" bestFit="1" customWidth="1"/>
    <col min="15369" max="15614" width="12.5" style="692"/>
    <col min="15615" max="15615" width="34" style="692" bestFit="1" customWidth="1"/>
    <col min="15616" max="15616" width="13" style="692" bestFit="1" customWidth="1"/>
    <col min="15617" max="15618" width="14.83203125" style="692" bestFit="1" customWidth="1"/>
    <col min="15619" max="15619" width="13.1640625" style="692" customWidth="1"/>
    <col min="15620" max="15621" width="13" style="692" bestFit="1" customWidth="1"/>
    <col min="15622" max="15622" width="12.83203125" style="692" customWidth="1"/>
    <col min="15623" max="15623" width="11.83203125" style="692" bestFit="1" customWidth="1"/>
    <col min="15624" max="15624" width="14.83203125" style="692" bestFit="1" customWidth="1"/>
    <col min="15625" max="15870" width="12.5" style="692"/>
    <col min="15871" max="15871" width="34" style="692" bestFit="1" customWidth="1"/>
    <col min="15872" max="15872" width="13" style="692" bestFit="1" customWidth="1"/>
    <col min="15873" max="15874" width="14.83203125" style="692" bestFit="1" customWidth="1"/>
    <col min="15875" max="15875" width="13.1640625" style="692" customWidth="1"/>
    <col min="15876" max="15877" width="13" style="692" bestFit="1" customWidth="1"/>
    <col min="15878" max="15878" width="12.83203125" style="692" customWidth="1"/>
    <col min="15879" max="15879" width="11.83203125" style="692" bestFit="1" customWidth="1"/>
    <col min="15880" max="15880" width="14.83203125" style="692" bestFit="1" customWidth="1"/>
    <col min="15881" max="16126" width="12.5" style="692"/>
    <col min="16127" max="16127" width="34" style="692" bestFit="1" customWidth="1"/>
    <col min="16128" max="16128" width="13" style="692" bestFit="1" customWidth="1"/>
    <col min="16129" max="16130" width="14.83203125" style="692" bestFit="1" customWidth="1"/>
    <col min="16131" max="16131" width="13.1640625" style="692" customWidth="1"/>
    <col min="16132" max="16133" width="13" style="692" bestFit="1" customWidth="1"/>
    <col min="16134" max="16134" width="12.83203125" style="692" customWidth="1"/>
    <col min="16135" max="16135" width="11.83203125" style="692" bestFit="1" customWidth="1"/>
    <col min="16136" max="16136" width="14.83203125" style="692" bestFit="1" customWidth="1"/>
    <col min="16137" max="16384" width="12.5" style="692"/>
  </cols>
  <sheetData>
    <row r="1" spans="1:11" x14ac:dyDescent="0.2">
      <c r="A1" s="1502" t="str">
        <f>CONCATENATE("21. melléklet"," ",ALAPADATOK!A7," ",ALAPADATOK!B7," ",ALAPADATOK!C7," ",ALAPADATOK!D7," ",ALAPADATOK!E7," ",ALAPADATOK!F7," ",ALAPADATOK!G7," ",ALAPADATOK!H7)</f>
        <v>21. melléklet a 21 / 2020. ( IX.25. ) önkormányzati rendelethez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</row>
    <row r="2" spans="1:11" x14ac:dyDescent="0.2">
      <c r="A2" s="784"/>
      <c r="B2" s="784"/>
      <c r="C2" s="784"/>
      <c r="D2" s="785"/>
      <c r="E2" s="784"/>
      <c r="F2" s="784"/>
      <c r="G2" s="787"/>
      <c r="H2" s="787"/>
      <c r="I2" s="787"/>
      <c r="J2" s="787"/>
      <c r="K2" s="788"/>
    </row>
    <row r="3" spans="1:11" x14ac:dyDescent="0.2">
      <c r="A3" s="784"/>
      <c r="B3" s="784"/>
      <c r="C3" s="784"/>
      <c r="D3" s="785"/>
      <c r="E3" s="784"/>
      <c r="F3" s="784"/>
      <c r="G3" s="787"/>
      <c r="H3" s="787"/>
      <c r="I3" s="787"/>
      <c r="J3" s="787"/>
      <c r="K3" s="789"/>
    </row>
    <row r="4" spans="1:11" ht="19.5" x14ac:dyDescent="0.35">
      <c r="A4" s="790" t="s">
        <v>385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</row>
    <row r="5" spans="1:11" ht="19.5" x14ac:dyDescent="0.35">
      <c r="A5" s="790" t="s">
        <v>815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</row>
    <row r="6" spans="1:11" ht="13.5" thickBot="1" x14ac:dyDescent="0.25">
      <c r="A6" s="784"/>
      <c r="B6" s="784"/>
      <c r="C6" s="784"/>
      <c r="D6" s="785"/>
      <c r="E6" s="784"/>
      <c r="F6" s="784"/>
      <c r="G6" s="784"/>
      <c r="H6" s="784"/>
      <c r="I6" s="784"/>
      <c r="J6" s="784"/>
      <c r="K6" s="791" t="s">
        <v>4</v>
      </c>
    </row>
    <row r="7" spans="1:11" ht="15.95" customHeight="1" x14ac:dyDescent="0.2">
      <c r="A7" s="1503" t="s">
        <v>2</v>
      </c>
      <c r="B7" s="1506" t="s">
        <v>386</v>
      </c>
      <c r="C7" s="1507"/>
      <c r="D7" s="1507"/>
      <c r="E7" s="1508" t="s">
        <v>576</v>
      </c>
      <c r="F7" s="1509"/>
      <c r="G7" s="1509"/>
      <c r="H7" s="1509"/>
      <c r="I7" s="1509"/>
      <c r="J7" s="1509"/>
      <c r="K7" s="1510"/>
    </row>
    <row r="8" spans="1:11" ht="15.95" customHeight="1" x14ac:dyDescent="0.2">
      <c r="A8" s="1504"/>
      <c r="B8" s="792" t="s">
        <v>387</v>
      </c>
      <c r="C8" s="792" t="s">
        <v>388</v>
      </c>
      <c r="D8" s="792" t="s">
        <v>389</v>
      </c>
      <c r="E8" s="792" t="s">
        <v>390</v>
      </c>
      <c r="F8" s="792" t="s">
        <v>391</v>
      </c>
      <c r="G8" s="792" t="s">
        <v>392</v>
      </c>
      <c r="H8" s="1511" t="s">
        <v>151</v>
      </c>
      <c r="I8" s="792" t="s">
        <v>393</v>
      </c>
      <c r="J8" s="792" t="s">
        <v>394</v>
      </c>
      <c r="K8" s="793" t="s">
        <v>389</v>
      </c>
    </row>
    <row r="9" spans="1:11" ht="15.95" customHeight="1" x14ac:dyDescent="0.2">
      <c r="A9" s="1505"/>
      <c r="B9" s="792" t="s">
        <v>395</v>
      </c>
      <c r="C9" s="792" t="s">
        <v>396</v>
      </c>
      <c r="D9" s="792" t="s">
        <v>397</v>
      </c>
      <c r="E9" s="792" t="s">
        <v>398</v>
      </c>
      <c r="F9" s="792" t="s">
        <v>399</v>
      </c>
      <c r="G9" s="792" t="s">
        <v>400</v>
      </c>
      <c r="H9" s="1512"/>
      <c r="I9" s="792" t="s">
        <v>401</v>
      </c>
      <c r="J9" s="792" t="s">
        <v>400</v>
      </c>
      <c r="K9" s="793" t="s">
        <v>402</v>
      </c>
    </row>
    <row r="10" spans="1:11" ht="15.95" customHeight="1" x14ac:dyDescent="0.2">
      <c r="A10" s="794" t="s">
        <v>403</v>
      </c>
      <c r="B10" s="1372">
        <v>68310022</v>
      </c>
      <c r="C10" s="1212">
        <f t="shared" ref="C10:C15" si="0">K10-B10</f>
        <v>146818597</v>
      </c>
      <c r="D10" s="1245">
        <f t="shared" ref="D10:D15" si="1">SUM(B10:C10)</f>
        <v>215128619</v>
      </c>
      <c r="E10" s="1372">
        <v>69090783</v>
      </c>
      <c r="F10" s="1372">
        <v>12885750</v>
      </c>
      <c r="G10" s="1212">
        <v>131052086</v>
      </c>
      <c r="H10" s="1204"/>
      <c r="I10" s="1204"/>
      <c r="J10" s="1204">
        <v>2100000</v>
      </c>
      <c r="K10" s="1202">
        <f t="shared" ref="K10:K15" si="2">SUM(E10:J10)</f>
        <v>215128619</v>
      </c>
    </row>
    <row r="11" spans="1:11" ht="15.95" customHeight="1" x14ac:dyDescent="0.2">
      <c r="A11" s="794" t="s">
        <v>0</v>
      </c>
      <c r="B11" s="1372">
        <v>9264236</v>
      </c>
      <c r="C11" s="1372">
        <f t="shared" si="0"/>
        <v>327407275</v>
      </c>
      <c r="D11" s="1245">
        <f t="shared" si="1"/>
        <v>336671511</v>
      </c>
      <c r="E11" s="1372">
        <v>209679278</v>
      </c>
      <c r="F11" s="1372">
        <v>41711492</v>
      </c>
      <c r="G11" s="1372">
        <v>83858191</v>
      </c>
      <c r="H11" s="1204"/>
      <c r="I11" s="1204"/>
      <c r="J11" s="1204">
        <v>1422550</v>
      </c>
      <c r="K11" s="1202">
        <f t="shared" si="2"/>
        <v>336671511</v>
      </c>
    </row>
    <row r="12" spans="1:11" ht="15.95" customHeight="1" x14ac:dyDescent="0.2">
      <c r="A12" s="794" t="s">
        <v>565</v>
      </c>
      <c r="B12" s="1372">
        <v>25278253</v>
      </c>
      <c r="C12" s="1372">
        <f t="shared" si="0"/>
        <v>94181271</v>
      </c>
      <c r="D12" s="1245">
        <f t="shared" si="1"/>
        <v>119459524</v>
      </c>
      <c r="E12" s="1372">
        <v>55350452</v>
      </c>
      <c r="F12" s="1372">
        <v>9898597</v>
      </c>
      <c r="G12" s="1372">
        <v>50953820</v>
      </c>
      <c r="H12" s="1204">
        <v>2500</v>
      </c>
      <c r="I12" s="1204"/>
      <c r="J12" s="1204">
        <v>3254155</v>
      </c>
      <c r="K12" s="1202">
        <f t="shared" si="2"/>
        <v>119459524</v>
      </c>
    </row>
    <row r="13" spans="1:11" s="316" customFormat="1" ht="18" customHeight="1" x14ac:dyDescent="0.2">
      <c r="A13" s="795" t="s">
        <v>548</v>
      </c>
      <c r="B13" s="1203">
        <f>319887298+1570651+5168705</f>
        <v>326626654</v>
      </c>
      <c r="C13" s="1372">
        <f t="shared" si="0"/>
        <v>609455766</v>
      </c>
      <c r="D13" s="1245">
        <f t="shared" si="1"/>
        <v>936082420</v>
      </c>
      <c r="E13" s="1212">
        <v>591027286</v>
      </c>
      <c r="F13" s="1212">
        <v>109854346</v>
      </c>
      <c r="G13" s="1212">
        <v>217075737</v>
      </c>
      <c r="H13" s="1212"/>
      <c r="I13" s="1212"/>
      <c r="J13" s="1212">
        <v>18125051</v>
      </c>
      <c r="K13" s="1202">
        <f t="shared" si="2"/>
        <v>936082420</v>
      </c>
    </row>
    <row r="14" spans="1:11" s="316" customFormat="1" ht="18" customHeight="1" x14ac:dyDescent="0.2">
      <c r="A14" s="795" t="s">
        <v>537</v>
      </c>
      <c r="B14" s="1373">
        <v>2190306</v>
      </c>
      <c r="C14" s="1372">
        <f t="shared" si="0"/>
        <v>100056944</v>
      </c>
      <c r="D14" s="1245">
        <f t="shared" si="1"/>
        <v>102247250</v>
      </c>
      <c r="E14" s="1374">
        <v>73585777</v>
      </c>
      <c r="F14" s="1374">
        <v>13122999</v>
      </c>
      <c r="G14" s="1374">
        <v>14927624</v>
      </c>
      <c r="H14" s="1205"/>
      <c r="I14" s="1205"/>
      <c r="J14" s="1205">
        <v>610850</v>
      </c>
      <c r="K14" s="1202">
        <f t="shared" si="2"/>
        <v>102247250</v>
      </c>
    </row>
    <row r="15" spans="1:11" s="316" customFormat="1" ht="18" customHeight="1" x14ac:dyDescent="0.2">
      <c r="A15" s="795" t="s">
        <v>549</v>
      </c>
      <c r="B15" s="1373">
        <f>'9.2. sz. mell. '!C9+'9.2. sz. mell. '!C32+'9.2. sz. mell. '!C40</f>
        <v>10741068</v>
      </c>
      <c r="C15" s="1372">
        <f t="shared" si="0"/>
        <v>234767636</v>
      </c>
      <c r="D15" s="1245">
        <f t="shared" si="1"/>
        <v>245508704</v>
      </c>
      <c r="E15" s="1374">
        <f>'9.2. sz. mell. '!C48</f>
        <v>165618530</v>
      </c>
      <c r="F15" s="1374">
        <f>'9.2. sz. mell. '!C49</f>
        <v>32185066</v>
      </c>
      <c r="G15" s="1374">
        <f>'9.2. sz. mell. '!C50</f>
        <v>42657708</v>
      </c>
      <c r="H15" s="1205"/>
      <c r="I15" s="1205"/>
      <c r="J15" s="1205">
        <f>'9.2. sz. mell. '!C54</f>
        <v>5047400</v>
      </c>
      <c r="K15" s="1202">
        <f t="shared" si="2"/>
        <v>245508704</v>
      </c>
    </row>
    <row r="16" spans="1:11" s="482" customFormat="1" ht="18" customHeight="1" thickBot="1" x14ac:dyDescent="0.25">
      <c r="A16" s="796" t="s">
        <v>405</v>
      </c>
      <c r="B16" s="1144">
        <f t="shared" ref="B16:J16" si="3">SUM(B10:B15)</f>
        <v>442410539</v>
      </c>
      <c r="C16" s="1375">
        <f t="shared" si="3"/>
        <v>1512687489</v>
      </c>
      <c r="D16" s="1375">
        <f t="shared" si="3"/>
        <v>1955098028</v>
      </c>
      <c r="E16" s="1375">
        <f t="shared" si="3"/>
        <v>1164352106</v>
      </c>
      <c r="F16" s="1375">
        <f t="shared" si="3"/>
        <v>219658250</v>
      </c>
      <c r="G16" s="1375">
        <f t="shared" si="3"/>
        <v>540525166</v>
      </c>
      <c r="H16" s="1144">
        <f t="shared" si="3"/>
        <v>2500</v>
      </c>
      <c r="I16" s="1144">
        <f t="shared" si="3"/>
        <v>0</v>
      </c>
      <c r="J16" s="1144">
        <f t="shared" si="3"/>
        <v>30560006</v>
      </c>
      <c r="K16" s="1193">
        <f>SUM(K10:K15)</f>
        <v>1955098028</v>
      </c>
    </row>
    <row r="17" spans="1:11" s="427" customFormat="1" ht="11.25" x14ac:dyDescent="0.2">
      <c r="A17" s="797"/>
      <c r="B17" s="797"/>
      <c r="C17" s="797"/>
      <c r="D17" s="798"/>
      <c r="E17" s="797"/>
      <c r="F17" s="797"/>
      <c r="G17" s="797"/>
      <c r="H17" s="797"/>
      <c r="I17" s="797"/>
      <c r="J17" s="797"/>
      <c r="K17" s="798"/>
    </row>
    <row r="18" spans="1:11" s="427" customFormat="1" ht="11.25" x14ac:dyDescent="0.2">
      <c r="A18" s="797"/>
      <c r="B18" s="797"/>
      <c r="C18" s="797"/>
      <c r="D18" s="798"/>
      <c r="E18" s="797"/>
      <c r="F18" s="797"/>
      <c r="G18" s="797"/>
      <c r="H18" s="797"/>
      <c r="I18" s="797"/>
      <c r="J18" s="797"/>
      <c r="K18" s="798"/>
    </row>
    <row r="19" spans="1:11" x14ac:dyDescent="0.2">
      <c r="B19" s="799"/>
      <c r="C19" s="799"/>
      <c r="D19" s="799"/>
    </row>
    <row r="20" spans="1:11" x14ac:dyDescent="0.2">
      <c r="C20" s="799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5"/>
  <sheetViews>
    <sheetView workbookViewId="0">
      <selection sqref="A1:D1"/>
    </sheetView>
  </sheetViews>
  <sheetFormatPr defaultColWidth="10.6640625" defaultRowHeight="12.75" x14ac:dyDescent="0.2"/>
  <cols>
    <col min="1" max="1" width="10" style="490" customWidth="1"/>
    <col min="2" max="2" width="37.33203125" style="490" customWidth="1"/>
    <col min="3" max="3" width="24.83203125" style="490" customWidth="1"/>
    <col min="4" max="4" width="22.6640625" style="490" customWidth="1"/>
    <col min="5" max="5" width="11.6640625" style="490" bestFit="1" customWidth="1"/>
    <col min="6" max="16384" width="10.6640625" style="490"/>
  </cols>
  <sheetData>
    <row r="1" spans="1:7" ht="15.75" x14ac:dyDescent="0.25">
      <c r="A1" s="1513" t="str">
        <f>CONCATENATE("22. melléklet"," ",ALAPADATOK!A7," ",ALAPADATOK!B7," ",ALAPADATOK!C7," ",ALAPADATOK!D7," ",ALAPADATOK!E7," ",ALAPADATOK!F7," ",ALAPADATOK!G7," ",ALAPADATOK!H7)</f>
        <v>22. melléklet a 21 / 2020. ( IX.25. ) önkormányzati rendelethez</v>
      </c>
      <c r="B1" s="1513"/>
      <c r="C1" s="1513"/>
      <c r="D1" s="1513"/>
      <c r="E1" s="1038"/>
      <c r="F1" s="1038"/>
      <c r="G1" s="1038"/>
    </row>
    <row r="2" spans="1:7" ht="15.75" x14ac:dyDescent="0.25">
      <c r="A2" s="317"/>
      <c r="B2" s="317"/>
      <c r="C2" s="317"/>
      <c r="D2" s="318"/>
    </row>
    <row r="3" spans="1:7" ht="15.75" x14ac:dyDescent="0.25">
      <c r="A3" s="317"/>
      <c r="B3" s="317"/>
      <c r="C3" s="317"/>
      <c r="D3" s="404"/>
    </row>
    <row r="4" spans="1:7" ht="15.75" x14ac:dyDescent="0.25">
      <c r="A4" s="317"/>
      <c r="B4" s="317"/>
      <c r="C4" s="317"/>
      <c r="D4" s="405"/>
    </row>
    <row r="5" spans="1:7" ht="15.75" x14ac:dyDescent="0.25">
      <c r="A5" s="317"/>
      <c r="B5" s="317"/>
      <c r="C5" s="317"/>
      <c r="D5" s="405"/>
    </row>
    <row r="6" spans="1:7" ht="15.75" x14ac:dyDescent="0.25">
      <c r="A6" s="317"/>
      <c r="B6" s="317"/>
      <c r="C6" s="317"/>
      <c r="D6" s="406"/>
    </row>
    <row r="7" spans="1:7" ht="19.5" x14ac:dyDescent="0.35">
      <c r="A7" s="319" t="s">
        <v>380</v>
      </c>
      <c r="B7" s="319"/>
      <c r="C7" s="319"/>
      <c r="D7" s="407"/>
    </row>
    <row r="8" spans="1:7" ht="19.5" x14ac:dyDescent="0.35">
      <c r="A8" s="319" t="s">
        <v>816</v>
      </c>
      <c r="B8" s="319"/>
      <c r="C8" s="319"/>
      <c r="D8" s="407"/>
    </row>
    <row r="9" spans="1:7" ht="19.5" x14ac:dyDescent="0.35">
      <c r="A9" s="319"/>
      <c r="B9" s="319"/>
      <c r="C9" s="319"/>
      <c r="D9" s="407"/>
    </row>
    <row r="10" spans="1:7" ht="19.5" x14ac:dyDescent="0.35">
      <c r="A10" s="319"/>
      <c r="B10" s="319"/>
      <c r="C10" s="319"/>
      <c r="D10" s="407"/>
    </row>
    <row r="11" spans="1:7" ht="19.5" x14ac:dyDescent="0.35">
      <c r="A11" s="319"/>
      <c r="B11" s="319"/>
      <c r="C11" s="319"/>
      <c r="D11" s="407"/>
    </row>
    <row r="12" spans="1:7" ht="16.5" thickBot="1" x14ac:dyDescent="0.3">
      <c r="A12" s="317"/>
      <c r="B12" s="317"/>
      <c r="C12" s="317"/>
      <c r="D12" s="408" t="s">
        <v>4</v>
      </c>
    </row>
    <row r="13" spans="1:7" s="491" customFormat="1" ht="33" customHeight="1" thickBot="1" x14ac:dyDescent="0.25">
      <c r="A13" s="320" t="s">
        <v>64</v>
      </c>
      <c r="B13" s="321"/>
      <c r="C13" s="322"/>
      <c r="D13" s="409" t="s">
        <v>57</v>
      </c>
    </row>
    <row r="14" spans="1:7" ht="16.5" thickBot="1" x14ac:dyDescent="0.3">
      <c r="A14" s="444" t="s">
        <v>61</v>
      </c>
      <c r="B14" s="445"/>
      <c r="C14" s="446"/>
      <c r="D14" s="447">
        <f>20000000+10207308-13229384-322815+29863551-32000+769709</f>
        <v>47256369</v>
      </c>
      <c r="E14" s="492"/>
      <c r="F14" s="493"/>
    </row>
    <row r="15" spans="1:7" ht="15.75" x14ac:dyDescent="0.25">
      <c r="A15" s="439" t="s">
        <v>382</v>
      </c>
      <c r="B15" s="448"/>
      <c r="C15" s="449"/>
      <c r="D15" s="450"/>
      <c r="E15" s="493"/>
      <c r="F15" s="493"/>
    </row>
    <row r="16" spans="1:7" x14ac:dyDescent="0.2">
      <c r="A16" s="698" t="s">
        <v>676</v>
      </c>
      <c r="B16" s="411"/>
      <c r="C16" s="440"/>
      <c r="D16" s="1211">
        <f>10000000-810685-3737</f>
        <v>9185578</v>
      </c>
      <c r="E16" s="412"/>
      <c r="F16" s="410"/>
    </row>
    <row r="17" spans="1:6" x14ac:dyDescent="0.2">
      <c r="A17" s="698" t="s">
        <v>677</v>
      </c>
      <c r="B17" s="411"/>
      <c r="C17" s="440"/>
      <c r="D17" s="1211">
        <v>300000</v>
      </c>
      <c r="E17" s="412"/>
      <c r="F17" s="410"/>
    </row>
    <row r="18" spans="1:6" x14ac:dyDescent="0.2">
      <c r="A18" s="698" t="s">
        <v>678</v>
      </c>
      <c r="B18" s="411"/>
      <c r="C18" s="440"/>
      <c r="D18" s="1211">
        <v>900000</v>
      </c>
      <c r="E18" s="412"/>
      <c r="F18" s="410"/>
    </row>
    <row r="19" spans="1:6" x14ac:dyDescent="0.2">
      <c r="A19" s="698" t="s">
        <v>679</v>
      </c>
      <c r="B19" s="411"/>
      <c r="C19" s="440"/>
      <c r="D19" s="1211">
        <v>400000</v>
      </c>
      <c r="E19" s="412"/>
      <c r="F19" s="410"/>
    </row>
    <row r="20" spans="1:6" x14ac:dyDescent="0.2">
      <c r="A20" s="1045" t="s">
        <v>934</v>
      </c>
      <c r="B20" s="411"/>
      <c r="C20" s="440"/>
      <c r="D20" s="1211">
        <f>46062453-133623</f>
        <v>45928830</v>
      </c>
      <c r="E20" s="412"/>
      <c r="F20" s="410"/>
    </row>
    <row r="21" spans="1:6" x14ac:dyDescent="0.2">
      <c r="A21" s="700" t="s">
        <v>681</v>
      </c>
      <c r="B21" s="429"/>
      <c r="C21" s="440"/>
      <c r="D21" s="1211">
        <f>500000-250000</f>
        <v>250000</v>
      </c>
      <c r="E21" s="412"/>
      <c r="F21" s="410"/>
    </row>
    <row r="22" spans="1:6" x14ac:dyDescent="0.2">
      <c r="A22" s="428" t="s">
        <v>583</v>
      </c>
      <c r="B22" s="429"/>
      <c r="C22" s="440"/>
      <c r="D22" s="1211">
        <v>3500000</v>
      </c>
      <c r="E22" s="412"/>
      <c r="F22" s="410"/>
    </row>
    <row r="23" spans="1:6" x14ac:dyDescent="0.2">
      <c r="A23" s="699" t="s">
        <v>941</v>
      </c>
      <c r="B23" s="485"/>
      <c r="C23" s="486"/>
      <c r="D23" s="487">
        <v>2750000</v>
      </c>
      <c r="E23" s="412"/>
      <c r="F23" s="410"/>
    </row>
    <row r="24" spans="1:6" x14ac:dyDescent="0.2">
      <c r="A24" s="699" t="s">
        <v>940</v>
      </c>
      <c r="B24" s="485"/>
      <c r="C24" s="486"/>
      <c r="D24" s="487">
        <v>1825000</v>
      </c>
      <c r="E24" s="412"/>
      <c r="F24" s="410"/>
    </row>
    <row r="25" spans="1:6" x14ac:dyDescent="0.2">
      <c r="A25" s="699" t="s">
        <v>939</v>
      </c>
      <c r="B25" s="485"/>
      <c r="C25" s="486"/>
      <c r="D25" s="487">
        <v>10080000</v>
      </c>
      <c r="E25" s="412"/>
      <c r="F25" s="410"/>
    </row>
    <row r="26" spans="1:6" x14ac:dyDescent="0.2">
      <c r="A26" s="699" t="s">
        <v>938</v>
      </c>
      <c r="B26" s="485"/>
      <c r="C26" s="486"/>
      <c r="D26" s="487">
        <v>3000000</v>
      </c>
      <c r="E26" s="412"/>
      <c r="F26" s="410"/>
    </row>
    <row r="27" spans="1:6" x14ac:dyDescent="0.2">
      <c r="A27" s="699" t="s">
        <v>937</v>
      </c>
      <c r="B27" s="485"/>
      <c r="C27" s="486"/>
      <c r="D27" s="487">
        <v>6350000</v>
      </c>
      <c r="E27" s="412"/>
      <c r="F27" s="410"/>
    </row>
    <row r="28" spans="1:6" x14ac:dyDescent="0.2">
      <c r="A28" s="699" t="s">
        <v>936</v>
      </c>
      <c r="B28" s="485"/>
      <c r="C28" s="486"/>
      <c r="D28" s="487">
        <v>6985000</v>
      </c>
      <c r="E28" s="412"/>
      <c r="F28" s="410"/>
    </row>
    <row r="29" spans="1:6" x14ac:dyDescent="0.2">
      <c r="A29" s="1309" t="s">
        <v>935</v>
      </c>
      <c r="B29" s="1310"/>
      <c r="C29" s="1311"/>
      <c r="D29" s="1176">
        <f>15000000-15000000</f>
        <v>0</v>
      </c>
      <c r="E29" s="412"/>
      <c r="F29" s="410"/>
    </row>
    <row r="30" spans="1:6" x14ac:dyDescent="0.2">
      <c r="A30" s="699" t="s">
        <v>682</v>
      </c>
      <c r="B30" s="485"/>
      <c r="C30" s="486"/>
      <c r="D30" s="487">
        <v>4000000</v>
      </c>
      <c r="E30" s="412"/>
      <c r="F30" s="410"/>
    </row>
    <row r="31" spans="1:6" x14ac:dyDescent="0.2">
      <c r="A31" s="699" t="s">
        <v>680</v>
      </c>
      <c r="B31" s="485"/>
      <c r="C31" s="486"/>
      <c r="D31" s="1176">
        <f>1588385-1588385</f>
        <v>0</v>
      </c>
      <c r="E31" s="412"/>
      <c r="F31" s="410"/>
    </row>
    <row r="32" spans="1:6" x14ac:dyDescent="0.2">
      <c r="A32" s="1309" t="s">
        <v>1035</v>
      </c>
      <c r="B32" s="1310"/>
      <c r="C32" s="1311"/>
      <c r="D32" s="1176">
        <v>11503705</v>
      </c>
      <c r="E32" s="412"/>
      <c r="F32" s="410"/>
    </row>
    <row r="33" spans="1:4" ht="16.5" thickBot="1" x14ac:dyDescent="0.3">
      <c r="A33" s="441" t="s">
        <v>383</v>
      </c>
      <c r="B33" s="442"/>
      <c r="C33" s="443"/>
      <c r="D33" s="622">
        <f>SUM(D16:D32)</f>
        <v>106958113</v>
      </c>
    </row>
    <row r="34" spans="1:4" ht="16.5" thickBot="1" x14ac:dyDescent="0.3">
      <c r="A34" s="451"/>
      <c r="B34" s="452"/>
      <c r="C34" s="453"/>
      <c r="D34" s="453"/>
    </row>
    <row r="35" spans="1:4" ht="16.5" thickBot="1" x14ac:dyDescent="0.3">
      <c r="A35" s="444" t="s">
        <v>384</v>
      </c>
      <c r="B35" s="445"/>
      <c r="C35" s="446"/>
      <c r="D35" s="447">
        <f>SUM(D14,D33)</f>
        <v>154214482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view="pageBreakPreview" zoomScale="85" zoomScaleNormal="100" zoomScaleSheetLayoutView="85" workbookViewId="0">
      <selection activeCell="D2" sqref="D2:H2"/>
    </sheetView>
  </sheetViews>
  <sheetFormatPr defaultRowHeight="15.75" x14ac:dyDescent="0.25"/>
  <cols>
    <col min="1" max="1" width="9" style="1016" customWidth="1"/>
    <col min="2" max="2" width="67.1640625" style="1016" bestFit="1" customWidth="1"/>
    <col min="3" max="3" width="16.5" style="1031" customWidth="1"/>
    <col min="4" max="4" width="15.5" style="1031" customWidth="1"/>
    <col min="5" max="7" width="15.5" style="1031" hidden="1" customWidth="1"/>
    <col min="8" max="8" width="15.5" style="1031" customWidth="1"/>
    <col min="9" max="9" width="14.33203125" style="1015" hidden="1" customWidth="1"/>
    <col min="10" max="10" width="12.6640625" style="1015" hidden="1" customWidth="1"/>
    <col min="11" max="11" width="14.33203125" style="1015" hidden="1" customWidth="1"/>
    <col min="12" max="16384" width="9.33203125" style="1015"/>
  </cols>
  <sheetData>
    <row r="1" spans="1:11" x14ac:dyDescent="0.25">
      <c r="A1" s="1514" t="str">
        <f>CONCATENATE("23. melléklet"," ",ALAPADATOK!A7," ",ALAPADATOK!B7," ",ALAPADATOK!C7," ",ALAPADATOK!D7," ",ALAPADATOK!E7," ",ALAPADATOK!F7," ",ALAPADATOK!G7," ",ALAPADATOK!H7)</f>
        <v>23. melléklet a 21 / 2020. ( IX.25. ) önkormányzati rendelethez</v>
      </c>
      <c r="B1" s="1514"/>
      <c r="C1" s="1514"/>
      <c r="D1" s="1514"/>
      <c r="E1" s="1514"/>
      <c r="F1" s="1514"/>
      <c r="G1" s="1514"/>
      <c r="H1" s="1514"/>
    </row>
    <row r="2" spans="1:11" x14ac:dyDescent="0.25">
      <c r="H2" s="1437" t="s">
        <v>1028</v>
      </c>
    </row>
    <row r="3" spans="1:11" ht="35.25" customHeight="1" x14ac:dyDescent="0.25">
      <c r="A3" s="1515" t="s">
        <v>818</v>
      </c>
      <c r="B3" s="1516"/>
      <c r="C3" s="1516"/>
      <c r="D3" s="1516"/>
      <c r="E3" s="1516"/>
      <c r="F3" s="1516"/>
      <c r="G3" s="1516"/>
      <c r="H3" s="1516"/>
    </row>
    <row r="5" spans="1:11" ht="15.95" customHeight="1" x14ac:dyDescent="0.25">
      <c r="A5" s="1445" t="s">
        <v>18</v>
      </c>
      <c r="B5" s="1445"/>
      <c r="C5" s="1445"/>
      <c r="D5" s="1445"/>
      <c r="E5" s="1445"/>
      <c r="F5" s="1445"/>
      <c r="G5" s="1445"/>
      <c r="H5" s="1445"/>
    </row>
    <row r="6" spans="1:11" ht="15.95" customHeight="1" thickBot="1" x14ac:dyDescent="0.3">
      <c r="A6" s="1444" t="s">
        <v>129</v>
      </c>
      <c r="B6" s="1444"/>
      <c r="C6" s="624"/>
      <c r="D6" s="624"/>
      <c r="E6" s="625"/>
      <c r="F6" s="625"/>
      <c r="G6" s="625"/>
      <c r="H6" s="626" t="s">
        <v>564</v>
      </c>
    </row>
    <row r="7" spans="1:11" ht="38.1" customHeight="1" thickBot="1" x14ac:dyDescent="0.3">
      <c r="A7" s="20" t="s">
        <v>72</v>
      </c>
      <c r="B7" s="21" t="s">
        <v>20</v>
      </c>
      <c r="C7" s="627" t="s">
        <v>817</v>
      </c>
      <c r="D7" s="627" t="s">
        <v>942</v>
      </c>
      <c r="E7" s="628"/>
      <c r="F7" s="628"/>
      <c r="G7" s="628"/>
      <c r="H7" s="629" t="s">
        <v>787</v>
      </c>
    </row>
    <row r="8" spans="1:11" s="281" customFormat="1" ht="12" customHeight="1" thickBot="1" x14ac:dyDescent="0.25">
      <c r="A8" s="25" t="s">
        <v>447</v>
      </c>
      <c r="B8" s="26" t="s">
        <v>448</v>
      </c>
      <c r="C8" s="630" t="s">
        <v>449</v>
      </c>
      <c r="D8" s="630" t="s">
        <v>499</v>
      </c>
      <c r="E8" s="631"/>
      <c r="F8" s="631"/>
      <c r="G8" s="631"/>
      <c r="H8" s="632" t="s">
        <v>500</v>
      </c>
    </row>
    <row r="9" spans="1:11" s="283" customFormat="1" ht="12" customHeight="1" thickBot="1" x14ac:dyDescent="0.25">
      <c r="A9" s="17" t="s">
        <v>21</v>
      </c>
      <c r="B9" s="18" t="s">
        <v>195</v>
      </c>
      <c r="C9" s="630">
        <f>SUM(C10:C17)</f>
        <v>1170233686</v>
      </c>
      <c r="D9" s="630">
        <f>SUM(D10:D17)</f>
        <v>1324135065</v>
      </c>
      <c r="E9" s="634">
        <f>+E10+E11+E12+E15+E16+E17</f>
        <v>1133144785</v>
      </c>
      <c r="F9" s="633">
        <f>+F10+F11+F12+F15+F16+F17</f>
        <v>0</v>
      </c>
      <c r="G9" s="633">
        <f>+G10+G11+G12+G15+G16+G17</f>
        <v>0</v>
      </c>
      <c r="H9" s="117">
        <f>'1.1.sz.mell. '!C11</f>
        <v>1492762052</v>
      </c>
      <c r="I9" s="282">
        <f>+I10+I11+I12+I15+I16+I17</f>
        <v>1460810310</v>
      </c>
      <c r="J9" s="117">
        <f>+J10+J11+J12+J15+J16+J17</f>
        <v>0</v>
      </c>
      <c r="K9" s="117">
        <f>+K10+K11+K12+K15+K16+K17</f>
        <v>0</v>
      </c>
    </row>
    <row r="10" spans="1:11" s="283" customFormat="1" ht="12" customHeight="1" x14ac:dyDescent="0.2">
      <c r="A10" s="12" t="s">
        <v>100</v>
      </c>
      <c r="B10" s="296" t="s">
        <v>196</v>
      </c>
      <c r="C10" s="1312">
        <v>228389971</v>
      </c>
      <c r="D10" s="635">
        <v>218098142</v>
      </c>
      <c r="E10" s="636">
        <v>227512539</v>
      </c>
      <c r="F10" s="637"/>
      <c r="G10" s="637"/>
      <c r="H10" s="475">
        <f>'1.1.sz.mell. '!C12</f>
        <v>257758444</v>
      </c>
      <c r="I10" s="231">
        <v>211161846</v>
      </c>
      <c r="J10" s="231"/>
      <c r="K10" s="231"/>
    </row>
    <row r="11" spans="1:11" s="283" customFormat="1" ht="12" customHeight="1" x14ac:dyDescent="0.2">
      <c r="A11" s="11" t="s">
        <v>101</v>
      </c>
      <c r="B11" s="297" t="s">
        <v>197</v>
      </c>
      <c r="C11" s="1313">
        <v>227307468</v>
      </c>
      <c r="D11" s="638">
        <v>238466411</v>
      </c>
      <c r="E11" s="639">
        <v>218107294</v>
      </c>
      <c r="F11" s="640"/>
      <c r="G11" s="640"/>
      <c r="H11" s="305">
        <f>'1.1.sz.mell. '!C13</f>
        <v>246915579</v>
      </c>
      <c r="I11" s="1206">
        <v>235351616</v>
      </c>
      <c r="J11" s="1206"/>
      <c r="K11" s="1206"/>
    </row>
    <row r="12" spans="1:11" s="283" customFormat="1" ht="12" customHeight="1" x14ac:dyDescent="0.2">
      <c r="A12" s="11" t="s">
        <v>102</v>
      </c>
      <c r="B12" s="297" t="s">
        <v>198</v>
      </c>
      <c r="C12" s="1313">
        <v>660574907</v>
      </c>
      <c r="D12" s="638">
        <v>784493453</v>
      </c>
      <c r="E12" s="639">
        <f>121200000+67844165+118423160+15562200+177597260+4526280+11511000+24250000+62625967</f>
        <v>603540032</v>
      </c>
      <c r="F12" s="640"/>
      <c r="G12" s="640"/>
      <c r="H12" s="305">
        <f>'1.1.sz.mell. '!C14</f>
        <v>815989004</v>
      </c>
      <c r="I12" s="1206">
        <f>132342947+82528441+152850000+191583306+50232560+61299400+1796961+73694436</f>
        <v>746328051</v>
      </c>
      <c r="J12" s="1206"/>
      <c r="K12" s="1206"/>
    </row>
    <row r="13" spans="1:11" s="283" customFormat="1" ht="24" customHeight="1" x14ac:dyDescent="0.2">
      <c r="A13" s="11" t="s">
        <v>997</v>
      </c>
      <c r="B13" s="297" t="s">
        <v>1000</v>
      </c>
      <c r="C13" s="1313">
        <v>0</v>
      </c>
      <c r="D13" s="638">
        <v>0</v>
      </c>
      <c r="E13" s="639"/>
      <c r="F13" s="640"/>
      <c r="G13" s="640"/>
      <c r="H13" s="305">
        <f>'1.1.sz.mell. '!C15</f>
        <v>626080962</v>
      </c>
      <c r="I13" s="1206"/>
      <c r="J13" s="1206"/>
      <c r="K13" s="1206"/>
    </row>
    <row r="14" spans="1:11" s="283" customFormat="1" ht="12" customHeight="1" x14ac:dyDescent="0.2">
      <c r="A14" s="11" t="s">
        <v>998</v>
      </c>
      <c r="B14" s="297" t="s">
        <v>1001</v>
      </c>
      <c r="C14" s="1313">
        <v>0</v>
      </c>
      <c r="D14" s="638">
        <v>0</v>
      </c>
      <c r="E14" s="639"/>
      <c r="F14" s="640"/>
      <c r="G14" s="640"/>
      <c r="H14" s="305">
        <f>'1.1.sz.mell. '!C16</f>
        <v>189908042</v>
      </c>
      <c r="I14" s="1206"/>
      <c r="J14" s="1206"/>
      <c r="K14" s="1206"/>
    </row>
    <row r="15" spans="1:11" s="283" customFormat="1" ht="12" customHeight="1" x14ac:dyDescent="0.2">
      <c r="A15" s="11" t="s">
        <v>103</v>
      </c>
      <c r="B15" s="297" t="s">
        <v>199</v>
      </c>
      <c r="C15" s="1313">
        <v>34596226</v>
      </c>
      <c r="D15" s="638">
        <v>34753573</v>
      </c>
      <c r="E15" s="639">
        <f>4412740+15262320+10629000</f>
        <v>30304060</v>
      </c>
      <c r="F15" s="640"/>
      <c r="G15" s="640"/>
      <c r="H15" s="305">
        <f>'1.1.sz.mell. '!C17</f>
        <v>39550749</v>
      </c>
      <c r="I15" s="1206">
        <f>4617241+15998620+12622000</f>
        <v>33237861</v>
      </c>
      <c r="J15" s="1206"/>
      <c r="K15" s="1206"/>
    </row>
    <row r="16" spans="1:11" s="283" customFormat="1" ht="12" customHeight="1" x14ac:dyDescent="0.2">
      <c r="A16" s="11" t="s">
        <v>126</v>
      </c>
      <c r="B16" s="455" t="s">
        <v>450</v>
      </c>
      <c r="C16" s="1313">
        <v>19365114</v>
      </c>
      <c r="D16" s="638">
        <v>48323486</v>
      </c>
      <c r="E16" s="639">
        <f>3551000+1060845+168707597+58000+128000-119824582</f>
        <v>53680860</v>
      </c>
      <c r="F16" s="640"/>
      <c r="G16" s="640"/>
      <c r="H16" s="305">
        <f>'1.1.sz.mell. '!C18</f>
        <v>132548276</v>
      </c>
      <c r="I16" s="1206">
        <f>29417493+205313443</f>
        <v>234730936</v>
      </c>
      <c r="J16" s="1206"/>
      <c r="K16" s="1206"/>
    </row>
    <row r="17" spans="1:11" s="283" customFormat="1" ht="12" customHeight="1" thickBot="1" x14ac:dyDescent="0.25">
      <c r="A17" s="13" t="s">
        <v>104</v>
      </c>
      <c r="B17" s="456" t="s">
        <v>451</v>
      </c>
      <c r="C17" s="1314"/>
      <c r="D17" s="641"/>
      <c r="E17" s="642"/>
      <c r="F17" s="643"/>
      <c r="G17" s="643"/>
      <c r="H17" s="476">
        <f>'1.1.sz.mell. '!C19</f>
        <v>0</v>
      </c>
      <c r="I17" s="106"/>
      <c r="J17" s="118"/>
      <c r="K17" s="118"/>
    </row>
    <row r="18" spans="1:11" s="283" customFormat="1" ht="12" customHeight="1" thickBot="1" x14ac:dyDescent="0.25">
      <c r="A18" s="17" t="s">
        <v>22</v>
      </c>
      <c r="B18" s="457" t="s">
        <v>200</v>
      </c>
      <c r="C18" s="1315">
        <f>SUM(C19:C23)</f>
        <v>215496398</v>
      </c>
      <c r="D18" s="1315">
        <f>SUM(D19:D23)</f>
        <v>185927249</v>
      </c>
      <c r="E18" s="634">
        <f>+E19+E20+E21+E22+E23</f>
        <v>-145452435</v>
      </c>
      <c r="F18" s="633">
        <f>+F19+F20+F21+F22+F23</f>
        <v>0</v>
      </c>
      <c r="G18" s="633">
        <f>+G19+G20+G21+G22+G23</f>
        <v>5485000</v>
      </c>
      <c r="H18" s="117">
        <f>'1.1.sz.mell. '!C20</f>
        <v>337970675</v>
      </c>
      <c r="I18" s="282">
        <f>+I19+I20+I21+I22+I23</f>
        <v>203725813</v>
      </c>
      <c r="J18" s="117">
        <f>+J19+J20+J21+J22+J23</f>
        <v>0</v>
      </c>
      <c r="K18" s="117">
        <f>+K19+K20+K21+K22+K23</f>
        <v>22754943</v>
      </c>
    </row>
    <row r="19" spans="1:11" s="283" customFormat="1" ht="12" customHeight="1" x14ac:dyDescent="0.2">
      <c r="A19" s="12" t="s">
        <v>106</v>
      </c>
      <c r="B19" s="296" t="s">
        <v>201</v>
      </c>
      <c r="C19" s="1313"/>
      <c r="D19" s="635"/>
      <c r="E19" s="644"/>
      <c r="F19" s="645"/>
      <c r="G19" s="645"/>
      <c r="H19" s="475">
        <f>'1.1.sz.mell. '!C21</f>
        <v>0</v>
      </c>
      <c r="I19" s="284"/>
      <c r="J19" s="119"/>
      <c r="K19" s="119"/>
    </row>
    <row r="20" spans="1:11" s="283" customFormat="1" ht="12" customHeight="1" x14ac:dyDescent="0.2">
      <c r="A20" s="11" t="s">
        <v>107</v>
      </c>
      <c r="B20" s="297" t="s">
        <v>202</v>
      </c>
      <c r="C20" s="1313"/>
      <c r="D20" s="638"/>
      <c r="E20" s="642"/>
      <c r="F20" s="643"/>
      <c r="G20" s="643"/>
      <c r="H20" s="305">
        <f>'1.1.sz.mell. '!C22</f>
        <v>0</v>
      </c>
      <c r="I20" s="106"/>
      <c r="J20" s="118"/>
      <c r="K20" s="118"/>
    </row>
    <row r="21" spans="1:11" s="283" customFormat="1" ht="12" customHeight="1" x14ac:dyDescent="0.2">
      <c r="A21" s="11" t="s">
        <v>108</v>
      </c>
      <c r="B21" s="297" t="s">
        <v>370</v>
      </c>
      <c r="C21" s="1313"/>
      <c r="D21" s="638"/>
      <c r="E21" s="642"/>
      <c r="F21" s="643"/>
      <c r="G21" s="643"/>
      <c r="H21" s="305">
        <f>'1.1.sz.mell. '!C23</f>
        <v>0</v>
      </c>
      <c r="I21" s="106"/>
      <c r="J21" s="118"/>
      <c r="K21" s="118"/>
    </row>
    <row r="22" spans="1:11" s="283" customFormat="1" ht="12" customHeight="1" x14ac:dyDescent="0.2">
      <c r="A22" s="11" t="s">
        <v>109</v>
      </c>
      <c r="B22" s="297" t="s">
        <v>371</v>
      </c>
      <c r="C22" s="1313"/>
      <c r="D22" s="638"/>
      <c r="E22" s="642"/>
      <c r="F22" s="643"/>
      <c r="G22" s="643"/>
      <c r="H22" s="305">
        <f>'1.1.sz.mell. '!C24</f>
        <v>0</v>
      </c>
      <c r="I22" s="106"/>
      <c r="J22" s="118"/>
      <c r="K22" s="118"/>
    </row>
    <row r="23" spans="1:11" s="283" customFormat="1" ht="12" customHeight="1" x14ac:dyDescent="0.2">
      <c r="A23" s="11" t="s">
        <v>110</v>
      </c>
      <c r="B23" s="297" t="s">
        <v>203</v>
      </c>
      <c r="C23" s="1313">
        <v>215496398</v>
      </c>
      <c r="D23" s="638">
        <v>185927249</v>
      </c>
      <c r="E23" s="639">
        <f>2285000+210000+110446000+65342000-323735435</f>
        <v>-145452435</v>
      </c>
      <c r="F23" s="640"/>
      <c r="G23" s="640">
        <v>5485000</v>
      </c>
      <c r="H23" s="305">
        <f>'1.1.sz.mell. '!C25</f>
        <v>337970675</v>
      </c>
      <c r="I23" s="1207">
        <f>102792540+24250000+3975280+5670000+67037993</f>
        <v>203725813</v>
      </c>
      <c r="J23" s="1206"/>
      <c r="K23" s="1206">
        <v>22754943</v>
      </c>
    </row>
    <row r="24" spans="1:11" s="283" customFormat="1" ht="12" customHeight="1" thickBot="1" x14ac:dyDescent="0.25">
      <c r="A24" s="13" t="s">
        <v>119</v>
      </c>
      <c r="B24" s="456" t="s">
        <v>204</v>
      </c>
      <c r="C24" s="1314">
        <v>27120913</v>
      </c>
      <c r="D24" s="641">
        <f>44046085</f>
        <v>44046085</v>
      </c>
      <c r="E24" s="646"/>
      <c r="F24" s="647"/>
      <c r="G24" s="647"/>
      <c r="H24" s="476">
        <f>'1.1.sz.mell. '!C26</f>
        <v>199298890</v>
      </c>
      <c r="I24" s="1208">
        <f>67037993</f>
        <v>67037993</v>
      </c>
      <c r="J24" s="182"/>
      <c r="K24" s="182">
        <v>754943</v>
      </c>
    </row>
    <row r="25" spans="1:11" s="283" customFormat="1" ht="12" customHeight="1" thickBot="1" x14ac:dyDescent="0.25">
      <c r="A25" s="17" t="s">
        <v>23</v>
      </c>
      <c r="B25" s="454" t="s">
        <v>205</v>
      </c>
      <c r="C25" s="1315">
        <f>SUM(C26:C30)</f>
        <v>27196638</v>
      </c>
      <c r="D25" s="1315">
        <f>SUM(D26:D30)</f>
        <v>1026676989</v>
      </c>
      <c r="E25" s="634">
        <f>+E26+E27+E28+E29+E30</f>
        <v>-11381976</v>
      </c>
      <c r="F25" s="633">
        <f>+F26+F27+F28+F29+F30</f>
        <v>0</v>
      </c>
      <c r="G25" s="633">
        <f>+G26+G27+G28+G29+G30</f>
        <v>0</v>
      </c>
      <c r="H25" s="117">
        <f>'1.1.sz.mell. '!C27</f>
        <v>50457784</v>
      </c>
      <c r="I25" s="282">
        <f>+I26+I27+I28+I29+I30</f>
        <v>82409566</v>
      </c>
      <c r="J25" s="117">
        <f>+J26+J27+J28+J29+J30</f>
        <v>0</v>
      </c>
      <c r="K25" s="117">
        <f>+K26+K27+K28+K29+K30</f>
        <v>0</v>
      </c>
    </row>
    <row r="26" spans="1:11" s="283" customFormat="1" ht="12" customHeight="1" x14ac:dyDescent="0.2">
      <c r="A26" s="12" t="s">
        <v>89</v>
      </c>
      <c r="B26" s="296" t="s">
        <v>206</v>
      </c>
      <c r="C26" s="1313">
        <v>19753000</v>
      </c>
      <c r="D26" s="635">
        <v>370138900</v>
      </c>
      <c r="E26" s="648"/>
      <c r="F26" s="649"/>
      <c r="G26" s="649"/>
      <c r="H26" s="475">
        <f>'1.1.sz.mell. '!C28</f>
        <v>0</v>
      </c>
      <c r="I26" s="1209"/>
      <c r="J26" s="589"/>
      <c r="K26" s="589"/>
    </row>
    <row r="27" spans="1:11" s="283" customFormat="1" ht="12" customHeight="1" x14ac:dyDescent="0.2">
      <c r="A27" s="11" t="s">
        <v>90</v>
      </c>
      <c r="B27" s="297" t="s">
        <v>207</v>
      </c>
      <c r="C27" s="1313"/>
      <c r="D27" s="650"/>
      <c r="E27" s="639"/>
      <c r="F27" s="640"/>
      <c r="G27" s="640"/>
      <c r="H27" s="478">
        <f>'1.1.sz.mell. '!C29</f>
        <v>0</v>
      </c>
      <c r="I27" s="1207"/>
      <c r="J27" s="1206"/>
      <c r="K27" s="1206"/>
    </row>
    <row r="28" spans="1:11" s="283" customFormat="1" ht="12" customHeight="1" x14ac:dyDescent="0.2">
      <c r="A28" s="11" t="s">
        <v>91</v>
      </c>
      <c r="B28" s="297" t="s">
        <v>372</v>
      </c>
      <c r="C28" s="1313"/>
      <c r="D28" s="638"/>
      <c r="E28" s="639"/>
      <c r="F28" s="640"/>
      <c r="G28" s="640"/>
      <c r="H28" s="305">
        <f>'1.1.sz.mell. '!C30</f>
        <v>0</v>
      </c>
      <c r="I28" s="1207"/>
      <c r="J28" s="1206"/>
      <c r="K28" s="1206"/>
    </row>
    <row r="29" spans="1:11" s="283" customFormat="1" ht="12" customHeight="1" x14ac:dyDescent="0.2">
      <c r="A29" s="11" t="s">
        <v>92</v>
      </c>
      <c r="B29" s="297" t="s">
        <v>373</v>
      </c>
      <c r="C29" s="1313"/>
      <c r="D29" s="638"/>
      <c r="E29" s="639"/>
      <c r="F29" s="640"/>
      <c r="G29" s="640"/>
      <c r="H29" s="305">
        <f>'1.1.sz.mell. '!C31</f>
        <v>0</v>
      </c>
      <c r="I29" s="1207"/>
      <c r="J29" s="1206"/>
      <c r="K29" s="1206"/>
    </row>
    <row r="30" spans="1:11" s="283" customFormat="1" ht="12" customHeight="1" x14ac:dyDescent="0.2">
      <c r="A30" s="11" t="s">
        <v>137</v>
      </c>
      <c r="B30" s="297" t="s">
        <v>208</v>
      </c>
      <c r="C30" s="1313">
        <v>7443638</v>
      </c>
      <c r="D30" s="638">
        <v>656538089</v>
      </c>
      <c r="E30" s="639">
        <f>3797300-15179276</f>
        <v>-11381976</v>
      </c>
      <c r="F30" s="640"/>
      <c r="G30" s="640"/>
      <c r="H30" s="305">
        <f>'1.1.sz.mell. '!C32</f>
        <v>50457784</v>
      </c>
      <c r="I30" s="1207">
        <f>5596040+25377271+3487179+47949076</f>
        <v>82409566</v>
      </c>
      <c r="J30" s="1206"/>
      <c r="K30" s="1206"/>
    </row>
    <row r="31" spans="1:11" s="283" customFormat="1" ht="12" customHeight="1" thickBot="1" x14ac:dyDescent="0.25">
      <c r="A31" s="13" t="s">
        <v>138</v>
      </c>
      <c r="B31" s="298" t="s">
        <v>209</v>
      </c>
      <c r="C31" s="1314">
        <v>3104638</v>
      </c>
      <c r="D31" s="641">
        <v>647953089</v>
      </c>
      <c r="E31" s="646">
        <v>3797300</v>
      </c>
      <c r="F31" s="647"/>
      <c r="G31" s="647"/>
      <c r="H31" s="476">
        <f>'1.1.sz.mell. '!C33</f>
        <v>35637784</v>
      </c>
      <c r="I31" s="1208">
        <f>5596040+25377271+3487179+47949076</f>
        <v>82409566</v>
      </c>
      <c r="J31" s="182"/>
      <c r="K31" s="182"/>
    </row>
    <row r="32" spans="1:11" s="283" customFormat="1" ht="12" customHeight="1" thickBot="1" x14ac:dyDescent="0.25">
      <c r="A32" s="17" t="s">
        <v>139</v>
      </c>
      <c r="B32" s="454" t="s">
        <v>210</v>
      </c>
      <c r="C32" s="1315">
        <f>C33+C36+C37+C38+C39</f>
        <v>401728642</v>
      </c>
      <c r="D32" s="1315">
        <f>D33+D36+D37+D38+D39</f>
        <v>470233739</v>
      </c>
      <c r="E32" s="651">
        <f>+E33+E37+E38+E39</f>
        <v>329390000</v>
      </c>
      <c r="F32" s="652">
        <f>+F33+F37+F38+F39</f>
        <v>0</v>
      </c>
      <c r="G32" s="652">
        <f>+G33+G37+G38+G39</f>
        <v>0</v>
      </c>
      <c r="H32" s="117">
        <f>'1.1.sz.mell. '!C34</f>
        <v>503000000</v>
      </c>
      <c r="I32" s="285">
        <f>+I33+I37+I38+I39</f>
        <v>481500000</v>
      </c>
      <c r="J32" s="122">
        <f>+J33+J37+J38+J39</f>
        <v>0</v>
      </c>
      <c r="K32" s="122">
        <f>+K33+K37+K38+K39</f>
        <v>0</v>
      </c>
    </row>
    <row r="33" spans="1:11" s="283" customFormat="1" ht="12" customHeight="1" x14ac:dyDescent="0.2">
      <c r="A33" s="12" t="s">
        <v>211</v>
      </c>
      <c r="B33" s="296" t="s">
        <v>652</v>
      </c>
      <c r="C33" s="1313">
        <f>SUM(C34:C35)</f>
        <v>361268804</v>
      </c>
      <c r="D33" s="1313">
        <f>SUM(D34:D35)</f>
        <v>424778074</v>
      </c>
      <c r="E33" s="653">
        <f>SUM(E34:E36)</f>
        <v>292830000</v>
      </c>
      <c r="F33" s="654"/>
      <c r="G33" s="654"/>
      <c r="H33" s="475">
        <f>'1.1.sz.mell. '!C35</f>
        <v>486000000</v>
      </c>
      <c r="I33" s="299">
        <f>SUM(I34:I35)</f>
        <v>430000000</v>
      </c>
      <c r="J33" s="299">
        <f>SUM(J34:J35)</f>
        <v>0</v>
      </c>
      <c r="K33" s="299">
        <f>SUM(K34:K35)</f>
        <v>0</v>
      </c>
    </row>
    <row r="34" spans="1:11" s="283" customFormat="1" ht="12" customHeight="1" x14ac:dyDescent="0.2">
      <c r="A34" s="11" t="s">
        <v>212</v>
      </c>
      <c r="B34" s="297" t="s">
        <v>217</v>
      </c>
      <c r="C34" s="1313">
        <f>76659666</f>
        <v>76659666</v>
      </c>
      <c r="D34" s="638">
        <v>81767339</v>
      </c>
      <c r="E34" s="642">
        <f>8990000+70000000</f>
        <v>78990000</v>
      </c>
      <c r="F34" s="643"/>
      <c r="G34" s="643"/>
      <c r="H34" s="305">
        <f>'1.1.sz.mell. '!C36</f>
        <v>86000000</v>
      </c>
      <c r="I34" s="106">
        <f>80000000+9000000</f>
        <v>89000000</v>
      </c>
      <c r="J34" s="118"/>
      <c r="K34" s="118"/>
    </row>
    <row r="35" spans="1:11" s="283" customFormat="1" ht="12" customHeight="1" x14ac:dyDescent="0.2">
      <c r="A35" s="11" t="s">
        <v>213</v>
      </c>
      <c r="B35" s="672" t="s">
        <v>651</v>
      </c>
      <c r="C35" s="1313">
        <f>284609138</f>
        <v>284609138</v>
      </c>
      <c r="D35" s="638">
        <v>343010735</v>
      </c>
      <c r="E35" s="642">
        <f>203840000+10000000</f>
        <v>213840000</v>
      </c>
      <c r="F35" s="643"/>
      <c r="G35" s="643"/>
      <c r="H35" s="304">
        <f>'1.1.sz.mell. '!C37</f>
        <v>400000000</v>
      </c>
      <c r="I35" s="106">
        <f>341000000</f>
        <v>341000000</v>
      </c>
      <c r="J35" s="118"/>
      <c r="K35" s="118"/>
    </row>
    <row r="36" spans="1:11" s="283" customFormat="1" ht="12" customHeight="1" x14ac:dyDescent="0.2">
      <c r="A36" s="11" t="s">
        <v>214</v>
      </c>
      <c r="B36" s="297" t="s">
        <v>538</v>
      </c>
      <c r="C36" s="1313">
        <f>67510</f>
        <v>67510</v>
      </c>
      <c r="D36" s="638">
        <v>39072</v>
      </c>
      <c r="E36" s="639"/>
      <c r="F36" s="640"/>
      <c r="G36" s="640"/>
      <c r="H36" s="304">
        <f>'1.1.sz.mell. '!C38</f>
        <v>0</v>
      </c>
      <c r="I36" s="1207"/>
      <c r="J36" s="1206"/>
      <c r="K36" s="1206"/>
    </row>
    <row r="37" spans="1:11" s="283" customFormat="1" ht="12" customHeight="1" x14ac:dyDescent="0.2">
      <c r="A37" s="11" t="s">
        <v>539</v>
      </c>
      <c r="B37" s="297" t="s">
        <v>218</v>
      </c>
      <c r="C37" s="1313">
        <v>30048092</v>
      </c>
      <c r="D37" s="638">
        <v>31727403</v>
      </c>
      <c r="E37" s="642">
        <f>27000000</f>
        <v>27000000</v>
      </c>
      <c r="F37" s="643"/>
      <c r="G37" s="643"/>
      <c r="H37" s="304">
        <f>'1.1.sz.mell. '!C39</f>
        <v>0</v>
      </c>
      <c r="I37" s="106">
        <f>35000000</f>
        <v>35000000</v>
      </c>
      <c r="J37" s="118"/>
      <c r="K37" s="118"/>
    </row>
    <row r="38" spans="1:11" s="283" customFormat="1" ht="12" customHeight="1" x14ac:dyDescent="0.2">
      <c r="A38" s="11" t="s">
        <v>216</v>
      </c>
      <c r="B38" s="297" t="s">
        <v>219</v>
      </c>
      <c r="C38" s="1313"/>
      <c r="D38" s="638">
        <v>158400</v>
      </c>
      <c r="E38" s="642">
        <v>4060000</v>
      </c>
      <c r="F38" s="643"/>
      <c r="G38" s="643"/>
      <c r="H38" s="304">
        <f>'1.1.sz.mell. '!C40</f>
        <v>1000000</v>
      </c>
      <c r="I38" s="106"/>
      <c r="J38" s="118"/>
      <c r="K38" s="118"/>
    </row>
    <row r="39" spans="1:11" s="283" customFormat="1" ht="12" customHeight="1" thickBot="1" x14ac:dyDescent="0.25">
      <c r="A39" s="13" t="s">
        <v>540</v>
      </c>
      <c r="B39" s="298" t="s">
        <v>220</v>
      </c>
      <c r="C39" s="1314">
        <v>10344236</v>
      </c>
      <c r="D39" s="641">
        <v>13530790</v>
      </c>
      <c r="E39" s="646">
        <v>5500000</v>
      </c>
      <c r="F39" s="647"/>
      <c r="G39" s="647"/>
      <c r="H39" s="476">
        <f>'1.1.sz.mell. '!C41</f>
        <v>16000000</v>
      </c>
      <c r="I39" s="1208">
        <f>6000000+4000000+2500000+500000+3500000</f>
        <v>16500000</v>
      </c>
      <c r="J39" s="182"/>
      <c r="K39" s="182"/>
    </row>
    <row r="40" spans="1:11" s="283" customFormat="1" ht="12" customHeight="1" thickBot="1" x14ac:dyDescent="0.25">
      <c r="A40" s="17" t="s">
        <v>25</v>
      </c>
      <c r="B40" s="454" t="s">
        <v>452</v>
      </c>
      <c r="C40" s="1315">
        <f>SUM(C41:C51)</f>
        <v>393429144</v>
      </c>
      <c r="D40" s="1315">
        <f>SUM(D41:D51)</f>
        <v>314593205</v>
      </c>
      <c r="E40" s="634">
        <f>SUM(E41:E51)</f>
        <v>54395907</v>
      </c>
      <c r="F40" s="633">
        <f>SUM(F41:F51)</f>
        <v>9416500</v>
      </c>
      <c r="G40" s="633">
        <f>SUM(G41:G51)</f>
        <v>385266178</v>
      </c>
      <c r="H40" s="117">
        <f>'1.1.sz.mell. '!C42</f>
        <v>339351277</v>
      </c>
      <c r="I40" s="282">
        <f>SUM(I41:I51)</f>
        <v>64295778</v>
      </c>
      <c r="J40" s="117">
        <f>SUM(J41:J51)</f>
        <v>8150828</v>
      </c>
      <c r="K40" s="117">
        <f>SUM(K41:K51)</f>
        <v>266151972</v>
      </c>
    </row>
    <row r="41" spans="1:11" s="283" customFormat="1" ht="12" customHeight="1" x14ac:dyDescent="0.2">
      <c r="A41" s="12" t="s">
        <v>93</v>
      </c>
      <c r="B41" s="296" t="s">
        <v>223</v>
      </c>
      <c r="C41" s="1313">
        <v>13719843</v>
      </c>
      <c r="D41" s="635">
        <v>8179095</v>
      </c>
      <c r="E41" s="636">
        <f>3937000+4000000+5000000-2941522</f>
        <v>9995478</v>
      </c>
      <c r="F41" s="637"/>
      <c r="G41" s="637">
        <v>150000</v>
      </c>
      <c r="H41" s="475">
        <f>'1.1.sz.mell. '!C43</f>
        <v>8195576</v>
      </c>
      <c r="I41" s="1209">
        <f>7385026+10000+10375680</f>
        <v>17770706</v>
      </c>
      <c r="J41" s="231"/>
      <c r="K41" s="231">
        <v>20000</v>
      </c>
    </row>
    <row r="42" spans="1:11" s="283" customFormat="1" ht="12" customHeight="1" x14ac:dyDescent="0.2">
      <c r="A42" s="11" t="s">
        <v>94</v>
      </c>
      <c r="B42" s="297" t="s">
        <v>224</v>
      </c>
      <c r="C42" s="1313">
        <v>75708415</v>
      </c>
      <c r="D42" s="638">
        <v>77258808</v>
      </c>
      <c r="E42" s="639">
        <f>100000+12004000+160000+7128864</f>
        <v>19392864</v>
      </c>
      <c r="F42" s="640">
        <v>7533500</v>
      </c>
      <c r="G42" s="637">
        <v>68193838</v>
      </c>
      <c r="H42" s="305">
        <f>'1.1.sz.mell. '!C44</f>
        <v>76622525</v>
      </c>
      <c r="I42" s="1207">
        <f>15901900+787402+500000</f>
        <v>17189302</v>
      </c>
      <c r="J42" s="1206">
        <f>4000000+1241400+372638</f>
        <v>5614038</v>
      </c>
      <c r="K42" s="231">
        <f>32107480+8820000+616000+13688512</f>
        <v>55231992</v>
      </c>
    </row>
    <row r="43" spans="1:11" s="283" customFormat="1" ht="12" customHeight="1" x14ac:dyDescent="0.2">
      <c r="A43" s="11" t="s">
        <v>95</v>
      </c>
      <c r="B43" s="297" t="s">
        <v>225</v>
      </c>
      <c r="C43" s="1313">
        <v>70681986</v>
      </c>
      <c r="D43" s="638">
        <v>17781177</v>
      </c>
      <c r="E43" s="639">
        <f>8458000+947000</f>
        <v>9405000</v>
      </c>
      <c r="F43" s="640">
        <v>500000</v>
      </c>
      <c r="G43" s="637">
        <v>85718340</v>
      </c>
      <c r="H43" s="305">
        <f>'1.1.sz.mell. '!C45</f>
        <v>28929469</v>
      </c>
      <c r="I43" s="1207">
        <f>20000+6000000+700000+1000000+1109692</f>
        <v>8829692</v>
      </c>
      <c r="J43" s="1206">
        <f>300000</f>
        <v>300000</v>
      </c>
      <c r="K43" s="231">
        <f>1586000+50000+4200000+12700000</f>
        <v>18536000</v>
      </c>
    </row>
    <row r="44" spans="1:11" s="283" customFormat="1" ht="12" customHeight="1" x14ac:dyDescent="0.2">
      <c r="A44" s="11" t="s">
        <v>141</v>
      </c>
      <c r="B44" s="297" t="s">
        <v>226</v>
      </c>
      <c r="C44" s="1313">
        <v>671293</v>
      </c>
      <c r="D44" s="638">
        <v>965935</v>
      </c>
      <c r="E44" s="639">
        <f>430000</f>
        <v>430000</v>
      </c>
      <c r="F44" s="640"/>
      <c r="G44" s="637"/>
      <c r="H44" s="305">
        <f>'1.1.sz.mell. '!C46</f>
        <v>1006560</v>
      </c>
      <c r="I44" s="1207">
        <f>440000+300000</f>
        <v>740000</v>
      </c>
      <c r="J44" s="1206"/>
      <c r="K44" s="231"/>
    </row>
    <row r="45" spans="1:11" s="283" customFormat="1" ht="12" customHeight="1" x14ac:dyDescent="0.2">
      <c r="A45" s="11" t="s">
        <v>142</v>
      </c>
      <c r="B45" s="297" t="s">
        <v>227</v>
      </c>
      <c r="C45" s="1313">
        <v>168360806</v>
      </c>
      <c r="D45" s="638">
        <v>175322036</v>
      </c>
      <c r="E45" s="639"/>
      <c r="F45" s="640"/>
      <c r="G45" s="637">
        <f>182811402-4572000</f>
        <v>178239402</v>
      </c>
      <c r="H45" s="305">
        <f>'1.1.sz.mell. '!C47</f>
        <v>190404778</v>
      </c>
      <c r="I45" s="1207"/>
      <c r="J45" s="1206"/>
      <c r="K45" s="231">
        <f>17535396+708995+862330+152500000</f>
        <v>171606721</v>
      </c>
    </row>
    <row r="46" spans="1:11" s="283" customFormat="1" ht="12" customHeight="1" x14ac:dyDescent="0.2">
      <c r="A46" s="11" t="s">
        <v>143</v>
      </c>
      <c r="B46" s="297" t="s">
        <v>228</v>
      </c>
      <c r="C46" s="1313">
        <v>34776685</v>
      </c>
      <c r="D46" s="638">
        <v>21427421</v>
      </c>
      <c r="E46" s="639">
        <f>1063000+3242000+5853000+44000+378000+600000+1350000+1408565</f>
        <v>13938565</v>
      </c>
      <c r="F46" s="640">
        <v>1283000</v>
      </c>
      <c r="G46" s="637">
        <v>31920598</v>
      </c>
      <c r="H46" s="305">
        <f>'1.1.sz.mell. '!C48</f>
        <v>22131977</v>
      </c>
      <c r="I46" s="1207">
        <f>5400+1993957+12052638+212598+189000+2801434+333450+135000</f>
        <v>17723477</v>
      </c>
      <c r="J46" s="1206">
        <f>1161000+335178+100612</f>
        <v>1596790</v>
      </c>
      <c r="K46" s="231">
        <f>4914377+191429+869400+1533149+4814904</f>
        <v>12323259</v>
      </c>
    </row>
    <row r="47" spans="1:11" s="283" customFormat="1" ht="12" customHeight="1" x14ac:dyDescent="0.2">
      <c r="A47" s="11" t="s">
        <v>144</v>
      </c>
      <c r="B47" s="297" t="s">
        <v>229</v>
      </c>
      <c r="C47" s="1313">
        <v>17251000</v>
      </c>
      <c r="D47" s="638">
        <v>7222000</v>
      </c>
      <c r="E47" s="639"/>
      <c r="F47" s="640"/>
      <c r="G47" s="637">
        <v>21034000</v>
      </c>
      <c r="H47" s="305">
        <f>'1.1.sz.mell. '!C49</f>
        <v>8775000</v>
      </c>
      <c r="I47" s="1207"/>
      <c r="J47" s="1206"/>
      <c r="K47" s="231">
        <f>7614000+650000+169000</f>
        <v>8433000</v>
      </c>
    </row>
    <row r="48" spans="1:11" s="283" customFormat="1" ht="12" customHeight="1" x14ac:dyDescent="0.2">
      <c r="A48" s="11" t="s">
        <v>145</v>
      </c>
      <c r="B48" s="297" t="s">
        <v>552</v>
      </c>
      <c r="C48" s="1313">
        <v>603</v>
      </c>
      <c r="D48" s="638">
        <v>167</v>
      </c>
      <c r="E48" s="639">
        <v>30000</v>
      </c>
      <c r="F48" s="640"/>
      <c r="G48" s="637">
        <v>10000</v>
      </c>
      <c r="H48" s="305">
        <f>'1.1.sz.mell. '!C50</f>
        <v>0</v>
      </c>
      <c r="I48" s="1207"/>
      <c r="J48" s="1206"/>
      <c r="K48" s="231"/>
    </row>
    <row r="49" spans="1:11" s="283" customFormat="1" ht="12" customHeight="1" x14ac:dyDescent="0.2">
      <c r="A49" s="11" t="s">
        <v>221</v>
      </c>
      <c r="B49" s="297" t="s">
        <v>231</v>
      </c>
      <c r="C49" s="1313"/>
      <c r="D49" s="638"/>
      <c r="E49" s="639"/>
      <c r="F49" s="640"/>
      <c r="G49" s="637"/>
      <c r="H49" s="305">
        <f>'1.1.sz.mell. '!C51</f>
        <v>0</v>
      </c>
      <c r="I49" s="1207"/>
      <c r="J49" s="1206"/>
      <c r="K49" s="231"/>
    </row>
    <row r="50" spans="1:11" s="283" customFormat="1" ht="12" customHeight="1" x14ac:dyDescent="0.2">
      <c r="A50" s="13" t="s">
        <v>222</v>
      </c>
      <c r="B50" s="298" t="s">
        <v>453</v>
      </c>
      <c r="C50" s="1313">
        <v>194740</v>
      </c>
      <c r="D50" s="638">
        <v>1209667</v>
      </c>
      <c r="E50" s="646">
        <f>500000</f>
        <v>500000</v>
      </c>
      <c r="F50" s="647"/>
      <c r="G50" s="637"/>
      <c r="H50" s="305">
        <f>'1.1.sz.mell. '!C52</f>
        <v>1000000</v>
      </c>
      <c r="I50" s="1208">
        <f>500000</f>
        <v>500000</v>
      </c>
      <c r="J50" s="182"/>
      <c r="K50" s="231"/>
    </row>
    <row r="51" spans="1:11" s="283" customFormat="1" ht="12" customHeight="1" thickBot="1" x14ac:dyDescent="0.25">
      <c r="A51" s="13" t="s">
        <v>454</v>
      </c>
      <c r="B51" s="456" t="s">
        <v>232</v>
      </c>
      <c r="C51" s="1314">
        <v>12063773</v>
      </c>
      <c r="D51" s="641">
        <v>5226899</v>
      </c>
      <c r="E51" s="646">
        <f>704000</f>
        <v>704000</v>
      </c>
      <c r="F51" s="647">
        <v>100000</v>
      </c>
      <c r="G51" s="637"/>
      <c r="H51" s="476">
        <f>'1.1.sz.mell. '!C53</f>
        <v>2285392</v>
      </c>
      <c r="I51" s="1208">
        <f>507601+335000+700000</f>
        <v>1542601</v>
      </c>
      <c r="J51" s="182">
        <f>640000</f>
        <v>640000</v>
      </c>
      <c r="K51" s="231">
        <v>1000</v>
      </c>
    </row>
    <row r="52" spans="1:11" s="283" customFormat="1" ht="12" customHeight="1" thickBot="1" x14ac:dyDescent="0.25">
      <c r="A52" s="17" t="s">
        <v>26</v>
      </c>
      <c r="B52" s="454" t="s">
        <v>233</v>
      </c>
      <c r="C52" s="1315">
        <f>SUM(C53:C57)</f>
        <v>9600404</v>
      </c>
      <c r="D52" s="1315">
        <f>SUM(D53:D57)</f>
        <v>5525134</v>
      </c>
      <c r="E52" s="634">
        <f>SUM(E53:E57)</f>
        <v>25179000</v>
      </c>
      <c r="F52" s="633">
        <f>SUM(F53:F57)</f>
        <v>0</v>
      </c>
      <c r="G52" s="633">
        <f>SUM(G53:G57)</f>
        <v>0</v>
      </c>
      <c r="H52" s="117">
        <f>'1.1.sz.mell. '!C54</f>
        <v>44604508</v>
      </c>
      <c r="I52" s="282">
        <f>SUM(I53:I57)</f>
        <v>21787500</v>
      </c>
      <c r="J52" s="117">
        <f>SUM(J53:J57)</f>
        <v>300000</v>
      </c>
      <c r="K52" s="117">
        <f>SUM(K53:K57)</f>
        <v>0</v>
      </c>
    </row>
    <row r="53" spans="1:11" s="283" customFormat="1" ht="12" customHeight="1" x14ac:dyDescent="0.2">
      <c r="A53" s="12" t="s">
        <v>96</v>
      </c>
      <c r="B53" s="296" t="s">
        <v>237</v>
      </c>
      <c r="C53" s="1313"/>
      <c r="D53" s="655"/>
      <c r="E53" s="636"/>
      <c r="F53" s="637"/>
      <c r="G53" s="637"/>
      <c r="H53" s="477">
        <f>'1.1.sz.mell. '!C55</f>
        <v>0</v>
      </c>
      <c r="I53" s="1209"/>
      <c r="J53" s="231"/>
      <c r="K53" s="231"/>
    </row>
    <row r="54" spans="1:11" s="283" customFormat="1" ht="12" customHeight="1" x14ac:dyDescent="0.2">
      <c r="A54" s="11" t="s">
        <v>97</v>
      </c>
      <c r="B54" s="297" t="s">
        <v>238</v>
      </c>
      <c r="C54" s="1313">
        <v>9581550</v>
      </c>
      <c r="D54" s="638">
        <v>5202984</v>
      </c>
      <c r="E54" s="639">
        <f>25179000</f>
        <v>25179000</v>
      </c>
      <c r="F54" s="640"/>
      <c r="G54" s="640"/>
      <c r="H54" s="305">
        <f>'1.1.sz.mell. '!C56</f>
        <v>44304508</v>
      </c>
      <c r="I54" s="1207">
        <f>21787500</f>
        <v>21787500</v>
      </c>
      <c r="J54" s="1206"/>
      <c r="K54" s="1206"/>
    </row>
    <row r="55" spans="1:11" s="283" customFormat="1" ht="12" customHeight="1" x14ac:dyDescent="0.2">
      <c r="A55" s="11" t="s">
        <v>234</v>
      </c>
      <c r="B55" s="297" t="s">
        <v>239</v>
      </c>
      <c r="C55" s="1313">
        <v>18854</v>
      </c>
      <c r="D55" s="638">
        <v>177050</v>
      </c>
      <c r="E55" s="639"/>
      <c r="F55" s="640"/>
      <c r="G55" s="640"/>
      <c r="H55" s="305">
        <f>'1.1.sz.mell. '!C57</f>
        <v>300000</v>
      </c>
      <c r="I55" s="1207"/>
      <c r="J55" s="1206">
        <f>300000</f>
        <v>300000</v>
      </c>
      <c r="K55" s="1206"/>
    </row>
    <row r="56" spans="1:11" s="283" customFormat="1" ht="12" customHeight="1" x14ac:dyDescent="0.2">
      <c r="A56" s="11" t="s">
        <v>235</v>
      </c>
      <c r="B56" s="297" t="s">
        <v>240</v>
      </c>
      <c r="C56" s="1313"/>
      <c r="D56" s="638"/>
      <c r="E56" s="639"/>
      <c r="F56" s="640"/>
      <c r="G56" s="640"/>
      <c r="H56" s="305">
        <f>'1.1.sz.mell. '!C58</f>
        <v>0</v>
      </c>
      <c r="I56" s="1207"/>
      <c r="J56" s="1206"/>
      <c r="K56" s="1206"/>
    </row>
    <row r="57" spans="1:11" s="283" customFormat="1" ht="12" customHeight="1" thickBot="1" x14ac:dyDescent="0.25">
      <c r="A57" s="13" t="s">
        <v>236</v>
      </c>
      <c r="B57" s="456" t="s">
        <v>241</v>
      </c>
      <c r="C57" s="1314"/>
      <c r="D57" s="641">
        <v>145100</v>
      </c>
      <c r="E57" s="646"/>
      <c r="F57" s="647"/>
      <c r="G57" s="647"/>
      <c r="H57" s="479">
        <f>'1.1.sz.mell. '!C59</f>
        <v>0</v>
      </c>
      <c r="I57" s="1208"/>
      <c r="J57" s="182"/>
      <c r="K57" s="182"/>
    </row>
    <row r="58" spans="1:11" s="283" customFormat="1" ht="12" customHeight="1" thickBot="1" x14ac:dyDescent="0.25">
      <c r="A58" s="17" t="s">
        <v>146</v>
      </c>
      <c r="B58" s="454" t="s">
        <v>242</v>
      </c>
      <c r="C58" s="1315">
        <f>SUM(C59:C61)</f>
        <v>4421313</v>
      </c>
      <c r="D58" s="1315">
        <f>SUM(D59:D61)</f>
        <v>18124157</v>
      </c>
      <c r="E58" s="634">
        <f>SUM(E59:E61)</f>
        <v>6164433</v>
      </c>
      <c r="F58" s="633">
        <f>SUM(F59:F61)</f>
        <v>0</v>
      </c>
      <c r="G58" s="633">
        <f>SUM(G59:G61)</f>
        <v>0</v>
      </c>
      <c r="H58" s="295">
        <f>'1.1.sz.mell. '!C60</f>
        <v>2539075</v>
      </c>
      <c r="I58" s="282">
        <f>SUM(I59:I61)</f>
        <v>1430000</v>
      </c>
      <c r="J58" s="117">
        <f>SUM(J59:J61)</f>
        <v>0</v>
      </c>
      <c r="K58" s="117">
        <f>SUM(K59:K61)</f>
        <v>0</v>
      </c>
    </row>
    <row r="59" spans="1:11" s="283" customFormat="1" ht="12" customHeight="1" x14ac:dyDescent="0.2">
      <c r="A59" s="12" t="s">
        <v>98</v>
      </c>
      <c r="B59" s="296" t="s">
        <v>243</v>
      </c>
      <c r="C59" s="1313"/>
      <c r="D59" s="658"/>
      <c r="E59" s="644"/>
      <c r="F59" s="645"/>
      <c r="G59" s="645"/>
      <c r="H59" s="480">
        <f>'1.1.sz.mell. '!C61</f>
        <v>0</v>
      </c>
      <c r="I59" s="284"/>
      <c r="J59" s="119"/>
      <c r="K59" s="119"/>
    </row>
    <row r="60" spans="1:11" s="283" customFormat="1" ht="12" customHeight="1" x14ac:dyDescent="0.2">
      <c r="A60" s="11" t="s">
        <v>99</v>
      </c>
      <c r="B60" s="297" t="s">
        <v>374</v>
      </c>
      <c r="C60" s="1313">
        <v>2079965</v>
      </c>
      <c r="D60" s="638">
        <v>15332864</v>
      </c>
      <c r="E60" s="639">
        <f>383000+1566000</f>
        <v>1949000</v>
      </c>
      <c r="F60" s="640"/>
      <c r="G60" s="640"/>
      <c r="H60" s="305">
        <f>'1.1.sz.mell. '!C62</f>
        <v>600000</v>
      </c>
      <c r="I60" s="1207">
        <f>480000</f>
        <v>480000</v>
      </c>
      <c r="J60" s="1206"/>
      <c r="K60" s="1206"/>
    </row>
    <row r="61" spans="1:11" s="283" customFormat="1" ht="12" customHeight="1" x14ac:dyDescent="0.2">
      <c r="A61" s="11" t="s">
        <v>246</v>
      </c>
      <c r="B61" s="297" t="s">
        <v>244</v>
      </c>
      <c r="C61" s="1313">
        <v>2341348</v>
      </c>
      <c r="D61" s="638">
        <v>2791293</v>
      </c>
      <c r="E61" s="639">
        <f>4075000+140433</f>
        <v>4215433</v>
      </c>
      <c r="F61" s="640"/>
      <c r="G61" s="640"/>
      <c r="H61" s="305">
        <f>'1.1.sz.mell. '!C63</f>
        <v>1939075</v>
      </c>
      <c r="I61" s="1207">
        <f>950000</f>
        <v>950000</v>
      </c>
      <c r="J61" s="1206"/>
      <c r="K61" s="1206"/>
    </row>
    <row r="62" spans="1:11" s="283" customFormat="1" ht="12" customHeight="1" thickBot="1" x14ac:dyDescent="0.25">
      <c r="A62" s="13" t="s">
        <v>247</v>
      </c>
      <c r="B62" s="456" t="s">
        <v>245</v>
      </c>
      <c r="C62" s="1314"/>
      <c r="D62" s="641"/>
      <c r="E62" s="659"/>
      <c r="F62" s="660"/>
      <c r="G62" s="660"/>
      <c r="H62" s="476">
        <f>'1.1.sz.mell. '!C64</f>
        <v>0</v>
      </c>
      <c r="I62" s="107"/>
      <c r="J62" s="120"/>
      <c r="K62" s="120"/>
    </row>
    <row r="63" spans="1:11" s="283" customFormat="1" ht="12" customHeight="1" thickBot="1" x14ac:dyDescent="0.25">
      <c r="A63" s="17" t="s">
        <v>28</v>
      </c>
      <c r="B63" s="457" t="s">
        <v>248</v>
      </c>
      <c r="C63" s="1315">
        <f>SUM(C64:C66)</f>
        <v>20000</v>
      </c>
      <c r="D63" s="1315">
        <f>SUM(D64:D66)</f>
        <v>0</v>
      </c>
      <c r="E63" s="634">
        <f>SUM(E64:E66)</f>
        <v>0</v>
      </c>
      <c r="F63" s="633">
        <f>SUM(F64:F66)</f>
        <v>0</v>
      </c>
      <c r="G63" s="633">
        <f>SUM(G64:G66)</f>
        <v>0</v>
      </c>
      <c r="H63" s="117">
        <f>'1.1.sz.mell. '!C65</f>
        <v>6000000</v>
      </c>
      <c r="I63" s="282">
        <f>SUM(I64:I66)</f>
        <v>0</v>
      </c>
      <c r="J63" s="117">
        <f>SUM(J64:J66)</f>
        <v>0</v>
      </c>
      <c r="K63" s="117">
        <f>SUM(K64:K66)</f>
        <v>0</v>
      </c>
    </row>
    <row r="64" spans="1:11" s="283" customFormat="1" ht="12" customHeight="1" x14ac:dyDescent="0.2">
      <c r="A64" s="12" t="s">
        <v>147</v>
      </c>
      <c r="B64" s="296" t="s">
        <v>250</v>
      </c>
      <c r="C64" s="1313"/>
      <c r="D64" s="655"/>
      <c r="E64" s="639"/>
      <c r="F64" s="640"/>
      <c r="G64" s="640"/>
      <c r="H64" s="477">
        <f>'1.1.sz.mell. '!C66</f>
        <v>0</v>
      </c>
      <c r="I64" s="1207"/>
      <c r="J64" s="1206"/>
      <c r="K64" s="1206"/>
    </row>
    <row r="65" spans="1:11" s="283" customFormat="1" ht="12" customHeight="1" x14ac:dyDescent="0.2">
      <c r="A65" s="11" t="s">
        <v>148</v>
      </c>
      <c r="B65" s="297" t="s">
        <v>375</v>
      </c>
      <c r="C65" s="1313"/>
      <c r="D65" s="650"/>
      <c r="E65" s="639"/>
      <c r="F65" s="640"/>
      <c r="G65" s="640"/>
      <c r="H65" s="478">
        <f>'1.1.sz.mell. '!C67</f>
        <v>0</v>
      </c>
      <c r="I65" s="1207"/>
      <c r="J65" s="1206"/>
      <c r="K65" s="1206"/>
    </row>
    <row r="66" spans="1:11" s="283" customFormat="1" ht="12" customHeight="1" x14ac:dyDescent="0.2">
      <c r="A66" s="11" t="s">
        <v>174</v>
      </c>
      <c r="B66" s="297" t="s">
        <v>251</v>
      </c>
      <c r="C66" s="1313">
        <v>20000</v>
      </c>
      <c r="D66" s="650"/>
      <c r="E66" s="639"/>
      <c r="F66" s="640"/>
      <c r="G66" s="640"/>
      <c r="H66" s="478">
        <f>'1.1.sz.mell. '!C68</f>
        <v>6000000</v>
      </c>
      <c r="I66" s="1207"/>
      <c r="J66" s="1206"/>
      <c r="K66" s="1206"/>
    </row>
    <row r="67" spans="1:11" s="283" customFormat="1" ht="12" customHeight="1" thickBot="1" x14ac:dyDescent="0.25">
      <c r="A67" s="13" t="s">
        <v>249</v>
      </c>
      <c r="B67" s="456" t="s">
        <v>252</v>
      </c>
      <c r="C67" s="1314"/>
      <c r="D67" s="656"/>
      <c r="E67" s="639"/>
      <c r="F67" s="640"/>
      <c r="G67" s="640"/>
      <c r="H67" s="479">
        <f>'1.1.sz.mell. '!C69</f>
        <v>6000000</v>
      </c>
      <c r="I67" s="1207"/>
      <c r="J67" s="1206"/>
      <c r="K67" s="1206"/>
    </row>
    <row r="68" spans="1:11" s="283" customFormat="1" ht="12" customHeight="1" thickBot="1" x14ac:dyDescent="0.25">
      <c r="A68" s="252" t="s">
        <v>455</v>
      </c>
      <c r="B68" s="454" t="s">
        <v>253</v>
      </c>
      <c r="C68" s="657">
        <f>C9+C18+C25+C32+C40+C52+C58+C63</f>
        <v>2222126225</v>
      </c>
      <c r="D68" s="657">
        <f>D9+D18+D25+D32+D40+D52+D58+D63</f>
        <v>3345215538</v>
      </c>
      <c r="E68" s="651">
        <f>+E9+E18+E25+E32+E40+E52+E58+E63</f>
        <v>1391439714</v>
      </c>
      <c r="F68" s="652">
        <f>+F9+F18+F25+F32+F40+F52+F58+F63</f>
        <v>9416500</v>
      </c>
      <c r="G68" s="652">
        <f>+G9+G18+G25+G32+G40+G52+G58+G63</f>
        <v>390751178</v>
      </c>
      <c r="H68" s="117">
        <f>'1.1.sz.mell. '!C70</f>
        <v>2776685371</v>
      </c>
      <c r="I68" s="285">
        <f>+I9+I18+I25+I32+I40+I52+I58+I63</f>
        <v>2315958967</v>
      </c>
      <c r="J68" s="122">
        <f>+J9+J18+J25+J32+J40+J52+J58+J63</f>
        <v>8450828</v>
      </c>
      <c r="K68" s="122">
        <f>+K9+K18+K25+K32+K40+K52+K58+K63</f>
        <v>288906915</v>
      </c>
    </row>
    <row r="69" spans="1:11" s="283" customFormat="1" ht="12" customHeight="1" thickBot="1" x14ac:dyDescent="0.25">
      <c r="A69" s="253" t="s">
        <v>254</v>
      </c>
      <c r="B69" s="457" t="s">
        <v>553</v>
      </c>
      <c r="C69" s="657">
        <f>SUM(C70:C72)</f>
        <v>63319557</v>
      </c>
      <c r="D69" s="657">
        <f>SUM(D70:D72)</f>
        <v>30020437</v>
      </c>
      <c r="E69" s="634">
        <f>SUM(E70:E72)</f>
        <v>144100000</v>
      </c>
      <c r="F69" s="633">
        <f>SUM(F70:F72)</f>
        <v>0</v>
      </c>
      <c r="G69" s="633">
        <f>SUM(G70:G72)</f>
        <v>0</v>
      </c>
      <c r="H69" s="117">
        <f>'1.1.sz.mell. '!C71</f>
        <v>733570614</v>
      </c>
      <c r="I69" s="282">
        <f>SUM(I70:I72)</f>
        <v>169269106</v>
      </c>
      <c r="J69" s="117">
        <f>SUM(J70:J72)</f>
        <v>0</v>
      </c>
      <c r="K69" s="117">
        <f>SUM(K70:K72)</f>
        <v>0</v>
      </c>
    </row>
    <row r="70" spans="1:11" s="283" customFormat="1" ht="12" customHeight="1" x14ac:dyDescent="0.2">
      <c r="A70" s="12" t="s">
        <v>286</v>
      </c>
      <c r="B70" s="296" t="s">
        <v>256</v>
      </c>
      <c r="C70" s="1313">
        <v>63319557</v>
      </c>
      <c r="D70" s="635">
        <v>30020437</v>
      </c>
      <c r="E70" s="639">
        <v>44100000</v>
      </c>
      <c r="F70" s="640"/>
      <c r="G70" s="640"/>
      <c r="H70" s="475">
        <f>'1.1.sz.mell. '!C72</f>
        <v>33570614</v>
      </c>
      <c r="I70" s="1207">
        <f>69269106</f>
        <v>69269106</v>
      </c>
      <c r="J70" s="1206"/>
      <c r="K70" s="1206"/>
    </row>
    <row r="71" spans="1:11" s="283" customFormat="1" ht="12" customHeight="1" x14ac:dyDescent="0.2">
      <c r="A71" s="11" t="s">
        <v>295</v>
      </c>
      <c r="B71" s="297" t="s">
        <v>257</v>
      </c>
      <c r="C71" s="1313"/>
      <c r="D71" s="638"/>
      <c r="E71" s="639">
        <v>100000000</v>
      </c>
      <c r="F71" s="640"/>
      <c r="G71" s="640"/>
      <c r="H71" s="305">
        <f>'1.1.sz.mell. '!C73</f>
        <v>700000000</v>
      </c>
      <c r="I71" s="1207">
        <v>100000000</v>
      </c>
      <c r="J71" s="1206"/>
      <c r="K71" s="1206"/>
    </row>
    <row r="72" spans="1:11" s="283" customFormat="1" ht="12" customHeight="1" thickBot="1" x14ac:dyDescent="0.25">
      <c r="A72" s="13" t="s">
        <v>296</v>
      </c>
      <c r="B72" s="458" t="s">
        <v>456</v>
      </c>
      <c r="C72" s="1314"/>
      <c r="D72" s="656"/>
      <c r="E72" s="639"/>
      <c r="F72" s="640"/>
      <c r="G72" s="640"/>
      <c r="H72" s="479">
        <f>'1.1.sz.mell. '!C74</f>
        <v>0</v>
      </c>
      <c r="I72" s="1207"/>
      <c r="J72" s="1206"/>
      <c r="K72" s="1206"/>
    </row>
    <row r="73" spans="1:11" s="283" customFormat="1" ht="12" customHeight="1" thickBot="1" x14ac:dyDescent="0.25">
      <c r="A73" s="253" t="s">
        <v>259</v>
      </c>
      <c r="B73" s="457" t="s">
        <v>260</v>
      </c>
      <c r="C73" s="671">
        <f>SUM(C74:C77)</f>
        <v>0</v>
      </c>
      <c r="D73" s="671">
        <f>SUM(D74:D77)</f>
        <v>0</v>
      </c>
      <c r="E73" s="634">
        <f>SUM(E74:E77)</f>
        <v>0</v>
      </c>
      <c r="F73" s="633">
        <f>SUM(F74:F77)</f>
        <v>0</v>
      </c>
      <c r="G73" s="633">
        <f>SUM(G74:G77)</f>
        <v>0</v>
      </c>
      <c r="H73" s="117">
        <f>'1.1.sz.mell. '!C75</f>
        <v>0</v>
      </c>
      <c r="I73" s="282">
        <f>SUM(I74:I77)</f>
        <v>0</v>
      </c>
      <c r="J73" s="117">
        <f>SUM(J74:J77)</f>
        <v>0</v>
      </c>
      <c r="K73" s="117">
        <f>SUM(K74:K77)</f>
        <v>0</v>
      </c>
    </row>
    <row r="74" spans="1:11" s="283" customFormat="1" ht="12" customHeight="1" x14ac:dyDescent="0.2">
      <c r="A74" s="12" t="s">
        <v>127</v>
      </c>
      <c r="B74" s="296" t="s">
        <v>261</v>
      </c>
      <c r="C74" s="1313"/>
      <c r="D74" s="655"/>
      <c r="E74" s="639"/>
      <c r="F74" s="640"/>
      <c r="G74" s="640"/>
      <c r="H74" s="477">
        <f>'1.1.sz.mell. '!C76</f>
        <v>0</v>
      </c>
      <c r="I74" s="1207"/>
      <c r="J74" s="1206"/>
      <c r="K74" s="1206"/>
    </row>
    <row r="75" spans="1:11" s="283" customFormat="1" ht="17.25" customHeight="1" x14ac:dyDescent="0.2">
      <c r="A75" s="11" t="s">
        <v>128</v>
      </c>
      <c r="B75" s="297" t="s">
        <v>262</v>
      </c>
      <c r="C75" s="1313"/>
      <c r="D75" s="650"/>
      <c r="E75" s="639"/>
      <c r="F75" s="640"/>
      <c r="G75" s="640"/>
      <c r="H75" s="478">
        <f>'1.1.sz.mell. '!C77</f>
        <v>0</v>
      </c>
      <c r="I75" s="1207"/>
      <c r="J75" s="1206"/>
      <c r="K75" s="1206"/>
    </row>
    <row r="76" spans="1:11" s="283" customFormat="1" ht="12" customHeight="1" x14ac:dyDescent="0.2">
      <c r="A76" s="11" t="s">
        <v>287</v>
      </c>
      <c r="B76" s="297" t="s">
        <v>263</v>
      </c>
      <c r="C76" s="1313"/>
      <c r="D76" s="650"/>
      <c r="E76" s="639"/>
      <c r="F76" s="640"/>
      <c r="G76" s="640"/>
      <c r="H76" s="478">
        <f>'1.1.sz.mell. '!C78</f>
        <v>0</v>
      </c>
      <c r="I76" s="1207"/>
      <c r="J76" s="1206"/>
      <c r="K76" s="1206"/>
    </row>
    <row r="77" spans="1:11" s="283" customFormat="1" ht="12" customHeight="1" thickBot="1" x14ac:dyDescent="0.25">
      <c r="A77" s="13" t="s">
        <v>288</v>
      </c>
      <c r="B77" s="456" t="s">
        <v>264</v>
      </c>
      <c r="C77" s="1314"/>
      <c r="D77" s="656"/>
      <c r="E77" s="639"/>
      <c r="F77" s="640"/>
      <c r="G77" s="640"/>
      <c r="H77" s="479">
        <f>'1.1.sz.mell. '!C79</f>
        <v>0</v>
      </c>
      <c r="I77" s="1207"/>
      <c r="J77" s="1206"/>
      <c r="K77" s="1206"/>
    </row>
    <row r="78" spans="1:11" s="283" customFormat="1" ht="12" customHeight="1" thickBot="1" x14ac:dyDescent="0.25">
      <c r="A78" s="253" t="s">
        <v>265</v>
      </c>
      <c r="B78" s="457" t="s">
        <v>266</v>
      </c>
      <c r="C78" s="657">
        <f>SUM(C79:C80)</f>
        <v>620677200</v>
      </c>
      <c r="D78" s="657">
        <f>SUM(D79:D80)</f>
        <v>367267935</v>
      </c>
      <c r="E78" s="634">
        <f>SUM(E79:E80)</f>
        <v>289331423</v>
      </c>
      <c r="F78" s="633">
        <f>SUM(F79:F80)</f>
        <v>447404</v>
      </c>
      <c r="G78" s="633">
        <f>SUM(G79:G80)</f>
        <v>3220588</v>
      </c>
      <c r="H78" s="117">
        <f>'1.1.sz.mell. '!C80</f>
        <v>964635284</v>
      </c>
      <c r="I78" s="282">
        <f>SUM(I79:I80)</f>
        <v>346583469</v>
      </c>
      <c r="J78" s="117">
        <f>SUM(J79:J80)</f>
        <v>829764</v>
      </c>
      <c r="K78" s="117">
        <f>SUM(K79:K80)</f>
        <v>17254367</v>
      </c>
    </row>
    <row r="79" spans="1:11" s="283" customFormat="1" ht="12" customHeight="1" x14ac:dyDescent="0.2">
      <c r="A79" s="12" t="s">
        <v>289</v>
      </c>
      <c r="B79" s="296" t="s">
        <v>267</v>
      </c>
      <c r="C79" s="1313">
        <v>620677200</v>
      </c>
      <c r="D79" s="635">
        <v>367267935</v>
      </c>
      <c r="E79" s="639">
        <v>289331423</v>
      </c>
      <c r="F79" s="640">
        <v>447404</v>
      </c>
      <c r="G79" s="640">
        <v>3220588</v>
      </c>
      <c r="H79" s="475">
        <f>'1.1.sz.mell. '!C81</f>
        <v>964635284</v>
      </c>
      <c r="I79" s="1207">
        <f>346583469</f>
        <v>346583469</v>
      </c>
      <c r="J79" s="1206">
        <f>829764</f>
        <v>829764</v>
      </c>
      <c r="K79" s="1206">
        <f>1550858+372804+435258+1054835+13840612</f>
        <v>17254367</v>
      </c>
    </row>
    <row r="80" spans="1:11" s="283" customFormat="1" ht="12" customHeight="1" thickBot="1" x14ac:dyDescent="0.25">
      <c r="A80" s="13" t="s">
        <v>290</v>
      </c>
      <c r="B80" s="456" t="s">
        <v>268</v>
      </c>
      <c r="C80" s="1314"/>
      <c r="D80" s="656"/>
      <c r="E80" s="639"/>
      <c r="F80" s="640"/>
      <c r="G80" s="640"/>
      <c r="H80" s="479">
        <f>'1.1.sz.mell. '!C82</f>
        <v>0</v>
      </c>
      <c r="I80" s="1207"/>
      <c r="J80" s="1206"/>
      <c r="K80" s="1206"/>
    </row>
    <row r="81" spans="1:11" s="283" customFormat="1" ht="12" customHeight="1" thickBot="1" x14ac:dyDescent="0.25">
      <c r="A81" s="253" t="s">
        <v>269</v>
      </c>
      <c r="B81" s="457" t="s">
        <v>270</v>
      </c>
      <c r="C81" s="661">
        <f>SUM(C82:C84)</f>
        <v>41904332</v>
      </c>
      <c r="D81" s="661">
        <f>SUM(D82:D84)</f>
        <v>45672254</v>
      </c>
      <c r="E81" s="634">
        <f>SUM(E82:E84)</f>
        <v>0</v>
      </c>
      <c r="F81" s="633">
        <f>SUM(F82:F84)</f>
        <v>0</v>
      </c>
      <c r="G81" s="633">
        <f>SUM(G82:G84)</f>
        <v>0</v>
      </c>
      <c r="H81" s="117">
        <f>'1.1.sz.mell. '!C83</f>
        <v>45672254</v>
      </c>
      <c r="I81" s="282">
        <f>SUM(I82:I84)</f>
        <v>0</v>
      </c>
      <c r="J81" s="117">
        <f>SUM(J82:J84)</f>
        <v>0</v>
      </c>
      <c r="K81" s="117">
        <f>SUM(K82:K84)</f>
        <v>0</v>
      </c>
    </row>
    <row r="82" spans="1:11" s="283" customFormat="1" ht="12" customHeight="1" x14ac:dyDescent="0.2">
      <c r="A82" s="12" t="s">
        <v>291</v>
      </c>
      <c r="B82" s="296" t="s">
        <v>271</v>
      </c>
      <c r="C82" s="1313">
        <v>41904332</v>
      </c>
      <c r="D82" s="635">
        <v>45672254</v>
      </c>
      <c r="E82" s="639"/>
      <c r="F82" s="640"/>
      <c r="G82" s="640"/>
      <c r="H82" s="477">
        <f>'1.1.sz.mell. '!C84</f>
        <v>45672254</v>
      </c>
      <c r="I82" s="1207"/>
      <c r="J82" s="1206"/>
      <c r="K82" s="1206"/>
    </row>
    <row r="83" spans="1:11" s="283" customFormat="1" ht="12" customHeight="1" x14ac:dyDescent="0.2">
      <c r="A83" s="11" t="s">
        <v>292</v>
      </c>
      <c r="B83" s="297" t="s">
        <v>272</v>
      </c>
      <c r="C83" s="1313"/>
      <c r="D83" s="650"/>
      <c r="E83" s="639"/>
      <c r="F83" s="640"/>
      <c r="G83" s="640"/>
      <c r="H83" s="478">
        <f>'1.1.sz.mell. '!C85</f>
        <v>0</v>
      </c>
      <c r="I83" s="1207"/>
      <c r="J83" s="1206"/>
      <c r="K83" s="1206"/>
    </row>
    <row r="84" spans="1:11" s="283" customFormat="1" ht="12" customHeight="1" thickBot="1" x14ac:dyDescent="0.25">
      <c r="A84" s="13" t="s">
        <v>293</v>
      </c>
      <c r="B84" s="456" t="s">
        <v>273</v>
      </c>
      <c r="C84" s="1314"/>
      <c r="D84" s="656"/>
      <c r="E84" s="639"/>
      <c r="F84" s="640"/>
      <c r="G84" s="640"/>
      <c r="H84" s="479">
        <f>'1.1.sz.mell. '!C86</f>
        <v>0</v>
      </c>
      <c r="I84" s="1207"/>
      <c r="J84" s="1206"/>
      <c r="K84" s="1206"/>
    </row>
    <row r="85" spans="1:11" s="283" customFormat="1" ht="12" customHeight="1" thickBot="1" x14ac:dyDescent="0.25">
      <c r="A85" s="253" t="s">
        <v>274</v>
      </c>
      <c r="B85" s="457" t="s">
        <v>294</v>
      </c>
      <c r="C85" s="671">
        <f>SUM(C86:C89)</f>
        <v>0</v>
      </c>
      <c r="D85" s="671">
        <f>SUM(D86:D89)</f>
        <v>0</v>
      </c>
      <c r="E85" s="634">
        <f>SUM(E86:E89)</f>
        <v>0</v>
      </c>
      <c r="F85" s="633">
        <f>SUM(F86:F89)</f>
        <v>0</v>
      </c>
      <c r="G85" s="633">
        <f>SUM(G86:G89)</f>
        <v>0</v>
      </c>
      <c r="H85" s="117">
        <f>'1.1.sz.mell. '!C87</f>
        <v>0</v>
      </c>
      <c r="I85" s="282">
        <f>SUM(I86:I89)</f>
        <v>0</v>
      </c>
      <c r="J85" s="117">
        <f>SUM(J86:J89)</f>
        <v>0</v>
      </c>
      <c r="K85" s="117">
        <f>SUM(K86:K89)</f>
        <v>0</v>
      </c>
    </row>
    <row r="86" spans="1:11" s="283" customFormat="1" ht="12" customHeight="1" x14ac:dyDescent="0.2">
      <c r="A86" s="197" t="s">
        <v>275</v>
      </c>
      <c r="B86" s="296" t="s">
        <v>276</v>
      </c>
      <c r="C86" s="1313"/>
      <c r="D86" s="655"/>
      <c r="E86" s="639"/>
      <c r="F86" s="640"/>
      <c r="G86" s="640"/>
      <c r="H86" s="477">
        <f>'1.1.sz.mell. '!C88</f>
        <v>0</v>
      </c>
      <c r="I86" s="1207"/>
      <c r="J86" s="1206"/>
      <c r="K86" s="1206"/>
    </row>
    <row r="87" spans="1:11" s="283" customFormat="1" ht="12" customHeight="1" x14ac:dyDescent="0.2">
      <c r="A87" s="198" t="s">
        <v>277</v>
      </c>
      <c r="B87" s="297" t="s">
        <v>278</v>
      </c>
      <c r="C87" s="1313"/>
      <c r="D87" s="650"/>
      <c r="E87" s="639"/>
      <c r="F87" s="640"/>
      <c r="G87" s="640"/>
      <c r="H87" s="478">
        <f>'1.1.sz.mell. '!C89</f>
        <v>0</v>
      </c>
      <c r="I87" s="1207"/>
      <c r="J87" s="1206"/>
      <c r="K87" s="1206"/>
    </row>
    <row r="88" spans="1:11" s="283" customFormat="1" ht="12" customHeight="1" x14ac:dyDescent="0.2">
      <c r="A88" s="198" t="s">
        <v>279</v>
      </c>
      <c r="B88" s="297" t="s">
        <v>280</v>
      </c>
      <c r="C88" s="1313"/>
      <c r="D88" s="650"/>
      <c r="E88" s="639"/>
      <c r="F88" s="640"/>
      <c r="G88" s="640"/>
      <c r="H88" s="478">
        <f>'1.1.sz.mell. '!C90</f>
        <v>0</v>
      </c>
      <c r="I88" s="1207"/>
      <c r="J88" s="1206"/>
      <c r="K88" s="1206"/>
    </row>
    <row r="89" spans="1:11" s="283" customFormat="1" ht="12" customHeight="1" thickBot="1" x14ac:dyDescent="0.25">
      <c r="A89" s="199" t="s">
        <v>281</v>
      </c>
      <c r="B89" s="456" t="s">
        <v>282</v>
      </c>
      <c r="C89" s="1314"/>
      <c r="D89" s="656"/>
      <c r="E89" s="639"/>
      <c r="F89" s="640"/>
      <c r="G89" s="640"/>
      <c r="H89" s="479">
        <f>'1.1.sz.mell. '!C91</f>
        <v>0</v>
      </c>
      <c r="I89" s="1207"/>
      <c r="J89" s="1206"/>
      <c r="K89" s="1206"/>
    </row>
    <row r="90" spans="1:11" s="283" customFormat="1" ht="12" customHeight="1" thickBot="1" x14ac:dyDescent="0.25">
      <c r="A90" s="253" t="s">
        <v>283</v>
      </c>
      <c r="B90" s="457" t="s">
        <v>457</v>
      </c>
      <c r="C90" s="1316"/>
      <c r="D90" s="633"/>
      <c r="E90" s="662"/>
      <c r="F90" s="663"/>
      <c r="G90" s="663"/>
      <c r="H90" s="117">
        <f>'1.1.sz.mell. '!C92</f>
        <v>0</v>
      </c>
      <c r="I90" s="287"/>
      <c r="J90" s="232"/>
      <c r="K90" s="232"/>
    </row>
    <row r="91" spans="1:11" s="283" customFormat="1" ht="12" customHeight="1" thickBot="1" x14ac:dyDescent="0.25">
      <c r="A91" s="253" t="s">
        <v>285</v>
      </c>
      <c r="B91" s="457" t="s">
        <v>284</v>
      </c>
      <c r="C91" s="1316"/>
      <c r="D91" s="633"/>
      <c r="E91" s="662"/>
      <c r="F91" s="663"/>
      <c r="G91" s="663"/>
      <c r="H91" s="117">
        <f>'1.1.sz.mell. '!C93</f>
        <v>0</v>
      </c>
      <c r="I91" s="287"/>
      <c r="J91" s="232"/>
      <c r="K91" s="232"/>
    </row>
    <row r="92" spans="1:11" s="283" customFormat="1" ht="12" customHeight="1" thickBot="1" x14ac:dyDescent="0.25">
      <c r="A92" s="253" t="s">
        <v>297</v>
      </c>
      <c r="B92" s="459" t="s">
        <v>458</v>
      </c>
      <c r="C92" s="657">
        <f>C91+C90+C85+C81+C78+C73+C69</f>
        <v>725901089</v>
      </c>
      <c r="D92" s="657">
        <f>D91+D90+D85+D81+D78+D73+D69</f>
        <v>442960626</v>
      </c>
      <c r="E92" s="651">
        <f>+E69+E73+E78+E81+E85+E91+E90</f>
        <v>433431423</v>
      </c>
      <c r="F92" s="652">
        <f>+F69+F73+F78+F81+F85+F91+F90</f>
        <v>447404</v>
      </c>
      <c r="G92" s="652">
        <f>+G69+G73+G78+G81+G85+G91+G90</f>
        <v>3220588</v>
      </c>
      <c r="H92" s="117">
        <f>'1.1.sz.mell. '!C94</f>
        <v>1743878152</v>
      </c>
      <c r="I92" s="285">
        <f>+I69+I73+I78+I81+I85+I91+I90</f>
        <v>515852575</v>
      </c>
      <c r="J92" s="122">
        <f>+J69+J73+J78+J81+J85+J91+J90</f>
        <v>829764</v>
      </c>
      <c r="K92" s="122">
        <f>+K69+K73+K78+K81+K85+K91+K90</f>
        <v>17254367</v>
      </c>
    </row>
    <row r="93" spans="1:11" s="283" customFormat="1" ht="12" customHeight="1" thickBot="1" x14ac:dyDescent="0.25">
      <c r="A93" s="255" t="s">
        <v>459</v>
      </c>
      <c r="B93" s="460" t="s">
        <v>460</v>
      </c>
      <c r="C93" s="657">
        <f>C92+C68</f>
        <v>2948027314</v>
      </c>
      <c r="D93" s="657">
        <f>D92+D68</f>
        <v>3788176164</v>
      </c>
      <c r="E93" s="651">
        <f>+E68+E92</f>
        <v>1824871137</v>
      </c>
      <c r="F93" s="652">
        <f>+F68+F92</f>
        <v>9863904</v>
      </c>
      <c r="G93" s="652">
        <f>+G68+G92</f>
        <v>393971766</v>
      </c>
      <c r="H93" s="117">
        <f>'1.1.sz.mell. '!C95</f>
        <v>4520563523</v>
      </c>
      <c r="I93" s="285">
        <f>+I68+I92</f>
        <v>2831811542</v>
      </c>
      <c r="J93" s="122">
        <f>+J68+J92</f>
        <v>9280592</v>
      </c>
      <c r="K93" s="122">
        <f>+K68+K92</f>
        <v>306161282</v>
      </c>
    </row>
    <row r="94" spans="1:11" s="283" customFormat="1" ht="12" customHeight="1" x14ac:dyDescent="0.2">
      <c r="A94" s="288"/>
      <c r="B94" s="289"/>
      <c r="C94" s="664"/>
      <c r="D94" s="665"/>
      <c r="E94" s="666"/>
      <c r="F94" s="666"/>
      <c r="G94" s="666"/>
      <c r="H94" s="667"/>
    </row>
    <row r="95" spans="1:11" s="283" customFormat="1" ht="12" customHeight="1" x14ac:dyDescent="0.2">
      <c r="A95" s="1445" t="s">
        <v>49</v>
      </c>
      <c r="B95" s="1445"/>
      <c r="C95" s="1445"/>
      <c r="D95" s="1445"/>
      <c r="E95" s="1445"/>
      <c r="F95" s="1445"/>
      <c r="G95" s="1445"/>
      <c r="H95" s="1445"/>
    </row>
    <row r="96" spans="1:11" s="283" customFormat="1" ht="12" customHeight="1" thickBot="1" x14ac:dyDescent="0.25">
      <c r="A96" s="1446" t="s">
        <v>130</v>
      </c>
      <c r="B96" s="1446"/>
      <c r="C96" s="668"/>
      <c r="D96" s="624"/>
      <c r="E96" s="624"/>
      <c r="F96" s="624"/>
      <c r="G96" s="624"/>
      <c r="H96" s="669" t="str">
        <f>H6</f>
        <v>Forintban!</v>
      </c>
    </row>
    <row r="97" spans="1:11" s="283" customFormat="1" ht="36.75" customHeight="1" thickBot="1" x14ac:dyDescent="0.25">
      <c r="A97" s="20" t="s">
        <v>19</v>
      </c>
      <c r="B97" s="472" t="s">
        <v>50</v>
      </c>
      <c r="C97" s="627" t="str">
        <f>C7</f>
        <v>2018. évi tény</v>
      </c>
      <c r="D97" s="627" t="str">
        <f>D7</f>
        <v>2019. évi várható adat</v>
      </c>
      <c r="E97" s="627">
        <f>E7</f>
        <v>0</v>
      </c>
      <c r="F97" s="627">
        <f>F7</f>
        <v>0</v>
      </c>
      <c r="G97" s="627">
        <f>G7</f>
        <v>0</v>
      </c>
      <c r="H97" s="627" t="str">
        <f>H7</f>
        <v>2020. évi előirányzat</v>
      </c>
    </row>
    <row r="98" spans="1:11" s="283" customFormat="1" ht="12" customHeight="1" thickBot="1" x14ac:dyDescent="0.25">
      <c r="A98" s="25" t="s">
        <v>447</v>
      </c>
      <c r="B98" s="306" t="s">
        <v>448</v>
      </c>
      <c r="C98" s="657" t="s">
        <v>449</v>
      </c>
      <c r="D98" s="670" t="s">
        <v>499</v>
      </c>
      <c r="E98" s="631"/>
      <c r="F98" s="631"/>
      <c r="G98" s="631"/>
      <c r="H98" s="632" t="s">
        <v>500</v>
      </c>
    </row>
    <row r="99" spans="1:11" s="283" customFormat="1" ht="15" customHeight="1" thickBot="1" x14ac:dyDescent="0.25">
      <c r="A99" s="19" t="s">
        <v>21</v>
      </c>
      <c r="B99" s="461" t="s">
        <v>498</v>
      </c>
      <c r="C99" s="1317">
        <f>SUM(C100:C104,C117)</f>
        <v>2137354184</v>
      </c>
      <c r="D99" s="1317">
        <f>SUM(D100:D104,D117)</f>
        <v>2286219244</v>
      </c>
      <c r="E99" s="1318"/>
      <c r="F99" s="1319"/>
      <c r="G99" s="1317"/>
      <c r="H99" s="311">
        <f>'1.1.sz.mell. '!C101</f>
        <v>2799568746</v>
      </c>
      <c r="I99" s="290">
        <f>+I100+I101+I102+I103+I104+I117</f>
        <v>729611526</v>
      </c>
      <c r="J99" s="116">
        <f>+J100+J101+J102+J103+J104+J117</f>
        <v>223670940</v>
      </c>
      <c r="K99" s="295">
        <f>K100+K101+K102+K103+K104+K117</f>
        <v>1606947760</v>
      </c>
    </row>
    <row r="100" spans="1:11" s="283" customFormat="1" ht="12.95" customHeight="1" x14ac:dyDescent="0.2">
      <c r="A100" s="14" t="s">
        <v>100</v>
      </c>
      <c r="B100" s="462" t="s">
        <v>51</v>
      </c>
      <c r="C100" s="1320">
        <v>954601761</v>
      </c>
      <c r="D100" s="1321">
        <v>1036807081</v>
      </c>
      <c r="E100" s="1322"/>
      <c r="F100" s="1323"/>
      <c r="G100" s="1323"/>
      <c r="H100" s="430">
        <f>'1.1.sz.mell. '!C102</f>
        <v>1218059814</v>
      </c>
      <c r="I100" s="1210">
        <f>23173251+2787126+1407675+14384916+61829+2528076+5742073</f>
        <v>50084946</v>
      </c>
      <c r="J100" s="275">
        <f>147375885+935085+4069918</f>
        <v>152380888</v>
      </c>
      <c r="K100" s="275">
        <f>60512486+64039486+48091292+208655734+471445483</f>
        <v>852744481</v>
      </c>
    </row>
    <row r="101" spans="1:11" ht="16.5" customHeight="1" x14ac:dyDescent="0.25">
      <c r="A101" s="11" t="s">
        <v>101</v>
      </c>
      <c r="B101" s="463" t="s">
        <v>149</v>
      </c>
      <c r="C101" s="1324">
        <v>198202661</v>
      </c>
      <c r="D101" s="1325">
        <v>207856870</v>
      </c>
      <c r="E101" s="1326"/>
      <c r="F101" s="1327"/>
      <c r="G101" s="1327"/>
      <c r="H101" s="430">
        <f>'1.1.sz.mell. '!C103</f>
        <v>228887290</v>
      </c>
      <c r="I101" s="1207">
        <f>4364055+1409889+7817+2684650+14227+10944+444000+1007723</f>
        <v>9943305</v>
      </c>
      <c r="J101" s="1206">
        <f>30406649+133681+815187</f>
        <v>31355517</v>
      </c>
      <c r="K101" s="1206">
        <f>13261042+12834203+9499320+44850807+98130166</f>
        <v>178575538</v>
      </c>
    </row>
    <row r="102" spans="1:11" x14ac:dyDescent="0.25">
      <c r="A102" s="11" t="s">
        <v>102</v>
      </c>
      <c r="B102" s="463" t="s">
        <v>125</v>
      </c>
      <c r="C102" s="1328">
        <v>759722479</v>
      </c>
      <c r="D102" s="1325">
        <v>803850676</v>
      </c>
      <c r="E102" s="1329"/>
      <c r="F102" s="1330"/>
      <c r="G102" s="1327"/>
      <c r="H102" s="430">
        <f>'1.1.sz.mell. '!C104</f>
        <v>922434867</v>
      </c>
      <c r="I102" s="1208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182">
        <f>38780508+150000+369027+635000</f>
        <v>39934535</v>
      </c>
      <c r="K102" s="1206">
        <f>229985778+15749737+50789082+80145873+198957271</f>
        <v>575627741</v>
      </c>
    </row>
    <row r="103" spans="1:11" s="281" customFormat="1" ht="12" customHeight="1" x14ac:dyDescent="0.2">
      <c r="A103" s="11" t="s">
        <v>103</v>
      </c>
      <c r="B103" s="466" t="s">
        <v>150</v>
      </c>
      <c r="C103" s="1324">
        <v>67052084</v>
      </c>
      <c r="D103" s="1325">
        <v>47275053</v>
      </c>
      <c r="E103" s="1329"/>
      <c r="F103" s="1330"/>
      <c r="G103" s="1330"/>
      <c r="H103" s="430">
        <f>'1.1.sz.mell. '!C105</f>
        <v>61300000</v>
      </c>
      <c r="I103" s="1208">
        <f>24250000+48100000+3500000</f>
        <v>75850000</v>
      </c>
      <c r="J103" s="182"/>
      <c r="K103" s="182"/>
    </row>
    <row r="104" spans="1:11" ht="12" customHeight="1" x14ac:dyDescent="0.25">
      <c r="A104" s="11" t="s">
        <v>114</v>
      </c>
      <c r="B104" s="16" t="s">
        <v>151</v>
      </c>
      <c r="C104" s="1324">
        <f>SUM(C105:C116)</f>
        <v>157775199</v>
      </c>
      <c r="D104" s="1324">
        <f>SUM(D105:D116)</f>
        <v>190429564</v>
      </c>
      <c r="E104" s="1324">
        <f>SUM(E105:E116)</f>
        <v>0</v>
      </c>
      <c r="F104" s="1324">
        <f>SUM(F105:F116)</f>
        <v>0</v>
      </c>
      <c r="G104" s="1324">
        <f>SUM(G105:G116)</f>
        <v>0</v>
      </c>
      <c r="H104" s="1324">
        <f>'1.1.sz.mell. '!C106</f>
        <v>214672293</v>
      </c>
      <c r="I104" s="1208">
        <f>SUM(I105:I116)</f>
        <v>219979003</v>
      </c>
      <c r="J104" s="1208">
        <f>SUM(J105:J116)</f>
        <v>0</v>
      </c>
      <c r="K104" s="182"/>
    </row>
    <row r="105" spans="1:11" ht="12" customHeight="1" x14ac:dyDescent="0.25">
      <c r="A105" s="11" t="s">
        <v>104</v>
      </c>
      <c r="B105" s="463" t="s">
        <v>461</v>
      </c>
      <c r="C105" s="1328">
        <v>5090844</v>
      </c>
      <c r="D105" s="1325">
        <v>9463052</v>
      </c>
      <c r="E105" s="1329"/>
      <c r="F105" s="1330"/>
      <c r="G105" s="1330"/>
      <c r="H105" s="430">
        <f>'1.1.sz.mell. '!C107</f>
        <v>794676</v>
      </c>
      <c r="I105" s="1208">
        <v>100000</v>
      </c>
      <c r="J105" s="182"/>
      <c r="K105" s="182"/>
    </row>
    <row r="106" spans="1:11" ht="12" customHeight="1" x14ac:dyDescent="0.25">
      <c r="A106" s="11" t="s">
        <v>105</v>
      </c>
      <c r="B106" s="465" t="s">
        <v>462</v>
      </c>
      <c r="C106" s="1328"/>
      <c r="D106" s="1325"/>
      <c r="E106" s="1329"/>
      <c r="F106" s="1330"/>
      <c r="G106" s="1330"/>
      <c r="H106" s="430">
        <f>'1.1.sz.mell. '!C108</f>
        <v>0</v>
      </c>
      <c r="I106" s="1208"/>
      <c r="J106" s="182"/>
      <c r="K106" s="182"/>
    </row>
    <row r="107" spans="1:11" ht="12" customHeight="1" x14ac:dyDescent="0.25">
      <c r="A107" s="11" t="s">
        <v>115</v>
      </c>
      <c r="B107" s="465" t="s">
        <v>463</v>
      </c>
      <c r="C107" s="1328">
        <v>159000</v>
      </c>
      <c r="D107" s="1325"/>
      <c r="E107" s="1329"/>
      <c r="F107" s="1330"/>
      <c r="G107" s="1330"/>
      <c r="H107" s="430">
        <f>'1.1.sz.mell. '!C109</f>
        <v>0</v>
      </c>
      <c r="I107" s="1208"/>
      <c r="J107" s="182"/>
      <c r="K107" s="182"/>
    </row>
    <row r="108" spans="1:11" ht="12" customHeight="1" x14ac:dyDescent="0.25">
      <c r="A108" s="11" t="s">
        <v>116</v>
      </c>
      <c r="B108" s="474" t="s">
        <v>300</v>
      </c>
      <c r="C108" s="1331"/>
      <c r="D108" s="1325"/>
      <c r="E108" s="1329"/>
      <c r="F108" s="1330"/>
      <c r="G108" s="1330"/>
      <c r="H108" s="430">
        <f>'1.1.sz.mell. '!C110</f>
        <v>0</v>
      </c>
      <c r="I108" s="1208"/>
      <c r="J108" s="182"/>
      <c r="K108" s="182"/>
    </row>
    <row r="109" spans="1:11" ht="12" customHeight="1" x14ac:dyDescent="0.25">
      <c r="A109" s="11" t="s">
        <v>117</v>
      </c>
      <c r="B109" s="471" t="s">
        <v>301</v>
      </c>
      <c r="C109" s="1328"/>
      <c r="D109" s="1325"/>
      <c r="E109" s="1329"/>
      <c r="F109" s="1330"/>
      <c r="G109" s="1330"/>
      <c r="H109" s="430">
        <f>'1.1.sz.mell. '!C111</f>
        <v>0</v>
      </c>
      <c r="I109" s="1208"/>
      <c r="J109" s="182"/>
      <c r="K109" s="182"/>
    </row>
    <row r="110" spans="1:11" ht="12" customHeight="1" x14ac:dyDescent="0.25">
      <c r="A110" s="11" t="s">
        <v>118</v>
      </c>
      <c r="B110" s="471" t="s">
        <v>302</v>
      </c>
      <c r="C110" s="1328"/>
      <c r="D110" s="1325"/>
      <c r="E110" s="1329"/>
      <c r="F110" s="1330"/>
      <c r="G110" s="1330"/>
      <c r="H110" s="430">
        <f>'1.1.sz.mell. '!C112</f>
        <v>0</v>
      </c>
      <c r="I110" s="1208"/>
      <c r="J110" s="182"/>
      <c r="K110" s="182"/>
    </row>
    <row r="111" spans="1:11" ht="12" customHeight="1" x14ac:dyDescent="0.25">
      <c r="A111" s="11" t="s">
        <v>120</v>
      </c>
      <c r="B111" s="474" t="s">
        <v>303</v>
      </c>
      <c r="C111" s="1332">
        <v>746500</v>
      </c>
      <c r="D111" s="1325">
        <v>4012934</v>
      </c>
      <c r="E111" s="1329"/>
      <c r="F111" s="1330"/>
      <c r="G111" s="1330"/>
      <c r="H111" s="430">
        <f>'1.1.sz.mell. '!C113</f>
        <v>1461000</v>
      </c>
      <c r="I111" s="1208">
        <f>523000</f>
        <v>523000</v>
      </c>
      <c r="J111" s="182"/>
      <c r="K111" s="182"/>
    </row>
    <row r="112" spans="1:11" ht="12" customHeight="1" x14ac:dyDescent="0.25">
      <c r="A112" s="11" t="s">
        <v>152</v>
      </c>
      <c r="B112" s="474" t="s">
        <v>304</v>
      </c>
      <c r="C112" s="1331"/>
      <c r="D112" s="1325"/>
      <c r="E112" s="1329"/>
      <c r="F112" s="1330"/>
      <c r="G112" s="1330"/>
      <c r="H112" s="430">
        <f>'1.1.sz.mell. '!C114</f>
        <v>0</v>
      </c>
      <c r="I112" s="1208"/>
      <c r="J112" s="182"/>
      <c r="K112" s="182"/>
    </row>
    <row r="113" spans="1:11" ht="12" customHeight="1" x14ac:dyDescent="0.25">
      <c r="A113" s="11" t="s">
        <v>298</v>
      </c>
      <c r="B113" s="471" t="s">
        <v>305</v>
      </c>
      <c r="C113" s="1332"/>
      <c r="D113" s="1325">
        <v>15400000</v>
      </c>
      <c r="E113" s="1329"/>
      <c r="F113" s="1330"/>
      <c r="G113" s="1330"/>
      <c r="H113" s="430">
        <f>'1.1.sz.mell. '!C115</f>
        <v>0</v>
      </c>
      <c r="I113" s="1208"/>
      <c r="J113" s="182"/>
      <c r="K113" s="182"/>
    </row>
    <row r="114" spans="1:11" ht="12" customHeight="1" x14ac:dyDescent="0.25">
      <c r="A114" s="10" t="s">
        <v>299</v>
      </c>
      <c r="B114" s="465" t="s">
        <v>306</v>
      </c>
      <c r="C114" s="1332"/>
      <c r="D114" s="1325"/>
      <c r="E114" s="1329"/>
      <c r="F114" s="1330"/>
      <c r="G114" s="1330"/>
      <c r="H114" s="430">
        <f>'1.1.sz.mell. '!C116</f>
        <v>0</v>
      </c>
      <c r="I114" s="1208"/>
      <c r="J114" s="182"/>
      <c r="K114" s="182"/>
    </row>
    <row r="115" spans="1:11" ht="12" customHeight="1" x14ac:dyDescent="0.25">
      <c r="A115" s="11" t="s">
        <v>464</v>
      </c>
      <c r="B115" s="465" t="s">
        <v>307</v>
      </c>
      <c r="C115" s="1332"/>
      <c r="D115" s="1325"/>
      <c r="E115" s="1329"/>
      <c r="F115" s="1330"/>
      <c r="G115" s="1330"/>
      <c r="H115" s="430">
        <f>'1.1.sz.mell. '!C117</f>
        <v>0</v>
      </c>
      <c r="I115" s="1208"/>
      <c r="J115" s="182"/>
      <c r="K115" s="182"/>
    </row>
    <row r="116" spans="1:11" ht="12" customHeight="1" x14ac:dyDescent="0.25">
      <c r="A116" s="13" t="s">
        <v>465</v>
      </c>
      <c r="B116" s="465" t="s">
        <v>308</v>
      </c>
      <c r="C116" s="1332">
        <v>151778855</v>
      </c>
      <c r="D116" s="1325">
        <v>161553578</v>
      </c>
      <c r="E116" s="1326"/>
      <c r="F116" s="1327"/>
      <c r="G116" s="1330"/>
      <c r="H116" s="430">
        <f>'1.1.sz.mell. '!C118</f>
        <v>212416617</v>
      </c>
      <c r="I116" s="1207">
        <f>1000000+47869145+6604733+15489215+46984511+23326783+69312000+7332000+1437616</f>
        <v>219356003</v>
      </c>
      <c r="J116" s="1206"/>
      <c r="K116" s="182"/>
    </row>
    <row r="117" spans="1:11" ht="12" customHeight="1" x14ac:dyDescent="0.25">
      <c r="A117" s="11" t="s">
        <v>466</v>
      </c>
      <c r="B117" s="466" t="s">
        <v>52</v>
      </c>
      <c r="C117" s="1333"/>
      <c r="D117" s="1325"/>
      <c r="E117" s="1326"/>
      <c r="F117" s="1327"/>
      <c r="G117" s="1327"/>
      <c r="H117" s="430">
        <f>'1.1.sz.mell. '!C119</f>
        <v>154214482</v>
      </c>
      <c r="I117" s="1207">
        <f>SUM(I118:I119)</f>
        <v>78390965</v>
      </c>
      <c r="J117" s="1207">
        <f>SUM(J118:J119)</f>
        <v>0</v>
      </c>
      <c r="K117" s="1206"/>
    </row>
    <row r="118" spans="1:11" ht="12" customHeight="1" x14ac:dyDescent="0.25">
      <c r="A118" s="11" t="s">
        <v>467</v>
      </c>
      <c r="B118" s="463" t="s">
        <v>468</v>
      </c>
      <c r="C118" s="1334"/>
      <c r="D118" s="1325"/>
      <c r="E118" s="1329"/>
      <c r="F118" s="1330"/>
      <c r="G118" s="1327"/>
      <c r="H118" s="430">
        <f>'1.1.sz.mell. '!C120</f>
        <v>47256369</v>
      </c>
      <c r="I118" s="1208">
        <v>15000000</v>
      </c>
      <c r="J118" s="182"/>
      <c r="K118" s="1206"/>
    </row>
    <row r="119" spans="1:11" ht="12" customHeight="1" thickBot="1" x14ac:dyDescent="0.3">
      <c r="A119" s="15" t="s">
        <v>469</v>
      </c>
      <c r="B119" s="467" t="s">
        <v>470</v>
      </c>
      <c r="C119" s="1335"/>
      <c r="D119" s="1336"/>
      <c r="E119" s="1337"/>
      <c r="F119" s="1338"/>
      <c r="G119" s="1338"/>
      <c r="H119" s="430">
        <f>'1.1.sz.mell. '!C121</f>
        <v>106958113</v>
      </c>
      <c r="I119" s="301">
        <f>63390965</f>
        <v>63390965</v>
      </c>
      <c r="J119" s="280"/>
      <c r="K119" s="280"/>
    </row>
    <row r="120" spans="1:11" ht="12" customHeight="1" thickBot="1" x14ac:dyDescent="0.3">
      <c r="A120" s="257" t="s">
        <v>22</v>
      </c>
      <c r="B120" s="432" t="s">
        <v>309</v>
      </c>
      <c r="C120" s="1317">
        <f>C121+C123+C125</f>
        <v>397118900</v>
      </c>
      <c r="D120" s="1317">
        <f>D121+D123+D125</f>
        <v>478464804</v>
      </c>
      <c r="E120" s="1339"/>
      <c r="F120" s="1340"/>
      <c r="G120" s="1341"/>
      <c r="H120" s="435">
        <f>'1.1.sz.mell. '!C122</f>
        <v>949284089</v>
      </c>
      <c r="I120" s="282">
        <f>+I121+I123+I125</f>
        <v>404630354</v>
      </c>
      <c r="J120" s="117">
        <f>+J121+J123+J125</f>
        <v>3585917</v>
      </c>
      <c r="K120" s="259">
        <f>+K121+K123+K125</f>
        <v>19950087</v>
      </c>
    </row>
    <row r="121" spans="1:11" ht="12" customHeight="1" x14ac:dyDescent="0.25">
      <c r="A121" s="12" t="s">
        <v>106</v>
      </c>
      <c r="B121" s="463" t="s">
        <v>173</v>
      </c>
      <c r="C121" s="1342">
        <v>117395559</v>
      </c>
      <c r="D121" s="1321">
        <v>211704361</v>
      </c>
      <c r="E121" s="1343"/>
      <c r="F121" s="1344"/>
      <c r="G121" s="1344"/>
      <c r="H121" s="430">
        <f>'1.1.sz.mell. '!C123</f>
        <v>675635643</v>
      </c>
      <c r="I121" s="1209">
        <f>229989520+300000+13809000+835610+12076323+1270000+359410+4508500+2505001+5000+6704583</f>
        <v>272362947</v>
      </c>
      <c r="J121" s="231">
        <f>3355917+230000</f>
        <v>3585917</v>
      </c>
      <c r="K121" s="231">
        <f>506050+641350+1986214+1926590+13924683</f>
        <v>18984887</v>
      </c>
    </row>
    <row r="122" spans="1:11" x14ac:dyDescent="0.25">
      <c r="A122" s="12" t="s">
        <v>107</v>
      </c>
      <c r="B122" s="464" t="s">
        <v>313</v>
      </c>
      <c r="C122" s="1345"/>
      <c r="D122" s="1325"/>
      <c r="E122" s="1343"/>
      <c r="F122" s="1344"/>
      <c r="G122" s="1344"/>
      <c r="H122" s="430">
        <f>'1.1.sz.mell. '!C124</f>
        <v>579035813</v>
      </c>
      <c r="I122" s="1209">
        <f>156693000+42191010+12076323+6704583</f>
        <v>217664916</v>
      </c>
      <c r="J122" s="231"/>
      <c r="K122" s="231">
        <v>717651</v>
      </c>
    </row>
    <row r="123" spans="1:11" ht="12" customHeight="1" x14ac:dyDescent="0.25">
      <c r="A123" s="12" t="s">
        <v>108</v>
      </c>
      <c r="B123" s="464" t="s">
        <v>153</v>
      </c>
      <c r="C123" s="1332">
        <v>234332492</v>
      </c>
      <c r="D123" s="1325">
        <v>259516521</v>
      </c>
      <c r="E123" s="1326"/>
      <c r="F123" s="1327"/>
      <c r="G123" s="1327"/>
      <c r="H123" s="430">
        <f>'1.1.sz.mell. '!C125</f>
        <v>266769726</v>
      </c>
      <c r="I123" s="1207">
        <f>9517731+51474577+42450993+1905000</f>
        <v>105348301</v>
      </c>
      <c r="J123" s="1206"/>
      <c r="K123" s="1206">
        <v>965200</v>
      </c>
    </row>
    <row r="124" spans="1:11" ht="12" customHeight="1" x14ac:dyDescent="0.25">
      <c r="A124" s="12" t="s">
        <v>109</v>
      </c>
      <c r="B124" s="464" t="s">
        <v>314</v>
      </c>
      <c r="C124" s="1346"/>
      <c r="D124" s="1325"/>
      <c r="E124" s="1326"/>
      <c r="F124" s="1347"/>
      <c r="G124" s="1326"/>
      <c r="H124" s="430">
        <f>'1.1.sz.mell. '!C126</f>
        <v>92353398</v>
      </c>
      <c r="I124" s="1207">
        <f>28614577+42450993-1206500</f>
        <v>69859070</v>
      </c>
      <c r="J124" s="590"/>
      <c r="K124" s="1207"/>
    </row>
    <row r="125" spans="1:11" ht="12" customHeight="1" x14ac:dyDescent="0.25">
      <c r="A125" s="12" t="s">
        <v>110</v>
      </c>
      <c r="B125" s="456" t="s">
        <v>175</v>
      </c>
      <c r="C125" s="1348">
        <f>SUM(C126:C133)</f>
        <v>45390849</v>
      </c>
      <c r="D125" s="1325">
        <f>SUM(D126:D133)</f>
        <v>7243922</v>
      </c>
      <c r="E125" s="1326"/>
      <c r="F125" s="1326"/>
      <c r="G125" s="1326"/>
      <c r="H125" s="430">
        <f>'1.1.sz.mell. '!C127</f>
        <v>6878720</v>
      </c>
      <c r="I125" s="1207">
        <f>SUM(I126:I133)</f>
        <v>26919106</v>
      </c>
      <c r="J125" s="1207">
        <f>SUM(J126:J133)</f>
        <v>0</v>
      </c>
      <c r="K125" s="1207"/>
    </row>
    <row r="126" spans="1:11" ht="12" customHeight="1" x14ac:dyDescent="0.25">
      <c r="A126" s="12" t="s">
        <v>119</v>
      </c>
      <c r="B126" s="455" t="s">
        <v>376</v>
      </c>
      <c r="C126" s="1349"/>
      <c r="D126" s="1325"/>
      <c r="E126" s="1350"/>
      <c r="F126" s="1350"/>
      <c r="G126" s="1326"/>
      <c r="H126" s="430">
        <f>'1.1.sz.mell. '!C128</f>
        <v>0</v>
      </c>
      <c r="I126" s="106"/>
      <c r="J126" s="106"/>
      <c r="K126" s="1207"/>
    </row>
    <row r="127" spans="1:11" ht="12" customHeight="1" x14ac:dyDescent="0.25">
      <c r="A127" s="12" t="s">
        <v>121</v>
      </c>
      <c r="B127" s="470" t="s">
        <v>319</v>
      </c>
      <c r="C127" s="1351"/>
      <c r="D127" s="1325"/>
      <c r="E127" s="1350"/>
      <c r="F127" s="1350"/>
      <c r="G127" s="1326"/>
      <c r="H127" s="430">
        <f>'1.1.sz.mell. '!C129</f>
        <v>0</v>
      </c>
      <c r="I127" s="106"/>
      <c r="J127" s="106"/>
      <c r="K127" s="1207"/>
    </row>
    <row r="128" spans="1:11" ht="12" customHeight="1" x14ac:dyDescent="0.25">
      <c r="A128" s="12" t="s">
        <v>154</v>
      </c>
      <c r="B128" s="471" t="s">
        <v>302</v>
      </c>
      <c r="C128" s="1352"/>
      <c r="D128" s="1325"/>
      <c r="E128" s="1350"/>
      <c r="F128" s="1350"/>
      <c r="G128" s="1326"/>
      <c r="H128" s="430">
        <f>'1.1.sz.mell. '!C130</f>
        <v>0</v>
      </c>
      <c r="I128" s="106"/>
      <c r="J128" s="106"/>
      <c r="K128" s="1207"/>
    </row>
    <row r="129" spans="1:11" ht="12" customHeight="1" x14ac:dyDescent="0.25">
      <c r="A129" s="12" t="s">
        <v>155</v>
      </c>
      <c r="B129" s="471" t="s">
        <v>318</v>
      </c>
      <c r="C129" s="1352"/>
      <c r="D129" s="1325">
        <v>308980</v>
      </c>
      <c r="E129" s="1350"/>
      <c r="F129" s="1350"/>
      <c r="G129" s="1326"/>
      <c r="H129" s="430">
        <f>'1.1.sz.mell. '!C131</f>
        <v>0</v>
      </c>
      <c r="I129" s="106"/>
      <c r="J129" s="106"/>
      <c r="K129" s="1207"/>
    </row>
    <row r="130" spans="1:11" ht="12" customHeight="1" x14ac:dyDescent="0.25">
      <c r="A130" s="12" t="s">
        <v>156</v>
      </c>
      <c r="B130" s="471" t="s">
        <v>317</v>
      </c>
      <c r="C130" s="1352"/>
      <c r="D130" s="1325"/>
      <c r="E130" s="1350"/>
      <c r="F130" s="1350"/>
      <c r="G130" s="1326"/>
      <c r="H130" s="430">
        <f>'1.1.sz.mell. '!C132</f>
        <v>0</v>
      </c>
      <c r="I130" s="106"/>
      <c r="J130" s="106"/>
      <c r="K130" s="1207"/>
    </row>
    <row r="131" spans="1:11" ht="12" customHeight="1" x14ac:dyDescent="0.25">
      <c r="A131" s="12" t="s">
        <v>310</v>
      </c>
      <c r="B131" s="471" t="s">
        <v>305</v>
      </c>
      <c r="C131" s="1352"/>
      <c r="D131" s="1325"/>
      <c r="E131" s="1350"/>
      <c r="F131" s="1350"/>
      <c r="G131" s="1326"/>
      <c r="H131" s="430">
        <f>'1.1.sz.mell. '!C133</f>
        <v>0</v>
      </c>
      <c r="I131" s="106"/>
      <c r="J131" s="106"/>
      <c r="K131" s="1207"/>
    </row>
    <row r="132" spans="1:11" ht="12" customHeight="1" x14ac:dyDescent="0.25">
      <c r="A132" s="12" t="s">
        <v>311</v>
      </c>
      <c r="B132" s="471" t="s">
        <v>316</v>
      </c>
      <c r="C132" s="1352"/>
      <c r="D132" s="1325"/>
      <c r="E132" s="1350"/>
      <c r="F132" s="1350"/>
      <c r="G132" s="1326"/>
      <c r="H132" s="430">
        <f>'1.1.sz.mell. '!C134</f>
        <v>0</v>
      </c>
      <c r="I132" s="106"/>
      <c r="J132" s="106"/>
      <c r="K132" s="1207"/>
    </row>
    <row r="133" spans="1:11" ht="12" customHeight="1" thickBot="1" x14ac:dyDescent="0.3">
      <c r="A133" s="10" t="s">
        <v>312</v>
      </c>
      <c r="B133" s="471" t="s">
        <v>315</v>
      </c>
      <c r="C133" s="1332">
        <v>45390849</v>
      </c>
      <c r="D133" s="1336">
        <v>6934942</v>
      </c>
      <c r="E133" s="1329"/>
      <c r="F133" s="1329"/>
      <c r="G133" s="1329"/>
      <c r="H133" s="430">
        <f>'1.1.sz.mell. '!C135</f>
        <v>6878720</v>
      </c>
      <c r="I133" s="1208">
        <f>650000+26269106</f>
        <v>26919106</v>
      </c>
      <c r="J133" s="1208"/>
      <c r="K133" s="1208"/>
    </row>
    <row r="134" spans="1:11" ht="12" customHeight="1" thickBot="1" x14ac:dyDescent="0.3">
      <c r="A134" s="17" t="s">
        <v>23</v>
      </c>
      <c r="B134" s="433" t="s">
        <v>471</v>
      </c>
      <c r="C134" s="1317">
        <f>C120+C99</f>
        <v>2534473084</v>
      </c>
      <c r="D134" s="1317">
        <f>D120+D99</f>
        <v>2764684048</v>
      </c>
      <c r="E134" s="1339"/>
      <c r="F134" s="1340"/>
      <c r="G134" s="1340"/>
      <c r="H134" s="435">
        <f>'1.1.sz.mell. '!C136</f>
        <v>3748852835</v>
      </c>
      <c r="I134" s="282">
        <f>+I99+I120</f>
        <v>1134241880</v>
      </c>
      <c r="J134" s="117">
        <f>+J99+J120</f>
        <v>227256857</v>
      </c>
      <c r="K134" s="117">
        <f>+K99+K120</f>
        <v>1626897847</v>
      </c>
    </row>
    <row r="135" spans="1:11" ht="12" customHeight="1" thickBot="1" x14ac:dyDescent="0.3">
      <c r="A135" s="17" t="s">
        <v>24</v>
      </c>
      <c r="B135" s="433" t="s">
        <v>472</v>
      </c>
      <c r="C135" s="1317">
        <f>SUM(C136:C138)</f>
        <v>8118704</v>
      </c>
      <c r="D135" s="1317">
        <f>SUM(D136:D138)</f>
        <v>16952500</v>
      </c>
      <c r="E135" s="1339"/>
      <c r="F135" s="1340"/>
      <c r="G135" s="1340"/>
      <c r="H135" s="435">
        <f>'1.1.sz.mell. '!C137</f>
        <v>726038434</v>
      </c>
      <c r="I135" s="282">
        <f>+I136+I137+I138</f>
        <v>116952500</v>
      </c>
      <c r="J135" s="117">
        <f>+J136+J137+J138</f>
        <v>0</v>
      </c>
      <c r="K135" s="117">
        <f>+K136+K137+K138</f>
        <v>0</v>
      </c>
    </row>
    <row r="136" spans="1:11" ht="12" customHeight="1" x14ac:dyDescent="0.25">
      <c r="A136" s="12" t="s">
        <v>211</v>
      </c>
      <c r="B136" s="464" t="s">
        <v>473</v>
      </c>
      <c r="C136" s="1332">
        <v>8118704</v>
      </c>
      <c r="D136" s="1353">
        <v>16952500</v>
      </c>
      <c r="E136" s="1326"/>
      <c r="F136" s="1326"/>
      <c r="G136" s="1326"/>
      <c r="H136" s="430">
        <f>'1.1.sz.mell. '!C138</f>
        <v>26038434</v>
      </c>
      <c r="I136" s="1207">
        <f>11674500+5278000</f>
        <v>16952500</v>
      </c>
      <c r="J136" s="1207"/>
      <c r="K136" s="1207"/>
    </row>
    <row r="137" spans="1:11" ht="12" customHeight="1" x14ac:dyDescent="0.25">
      <c r="A137" s="12" t="s">
        <v>214</v>
      </c>
      <c r="B137" s="464" t="s">
        <v>474</v>
      </c>
      <c r="C137" s="1346"/>
      <c r="D137" s="1354"/>
      <c r="E137" s="1350"/>
      <c r="F137" s="1350"/>
      <c r="G137" s="1350"/>
      <c r="H137" s="430">
        <f>'1.1.sz.mell. '!C139</f>
        <v>700000000</v>
      </c>
      <c r="I137" s="106">
        <v>100000000</v>
      </c>
      <c r="J137" s="106"/>
      <c r="K137" s="106"/>
    </row>
    <row r="138" spans="1:11" ht="12" customHeight="1" thickBot="1" x14ac:dyDescent="0.3">
      <c r="A138" s="10" t="s">
        <v>215</v>
      </c>
      <c r="B138" s="464" t="s">
        <v>475</v>
      </c>
      <c r="C138" s="1346"/>
      <c r="D138" s="1355"/>
      <c r="E138" s="1350"/>
      <c r="F138" s="1350"/>
      <c r="G138" s="1350"/>
      <c r="H138" s="500">
        <f>'1.1.sz.mell. '!C140</f>
        <v>0</v>
      </c>
      <c r="I138" s="106"/>
      <c r="J138" s="106"/>
      <c r="K138" s="106"/>
    </row>
    <row r="139" spans="1:11" ht="12" customHeight="1" thickBot="1" x14ac:dyDescent="0.3">
      <c r="A139" s="17" t="s">
        <v>25</v>
      </c>
      <c r="B139" s="433" t="s">
        <v>476</v>
      </c>
      <c r="C139" s="1356">
        <f>SUM(C140:C145)</f>
        <v>0</v>
      </c>
      <c r="D139" s="1356">
        <f>SUM(D140:D145)</f>
        <v>0</v>
      </c>
      <c r="E139" s="1356">
        <f>SUM(E140:E145)</f>
        <v>0</v>
      </c>
      <c r="F139" s="1356">
        <f>SUM(F140:F145)</f>
        <v>0</v>
      </c>
      <c r="G139" s="1356">
        <f>SUM(G140:G145)</f>
        <v>0</v>
      </c>
      <c r="H139" s="1356">
        <f>'1.1.sz.mell. '!C141</f>
        <v>0</v>
      </c>
      <c r="I139" s="282">
        <f>+I140+I141+I142+I143+I144+I145</f>
        <v>0</v>
      </c>
      <c r="J139" s="117">
        <f>+J140+J141+J142+J143+J144+J145</f>
        <v>0</v>
      </c>
      <c r="K139" s="117">
        <f>SUM(K140:K145)</f>
        <v>0</v>
      </c>
    </row>
    <row r="140" spans="1:11" ht="12" customHeight="1" x14ac:dyDescent="0.25">
      <c r="A140" s="12" t="s">
        <v>93</v>
      </c>
      <c r="B140" s="468" t="s">
        <v>477</v>
      </c>
      <c r="C140" s="1351"/>
      <c r="D140" s="1353"/>
      <c r="E140" s="1350"/>
      <c r="F140" s="1350"/>
      <c r="G140" s="1350"/>
      <c r="H140" s="430">
        <f>'1.1.sz.mell. '!C142</f>
        <v>0</v>
      </c>
      <c r="I140" s="106"/>
      <c r="J140" s="106"/>
      <c r="K140" s="106"/>
    </row>
    <row r="141" spans="1:11" ht="12" customHeight="1" x14ac:dyDescent="0.25">
      <c r="A141" s="12" t="s">
        <v>94</v>
      </c>
      <c r="B141" s="468" t="s">
        <v>478</v>
      </c>
      <c r="C141" s="1351"/>
      <c r="D141" s="1354"/>
      <c r="E141" s="1350"/>
      <c r="F141" s="1350"/>
      <c r="G141" s="1350"/>
      <c r="H141" s="430">
        <f>'1.1.sz.mell. '!C143</f>
        <v>0</v>
      </c>
      <c r="I141" s="106"/>
      <c r="J141" s="106"/>
      <c r="K141" s="106"/>
    </row>
    <row r="142" spans="1:11" ht="12" customHeight="1" x14ac:dyDescent="0.25">
      <c r="A142" s="12" t="s">
        <v>95</v>
      </c>
      <c r="B142" s="468" t="s">
        <v>479</v>
      </c>
      <c r="C142" s="1351"/>
      <c r="D142" s="1354"/>
      <c r="E142" s="1350"/>
      <c r="F142" s="1350"/>
      <c r="G142" s="1350"/>
      <c r="H142" s="430">
        <f>'1.1.sz.mell. '!C144</f>
        <v>0</v>
      </c>
      <c r="I142" s="106"/>
      <c r="J142" s="106"/>
      <c r="K142" s="106"/>
    </row>
    <row r="143" spans="1:11" ht="12" customHeight="1" x14ac:dyDescent="0.25">
      <c r="A143" s="12" t="s">
        <v>141</v>
      </c>
      <c r="B143" s="468" t="s">
        <v>480</v>
      </c>
      <c r="C143" s="1351"/>
      <c r="D143" s="1354"/>
      <c r="E143" s="1350"/>
      <c r="F143" s="1350"/>
      <c r="G143" s="1350"/>
      <c r="H143" s="430">
        <f>'1.1.sz.mell. '!C145</f>
        <v>0</v>
      </c>
      <c r="I143" s="106"/>
      <c r="J143" s="106"/>
      <c r="K143" s="106"/>
    </row>
    <row r="144" spans="1:11" ht="12" customHeight="1" x14ac:dyDescent="0.25">
      <c r="A144" s="12" t="s">
        <v>142</v>
      </c>
      <c r="B144" s="468" t="s">
        <v>481</v>
      </c>
      <c r="C144" s="1351"/>
      <c r="D144" s="1354"/>
      <c r="E144" s="1350"/>
      <c r="F144" s="1350"/>
      <c r="G144" s="1350"/>
      <c r="H144" s="430">
        <f>'1.1.sz.mell. '!C146</f>
        <v>0</v>
      </c>
      <c r="I144" s="106"/>
      <c r="J144" s="106"/>
      <c r="K144" s="106"/>
    </row>
    <row r="145" spans="1:11" ht="12" customHeight="1" thickBot="1" x14ac:dyDescent="0.3">
      <c r="A145" s="10" t="s">
        <v>143</v>
      </c>
      <c r="B145" s="468" t="s">
        <v>482</v>
      </c>
      <c r="C145" s="1351"/>
      <c r="D145" s="1355"/>
      <c r="E145" s="1350"/>
      <c r="F145" s="1350"/>
      <c r="G145" s="1350"/>
      <c r="H145" s="500">
        <f>'1.1.sz.mell. '!C147</f>
        <v>0</v>
      </c>
      <c r="I145" s="106"/>
      <c r="J145" s="106"/>
      <c r="K145" s="106"/>
    </row>
    <row r="146" spans="1:11" ht="12" customHeight="1" thickBot="1" x14ac:dyDescent="0.3">
      <c r="A146" s="17" t="s">
        <v>26</v>
      </c>
      <c r="B146" s="433" t="s">
        <v>483</v>
      </c>
      <c r="C146" s="1317">
        <f>SUM(C147:C150)</f>
        <v>38167591</v>
      </c>
      <c r="D146" s="1317">
        <f t="shared" ref="D146:K146" si="0">SUM(D147:D150)</f>
        <v>41904332</v>
      </c>
      <c r="E146" s="1317">
        <f t="shared" si="0"/>
        <v>0</v>
      </c>
      <c r="F146" s="1317">
        <f t="shared" si="0"/>
        <v>0</v>
      </c>
      <c r="G146" s="1317">
        <f t="shared" si="0"/>
        <v>0</v>
      </c>
      <c r="H146" s="1317">
        <f>'1.1.sz.mell. '!C148</f>
        <v>45672254</v>
      </c>
      <c r="I146" s="657">
        <f t="shared" si="0"/>
        <v>41904332</v>
      </c>
      <c r="J146" s="657">
        <f t="shared" si="0"/>
        <v>0</v>
      </c>
      <c r="K146" s="657">
        <f t="shared" si="0"/>
        <v>0</v>
      </c>
    </row>
    <row r="147" spans="1:11" ht="12" customHeight="1" x14ac:dyDescent="0.25">
      <c r="A147" s="12" t="s">
        <v>96</v>
      </c>
      <c r="B147" s="468" t="s">
        <v>320</v>
      </c>
      <c r="C147" s="1351"/>
      <c r="D147" s="1353"/>
      <c r="E147" s="1350"/>
      <c r="F147" s="1350"/>
      <c r="G147" s="1350"/>
      <c r="H147" s="431">
        <f>'1.1.sz.mell. '!C149</f>
        <v>0</v>
      </c>
      <c r="I147" s="106"/>
      <c r="J147" s="106"/>
      <c r="K147" s="106"/>
    </row>
    <row r="148" spans="1:11" ht="12" customHeight="1" x14ac:dyDescent="0.25">
      <c r="A148" s="12" t="s">
        <v>97</v>
      </c>
      <c r="B148" s="468" t="s">
        <v>321</v>
      </c>
      <c r="C148" s="1342">
        <v>38167591</v>
      </c>
      <c r="D148" s="1354">
        <v>41904332</v>
      </c>
      <c r="E148" s="1350"/>
      <c r="F148" s="1350"/>
      <c r="G148" s="1350"/>
      <c r="H148" s="430">
        <f>'1.1.sz.mell. '!C150</f>
        <v>45672254</v>
      </c>
      <c r="I148" s="106">
        <f>41904332</f>
        <v>41904332</v>
      </c>
      <c r="J148" s="106"/>
      <c r="K148" s="106"/>
    </row>
    <row r="149" spans="1:11" ht="12" customHeight="1" x14ac:dyDescent="0.25">
      <c r="A149" s="12" t="s">
        <v>234</v>
      </c>
      <c r="B149" s="468" t="s">
        <v>484</v>
      </c>
      <c r="C149" s="1351"/>
      <c r="D149" s="1354"/>
      <c r="E149" s="1350"/>
      <c r="F149" s="1350"/>
      <c r="G149" s="1350"/>
      <c r="H149" s="431">
        <f>'1.1.sz.mell. '!C151</f>
        <v>0</v>
      </c>
      <c r="I149" s="106"/>
      <c r="J149" s="106"/>
      <c r="K149" s="106"/>
    </row>
    <row r="150" spans="1:11" ht="12" customHeight="1" thickBot="1" x14ac:dyDescent="0.3">
      <c r="A150" s="10" t="s">
        <v>235</v>
      </c>
      <c r="B150" s="469" t="s">
        <v>339</v>
      </c>
      <c r="C150" s="1357"/>
      <c r="D150" s="1355"/>
      <c r="E150" s="1350"/>
      <c r="F150" s="1350"/>
      <c r="G150" s="1350"/>
      <c r="H150" s="434">
        <f>'1.1.sz.mell. '!C152</f>
        <v>0</v>
      </c>
      <c r="I150" s="106"/>
      <c r="J150" s="106"/>
      <c r="K150" s="106"/>
    </row>
    <row r="151" spans="1:11" ht="12" customHeight="1" thickBot="1" x14ac:dyDescent="0.3">
      <c r="A151" s="17" t="s">
        <v>27</v>
      </c>
      <c r="B151" s="433" t="s">
        <v>485</v>
      </c>
      <c r="C151" s="1358">
        <f>SUM(C152:C156)</f>
        <v>0</v>
      </c>
      <c r="D151" s="1358">
        <f>SUM(D152:D156)</f>
        <v>0</v>
      </c>
      <c r="E151" s="1358">
        <f>SUM(E152:E156)</f>
        <v>0</v>
      </c>
      <c r="F151" s="1358">
        <f>SUM(F152:F156)</f>
        <v>0</v>
      </c>
      <c r="G151" s="1358">
        <f>SUM(G152:G156)</f>
        <v>0</v>
      </c>
      <c r="H151" s="1358">
        <f>'1.1.sz.mell. '!C153</f>
        <v>0</v>
      </c>
      <c r="I151" s="292">
        <f>+I152+I153+I154+I155+I156</f>
        <v>0</v>
      </c>
      <c r="J151" s="125">
        <f>+J152+J153+J154+J155+J156</f>
        <v>0</v>
      </c>
      <c r="K151" s="125">
        <f>SUM(K152:K156)</f>
        <v>0</v>
      </c>
    </row>
    <row r="152" spans="1:11" ht="12" customHeight="1" x14ac:dyDescent="0.25">
      <c r="A152" s="12" t="s">
        <v>98</v>
      </c>
      <c r="B152" s="468" t="s">
        <v>486</v>
      </c>
      <c r="C152" s="1351"/>
      <c r="D152" s="1353"/>
      <c r="E152" s="1350"/>
      <c r="F152" s="1350"/>
      <c r="G152" s="1350"/>
      <c r="H152" s="431">
        <f>'1.1.sz.mell. '!C154</f>
        <v>0</v>
      </c>
      <c r="I152" s="106"/>
      <c r="J152" s="106"/>
      <c r="K152" s="106"/>
    </row>
    <row r="153" spans="1:11" ht="12" customHeight="1" x14ac:dyDescent="0.25">
      <c r="A153" s="12" t="s">
        <v>99</v>
      </c>
      <c r="B153" s="468" t="s">
        <v>487</v>
      </c>
      <c r="C153" s="1342"/>
      <c r="D153" s="1354"/>
      <c r="E153" s="1350"/>
      <c r="F153" s="1350"/>
      <c r="G153" s="1350"/>
      <c r="H153" s="431">
        <f>'1.1.sz.mell. '!C155</f>
        <v>0</v>
      </c>
      <c r="I153" s="106"/>
      <c r="J153" s="106"/>
      <c r="K153" s="106"/>
    </row>
    <row r="154" spans="1:11" ht="12" customHeight="1" x14ac:dyDescent="0.25">
      <c r="A154" s="12" t="s">
        <v>246</v>
      </c>
      <c r="B154" s="468" t="s">
        <v>488</v>
      </c>
      <c r="C154" s="1351"/>
      <c r="D154" s="1354"/>
      <c r="E154" s="1350"/>
      <c r="F154" s="1350"/>
      <c r="G154" s="1350"/>
      <c r="H154" s="431">
        <f>'1.1.sz.mell. '!C156</f>
        <v>0</v>
      </c>
      <c r="I154" s="106"/>
      <c r="J154" s="106"/>
      <c r="K154" s="106"/>
    </row>
    <row r="155" spans="1:11" ht="12" customHeight="1" x14ac:dyDescent="0.25">
      <c r="A155" s="12" t="s">
        <v>247</v>
      </c>
      <c r="B155" s="468" t="s">
        <v>489</v>
      </c>
      <c r="C155" s="1351"/>
      <c r="D155" s="1354"/>
      <c r="E155" s="1350"/>
      <c r="F155" s="1350"/>
      <c r="G155" s="1350"/>
      <c r="H155" s="431">
        <f>'1.1.sz.mell. '!C157</f>
        <v>0</v>
      </c>
      <c r="I155" s="106"/>
      <c r="J155" s="106"/>
      <c r="K155" s="106"/>
    </row>
    <row r="156" spans="1:11" ht="12" customHeight="1" thickBot="1" x14ac:dyDescent="0.3">
      <c r="A156" s="12" t="s">
        <v>490</v>
      </c>
      <c r="B156" s="468" t="s">
        <v>491</v>
      </c>
      <c r="C156" s="1351"/>
      <c r="D156" s="1355"/>
      <c r="E156" s="1359"/>
      <c r="F156" s="1359"/>
      <c r="G156" s="1350"/>
      <c r="H156" s="434">
        <f>'1.1.sz.mell. '!C158</f>
        <v>0</v>
      </c>
      <c r="I156" s="107"/>
      <c r="J156" s="107"/>
      <c r="K156" s="106"/>
    </row>
    <row r="157" spans="1:11" ht="12" customHeight="1" thickBot="1" x14ac:dyDescent="0.3">
      <c r="A157" s="17" t="s">
        <v>28</v>
      </c>
      <c r="B157" s="433" t="s">
        <v>492</v>
      </c>
      <c r="C157" s="1358"/>
      <c r="D157" s="1360"/>
      <c r="E157" s="1361"/>
      <c r="F157" s="1362"/>
      <c r="G157" s="1363"/>
      <c r="H157" s="435">
        <f>'1.1.sz.mell. '!C159</f>
        <v>0</v>
      </c>
      <c r="I157" s="292"/>
      <c r="J157" s="125"/>
      <c r="K157" s="260"/>
    </row>
    <row r="158" spans="1:11" ht="12" customHeight="1" thickBot="1" x14ac:dyDescent="0.3">
      <c r="A158" s="17" t="s">
        <v>29</v>
      </c>
      <c r="B158" s="433" t="s">
        <v>493</v>
      </c>
      <c r="C158" s="1358"/>
      <c r="D158" s="1360"/>
      <c r="E158" s="1361"/>
      <c r="F158" s="1362"/>
      <c r="G158" s="1363"/>
      <c r="H158" s="435">
        <f>'1.1.sz.mell. '!C160</f>
        <v>0</v>
      </c>
      <c r="I158" s="292"/>
      <c r="J158" s="125"/>
      <c r="K158" s="260"/>
    </row>
    <row r="159" spans="1:11" ht="15" customHeight="1" thickBot="1" x14ac:dyDescent="0.3">
      <c r="A159" s="17" t="s">
        <v>30</v>
      </c>
      <c r="B159" s="433" t="s">
        <v>494</v>
      </c>
      <c r="C159" s="1317">
        <f>C135+C139+C146+C151+C157+C158</f>
        <v>46286295</v>
      </c>
      <c r="D159" s="1317">
        <f>D135+D139+D146+D151+D157+D158</f>
        <v>58856832</v>
      </c>
      <c r="E159" s="1364"/>
      <c r="F159" s="1365"/>
      <c r="G159" s="1365"/>
      <c r="H159" s="435">
        <f>'1.1.sz.mell. '!C161</f>
        <v>771710688</v>
      </c>
      <c r="I159" s="293">
        <f>+I135+I139+I146+I151+I157+I158</f>
        <v>158856832</v>
      </c>
      <c r="J159" s="203">
        <f>+J135+J139+J146+J151+J157+J158</f>
        <v>0</v>
      </c>
      <c r="K159" s="203">
        <f>+K135+K139+K146+K151+K157+K158</f>
        <v>0</v>
      </c>
    </row>
    <row r="160" spans="1:11" s="283" customFormat="1" ht="12.95" customHeight="1" thickBot="1" x14ac:dyDescent="0.25">
      <c r="A160" s="115" t="s">
        <v>31</v>
      </c>
      <c r="B160" s="436" t="s">
        <v>495</v>
      </c>
      <c r="C160" s="1317">
        <f>C159+C134</f>
        <v>2580759379</v>
      </c>
      <c r="D160" s="1317">
        <f>D159+D134</f>
        <v>2823540880</v>
      </c>
      <c r="E160" s="1364"/>
      <c r="F160" s="1365"/>
      <c r="G160" s="1365"/>
      <c r="H160" s="435">
        <f>'1.1.sz.mell. '!C162</f>
        <v>4520563523</v>
      </c>
      <c r="I160" s="293">
        <f>+I134+I159</f>
        <v>1293098712</v>
      </c>
      <c r="J160" s="203">
        <f>+J134+J159</f>
        <v>227256857</v>
      </c>
      <c r="K160" s="203">
        <f>+K134+K159</f>
        <v>1626897847</v>
      </c>
    </row>
    <row r="164" spans="3:11" s="1016" customFormat="1" ht="16.5" customHeight="1" x14ac:dyDescent="0.25">
      <c r="C164" s="1031"/>
      <c r="D164" s="1031"/>
      <c r="E164" s="1031"/>
      <c r="F164" s="1031"/>
      <c r="G164" s="1031"/>
      <c r="H164" s="1031"/>
      <c r="I164" s="1015"/>
      <c r="J164" s="1015"/>
      <c r="K164" s="1015"/>
    </row>
  </sheetData>
  <mergeCells count="6">
    <mergeCell ref="A96:B96"/>
    <mergeCell ref="A1:H1"/>
    <mergeCell ref="A3:H3"/>
    <mergeCell ref="A5:H5"/>
    <mergeCell ref="A6:B6"/>
    <mergeCell ref="A95:H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J54"/>
  <sheetViews>
    <sheetView workbookViewId="0">
      <selection activeCell="A3" sqref="A3:I3"/>
    </sheetView>
  </sheetViews>
  <sheetFormatPr defaultRowHeight="12.75" x14ac:dyDescent="0.2"/>
  <cols>
    <col min="1" max="1" width="6.83203125" style="1009" customWidth="1"/>
    <col min="2" max="2" width="49.6640625" style="1008" customWidth="1"/>
    <col min="3" max="3" width="12.83203125" style="1032" customWidth="1"/>
    <col min="4" max="8" width="12.83203125" style="1008" customWidth="1"/>
    <col min="9" max="9" width="13.83203125" style="1008" customWidth="1"/>
    <col min="10" max="256" width="9.33203125" style="1008"/>
    <col min="257" max="257" width="6.83203125" style="1008" customWidth="1"/>
    <col min="258" max="258" width="49.6640625" style="1008" customWidth="1"/>
    <col min="259" max="264" width="12.83203125" style="1008" customWidth="1"/>
    <col min="265" max="265" width="13.83203125" style="1008" customWidth="1"/>
    <col min="266" max="512" width="9.33203125" style="1008"/>
    <col min="513" max="513" width="6.83203125" style="1008" customWidth="1"/>
    <col min="514" max="514" width="49.6640625" style="1008" customWidth="1"/>
    <col min="515" max="520" width="12.83203125" style="1008" customWidth="1"/>
    <col min="521" max="521" width="13.83203125" style="1008" customWidth="1"/>
    <col min="522" max="768" width="9.33203125" style="1008"/>
    <col min="769" max="769" width="6.83203125" style="1008" customWidth="1"/>
    <col min="770" max="770" width="49.6640625" style="1008" customWidth="1"/>
    <col min="771" max="776" width="12.83203125" style="1008" customWidth="1"/>
    <col min="777" max="777" width="13.83203125" style="1008" customWidth="1"/>
    <col min="778" max="1024" width="9.33203125" style="1008"/>
    <col min="1025" max="1025" width="6.83203125" style="1008" customWidth="1"/>
    <col min="1026" max="1026" width="49.6640625" style="1008" customWidth="1"/>
    <col min="1027" max="1032" width="12.83203125" style="1008" customWidth="1"/>
    <col min="1033" max="1033" width="13.83203125" style="1008" customWidth="1"/>
    <col min="1034" max="1280" width="9.33203125" style="1008"/>
    <col min="1281" max="1281" width="6.83203125" style="1008" customWidth="1"/>
    <col min="1282" max="1282" width="49.6640625" style="1008" customWidth="1"/>
    <col min="1283" max="1288" width="12.83203125" style="1008" customWidth="1"/>
    <col min="1289" max="1289" width="13.83203125" style="1008" customWidth="1"/>
    <col min="1290" max="1536" width="9.33203125" style="1008"/>
    <col min="1537" max="1537" width="6.83203125" style="1008" customWidth="1"/>
    <col min="1538" max="1538" width="49.6640625" style="1008" customWidth="1"/>
    <col min="1539" max="1544" width="12.83203125" style="1008" customWidth="1"/>
    <col min="1545" max="1545" width="13.83203125" style="1008" customWidth="1"/>
    <col min="1546" max="1792" width="9.33203125" style="1008"/>
    <col min="1793" max="1793" width="6.83203125" style="1008" customWidth="1"/>
    <col min="1794" max="1794" width="49.6640625" style="1008" customWidth="1"/>
    <col min="1795" max="1800" width="12.83203125" style="1008" customWidth="1"/>
    <col min="1801" max="1801" width="13.83203125" style="1008" customWidth="1"/>
    <col min="1802" max="2048" width="9.33203125" style="1008"/>
    <col min="2049" max="2049" width="6.83203125" style="1008" customWidth="1"/>
    <col min="2050" max="2050" width="49.6640625" style="1008" customWidth="1"/>
    <col min="2051" max="2056" width="12.83203125" style="1008" customWidth="1"/>
    <col min="2057" max="2057" width="13.83203125" style="1008" customWidth="1"/>
    <col min="2058" max="2304" width="9.33203125" style="1008"/>
    <col min="2305" max="2305" width="6.83203125" style="1008" customWidth="1"/>
    <col min="2306" max="2306" width="49.6640625" style="1008" customWidth="1"/>
    <col min="2307" max="2312" width="12.83203125" style="1008" customWidth="1"/>
    <col min="2313" max="2313" width="13.83203125" style="1008" customWidth="1"/>
    <col min="2314" max="2560" width="9.33203125" style="1008"/>
    <col min="2561" max="2561" width="6.83203125" style="1008" customWidth="1"/>
    <col min="2562" max="2562" width="49.6640625" style="1008" customWidth="1"/>
    <col min="2563" max="2568" width="12.83203125" style="1008" customWidth="1"/>
    <col min="2569" max="2569" width="13.83203125" style="1008" customWidth="1"/>
    <col min="2570" max="2816" width="9.33203125" style="1008"/>
    <col min="2817" max="2817" width="6.83203125" style="1008" customWidth="1"/>
    <col min="2818" max="2818" width="49.6640625" style="1008" customWidth="1"/>
    <col min="2819" max="2824" width="12.83203125" style="1008" customWidth="1"/>
    <col min="2825" max="2825" width="13.83203125" style="1008" customWidth="1"/>
    <col min="2826" max="3072" width="9.33203125" style="1008"/>
    <col min="3073" max="3073" width="6.83203125" style="1008" customWidth="1"/>
    <col min="3074" max="3074" width="49.6640625" style="1008" customWidth="1"/>
    <col min="3075" max="3080" width="12.83203125" style="1008" customWidth="1"/>
    <col min="3081" max="3081" width="13.83203125" style="1008" customWidth="1"/>
    <col min="3082" max="3328" width="9.33203125" style="1008"/>
    <col min="3329" max="3329" width="6.83203125" style="1008" customWidth="1"/>
    <col min="3330" max="3330" width="49.6640625" style="1008" customWidth="1"/>
    <col min="3331" max="3336" width="12.83203125" style="1008" customWidth="1"/>
    <col min="3337" max="3337" width="13.83203125" style="1008" customWidth="1"/>
    <col min="3338" max="3584" width="9.33203125" style="1008"/>
    <col min="3585" max="3585" width="6.83203125" style="1008" customWidth="1"/>
    <col min="3586" max="3586" width="49.6640625" style="1008" customWidth="1"/>
    <col min="3587" max="3592" width="12.83203125" style="1008" customWidth="1"/>
    <col min="3593" max="3593" width="13.83203125" style="1008" customWidth="1"/>
    <col min="3594" max="3840" width="9.33203125" style="1008"/>
    <col min="3841" max="3841" width="6.83203125" style="1008" customWidth="1"/>
    <col min="3842" max="3842" width="49.6640625" style="1008" customWidth="1"/>
    <col min="3843" max="3848" width="12.83203125" style="1008" customWidth="1"/>
    <col min="3849" max="3849" width="13.83203125" style="1008" customWidth="1"/>
    <col min="3850" max="4096" width="9.33203125" style="1008"/>
    <col min="4097" max="4097" width="6.83203125" style="1008" customWidth="1"/>
    <col min="4098" max="4098" width="49.6640625" style="1008" customWidth="1"/>
    <col min="4099" max="4104" width="12.83203125" style="1008" customWidth="1"/>
    <col min="4105" max="4105" width="13.83203125" style="1008" customWidth="1"/>
    <col min="4106" max="4352" width="9.33203125" style="1008"/>
    <col min="4353" max="4353" width="6.83203125" style="1008" customWidth="1"/>
    <col min="4354" max="4354" width="49.6640625" style="1008" customWidth="1"/>
    <col min="4355" max="4360" width="12.83203125" style="1008" customWidth="1"/>
    <col min="4361" max="4361" width="13.83203125" style="1008" customWidth="1"/>
    <col min="4362" max="4608" width="9.33203125" style="1008"/>
    <col min="4609" max="4609" width="6.83203125" style="1008" customWidth="1"/>
    <col min="4610" max="4610" width="49.6640625" style="1008" customWidth="1"/>
    <col min="4611" max="4616" width="12.83203125" style="1008" customWidth="1"/>
    <col min="4617" max="4617" width="13.83203125" style="1008" customWidth="1"/>
    <col min="4618" max="4864" width="9.33203125" style="1008"/>
    <col min="4865" max="4865" width="6.83203125" style="1008" customWidth="1"/>
    <col min="4866" max="4866" width="49.6640625" style="1008" customWidth="1"/>
    <col min="4867" max="4872" width="12.83203125" style="1008" customWidth="1"/>
    <col min="4873" max="4873" width="13.83203125" style="1008" customWidth="1"/>
    <col min="4874" max="5120" width="9.33203125" style="1008"/>
    <col min="5121" max="5121" width="6.83203125" style="1008" customWidth="1"/>
    <col min="5122" max="5122" width="49.6640625" style="1008" customWidth="1"/>
    <col min="5123" max="5128" width="12.83203125" style="1008" customWidth="1"/>
    <col min="5129" max="5129" width="13.83203125" style="1008" customWidth="1"/>
    <col min="5130" max="5376" width="9.33203125" style="1008"/>
    <col min="5377" max="5377" width="6.83203125" style="1008" customWidth="1"/>
    <col min="5378" max="5378" width="49.6640625" style="1008" customWidth="1"/>
    <col min="5379" max="5384" width="12.83203125" style="1008" customWidth="1"/>
    <col min="5385" max="5385" width="13.83203125" style="1008" customWidth="1"/>
    <col min="5386" max="5632" width="9.33203125" style="1008"/>
    <col min="5633" max="5633" width="6.83203125" style="1008" customWidth="1"/>
    <col min="5634" max="5634" width="49.6640625" style="1008" customWidth="1"/>
    <col min="5635" max="5640" width="12.83203125" style="1008" customWidth="1"/>
    <col min="5641" max="5641" width="13.83203125" style="1008" customWidth="1"/>
    <col min="5642" max="5888" width="9.33203125" style="1008"/>
    <col min="5889" max="5889" width="6.83203125" style="1008" customWidth="1"/>
    <col min="5890" max="5890" width="49.6640625" style="1008" customWidth="1"/>
    <col min="5891" max="5896" width="12.83203125" style="1008" customWidth="1"/>
    <col min="5897" max="5897" width="13.83203125" style="1008" customWidth="1"/>
    <col min="5898" max="6144" width="9.33203125" style="1008"/>
    <col min="6145" max="6145" width="6.83203125" style="1008" customWidth="1"/>
    <col min="6146" max="6146" width="49.6640625" style="1008" customWidth="1"/>
    <col min="6147" max="6152" width="12.83203125" style="1008" customWidth="1"/>
    <col min="6153" max="6153" width="13.83203125" style="1008" customWidth="1"/>
    <col min="6154" max="6400" width="9.33203125" style="1008"/>
    <col min="6401" max="6401" width="6.83203125" style="1008" customWidth="1"/>
    <col min="6402" max="6402" width="49.6640625" style="1008" customWidth="1"/>
    <col min="6403" max="6408" width="12.83203125" style="1008" customWidth="1"/>
    <col min="6409" max="6409" width="13.83203125" style="1008" customWidth="1"/>
    <col min="6410" max="6656" width="9.33203125" style="1008"/>
    <col min="6657" max="6657" width="6.83203125" style="1008" customWidth="1"/>
    <col min="6658" max="6658" width="49.6640625" style="1008" customWidth="1"/>
    <col min="6659" max="6664" width="12.83203125" style="1008" customWidth="1"/>
    <col min="6665" max="6665" width="13.83203125" style="1008" customWidth="1"/>
    <col min="6666" max="6912" width="9.33203125" style="1008"/>
    <col min="6913" max="6913" width="6.83203125" style="1008" customWidth="1"/>
    <col min="6914" max="6914" width="49.6640625" style="1008" customWidth="1"/>
    <col min="6915" max="6920" width="12.83203125" style="1008" customWidth="1"/>
    <col min="6921" max="6921" width="13.83203125" style="1008" customWidth="1"/>
    <col min="6922" max="7168" width="9.33203125" style="1008"/>
    <col min="7169" max="7169" width="6.83203125" style="1008" customWidth="1"/>
    <col min="7170" max="7170" width="49.6640625" style="1008" customWidth="1"/>
    <col min="7171" max="7176" width="12.83203125" style="1008" customWidth="1"/>
    <col min="7177" max="7177" width="13.83203125" style="1008" customWidth="1"/>
    <col min="7178" max="7424" width="9.33203125" style="1008"/>
    <col min="7425" max="7425" width="6.83203125" style="1008" customWidth="1"/>
    <col min="7426" max="7426" width="49.6640625" style="1008" customWidth="1"/>
    <col min="7427" max="7432" width="12.83203125" style="1008" customWidth="1"/>
    <col min="7433" max="7433" width="13.83203125" style="1008" customWidth="1"/>
    <col min="7434" max="7680" width="9.33203125" style="1008"/>
    <col min="7681" max="7681" width="6.83203125" style="1008" customWidth="1"/>
    <col min="7682" max="7682" width="49.6640625" style="1008" customWidth="1"/>
    <col min="7683" max="7688" width="12.83203125" style="1008" customWidth="1"/>
    <col min="7689" max="7689" width="13.83203125" style="1008" customWidth="1"/>
    <col min="7690" max="7936" width="9.33203125" style="1008"/>
    <col min="7937" max="7937" width="6.83203125" style="1008" customWidth="1"/>
    <col min="7938" max="7938" width="49.6640625" style="1008" customWidth="1"/>
    <col min="7939" max="7944" width="12.83203125" style="1008" customWidth="1"/>
    <col min="7945" max="7945" width="13.83203125" style="1008" customWidth="1"/>
    <col min="7946" max="8192" width="9.33203125" style="1008"/>
    <col min="8193" max="8193" width="6.83203125" style="1008" customWidth="1"/>
    <col min="8194" max="8194" width="49.6640625" style="1008" customWidth="1"/>
    <col min="8195" max="8200" width="12.83203125" style="1008" customWidth="1"/>
    <col min="8201" max="8201" width="13.83203125" style="1008" customWidth="1"/>
    <col min="8202" max="8448" width="9.33203125" style="1008"/>
    <col min="8449" max="8449" width="6.83203125" style="1008" customWidth="1"/>
    <col min="8450" max="8450" width="49.6640625" style="1008" customWidth="1"/>
    <col min="8451" max="8456" width="12.83203125" style="1008" customWidth="1"/>
    <col min="8457" max="8457" width="13.83203125" style="1008" customWidth="1"/>
    <col min="8458" max="8704" width="9.33203125" style="1008"/>
    <col min="8705" max="8705" width="6.83203125" style="1008" customWidth="1"/>
    <col min="8706" max="8706" width="49.6640625" style="1008" customWidth="1"/>
    <col min="8707" max="8712" width="12.83203125" style="1008" customWidth="1"/>
    <col min="8713" max="8713" width="13.83203125" style="1008" customWidth="1"/>
    <col min="8714" max="8960" width="9.33203125" style="1008"/>
    <col min="8961" max="8961" width="6.83203125" style="1008" customWidth="1"/>
    <col min="8962" max="8962" width="49.6640625" style="1008" customWidth="1"/>
    <col min="8963" max="8968" width="12.83203125" style="1008" customWidth="1"/>
    <col min="8969" max="8969" width="13.83203125" style="1008" customWidth="1"/>
    <col min="8970" max="9216" width="9.33203125" style="1008"/>
    <col min="9217" max="9217" width="6.83203125" style="1008" customWidth="1"/>
    <col min="9218" max="9218" width="49.6640625" style="1008" customWidth="1"/>
    <col min="9219" max="9224" width="12.83203125" style="1008" customWidth="1"/>
    <col min="9225" max="9225" width="13.83203125" style="1008" customWidth="1"/>
    <col min="9226" max="9472" width="9.33203125" style="1008"/>
    <col min="9473" max="9473" width="6.83203125" style="1008" customWidth="1"/>
    <col min="9474" max="9474" width="49.6640625" style="1008" customWidth="1"/>
    <col min="9475" max="9480" width="12.83203125" style="1008" customWidth="1"/>
    <col min="9481" max="9481" width="13.83203125" style="1008" customWidth="1"/>
    <col min="9482" max="9728" width="9.33203125" style="1008"/>
    <col min="9729" max="9729" width="6.83203125" style="1008" customWidth="1"/>
    <col min="9730" max="9730" width="49.6640625" style="1008" customWidth="1"/>
    <col min="9731" max="9736" width="12.83203125" style="1008" customWidth="1"/>
    <col min="9737" max="9737" width="13.83203125" style="1008" customWidth="1"/>
    <col min="9738" max="9984" width="9.33203125" style="1008"/>
    <col min="9985" max="9985" width="6.83203125" style="1008" customWidth="1"/>
    <col min="9986" max="9986" width="49.6640625" style="1008" customWidth="1"/>
    <col min="9987" max="9992" width="12.83203125" style="1008" customWidth="1"/>
    <col min="9993" max="9993" width="13.83203125" style="1008" customWidth="1"/>
    <col min="9994" max="10240" width="9.33203125" style="1008"/>
    <col min="10241" max="10241" width="6.83203125" style="1008" customWidth="1"/>
    <col min="10242" max="10242" width="49.6640625" style="1008" customWidth="1"/>
    <col min="10243" max="10248" width="12.83203125" style="1008" customWidth="1"/>
    <col min="10249" max="10249" width="13.83203125" style="1008" customWidth="1"/>
    <col min="10250" max="10496" width="9.33203125" style="1008"/>
    <col min="10497" max="10497" width="6.83203125" style="1008" customWidth="1"/>
    <col min="10498" max="10498" width="49.6640625" style="1008" customWidth="1"/>
    <col min="10499" max="10504" width="12.83203125" style="1008" customWidth="1"/>
    <col min="10505" max="10505" width="13.83203125" style="1008" customWidth="1"/>
    <col min="10506" max="10752" width="9.33203125" style="1008"/>
    <col min="10753" max="10753" width="6.83203125" style="1008" customWidth="1"/>
    <col min="10754" max="10754" width="49.6640625" style="1008" customWidth="1"/>
    <col min="10755" max="10760" width="12.83203125" style="1008" customWidth="1"/>
    <col min="10761" max="10761" width="13.83203125" style="1008" customWidth="1"/>
    <col min="10762" max="11008" width="9.33203125" style="1008"/>
    <col min="11009" max="11009" width="6.83203125" style="1008" customWidth="1"/>
    <col min="11010" max="11010" width="49.6640625" style="1008" customWidth="1"/>
    <col min="11011" max="11016" width="12.83203125" style="1008" customWidth="1"/>
    <col min="11017" max="11017" width="13.83203125" style="1008" customWidth="1"/>
    <col min="11018" max="11264" width="9.33203125" style="1008"/>
    <col min="11265" max="11265" width="6.83203125" style="1008" customWidth="1"/>
    <col min="11266" max="11266" width="49.6640625" style="1008" customWidth="1"/>
    <col min="11267" max="11272" width="12.83203125" style="1008" customWidth="1"/>
    <col min="11273" max="11273" width="13.83203125" style="1008" customWidth="1"/>
    <col min="11274" max="11520" width="9.33203125" style="1008"/>
    <col min="11521" max="11521" width="6.83203125" style="1008" customWidth="1"/>
    <col min="11522" max="11522" width="49.6640625" style="1008" customWidth="1"/>
    <col min="11523" max="11528" width="12.83203125" style="1008" customWidth="1"/>
    <col min="11529" max="11529" width="13.83203125" style="1008" customWidth="1"/>
    <col min="11530" max="11776" width="9.33203125" style="1008"/>
    <col min="11777" max="11777" width="6.83203125" style="1008" customWidth="1"/>
    <col min="11778" max="11778" width="49.6640625" style="1008" customWidth="1"/>
    <col min="11779" max="11784" width="12.83203125" style="1008" customWidth="1"/>
    <col min="11785" max="11785" width="13.83203125" style="1008" customWidth="1"/>
    <col min="11786" max="12032" width="9.33203125" style="1008"/>
    <col min="12033" max="12033" width="6.83203125" style="1008" customWidth="1"/>
    <col min="12034" max="12034" width="49.6640625" style="1008" customWidth="1"/>
    <col min="12035" max="12040" width="12.83203125" style="1008" customWidth="1"/>
    <col min="12041" max="12041" width="13.83203125" style="1008" customWidth="1"/>
    <col min="12042" max="12288" width="9.33203125" style="1008"/>
    <col min="12289" max="12289" width="6.83203125" style="1008" customWidth="1"/>
    <col min="12290" max="12290" width="49.6640625" style="1008" customWidth="1"/>
    <col min="12291" max="12296" width="12.83203125" style="1008" customWidth="1"/>
    <col min="12297" max="12297" width="13.83203125" style="1008" customWidth="1"/>
    <col min="12298" max="12544" width="9.33203125" style="1008"/>
    <col min="12545" max="12545" width="6.83203125" style="1008" customWidth="1"/>
    <col min="12546" max="12546" width="49.6640625" style="1008" customWidth="1"/>
    <col min="12547" max="12552" width="12.83203125" style="1008" customWidth="1"/>
    <col min="12553" max="12553" width="13.83203125" style="1008" customWidth="1"/>
    <col min="12554" max="12800" width="9.33203125" style="1008"/>
    <col min="12801" max="12801" width="6.83203125" style="1008" customWidth="1"/>
    <col min="12802" max="12802" width="49.6640625" style="1008" customWidth="1"/>
    <col min="12803" max="12808" width="12.83203125" style="1008" customWidth="1"/>
    <col min="12809" max="12809" width="13.83203125" style="1008" customWidth="1"/>
    <col min="12810" max="13056" width="9.33203125" style="1008"/>
    <col min="13057" max="13057" width="6.83203125" style="1008" customWidth="1"/>
    <col min="13058" max="13058" width="49.6640625" style="1008" customWidth="1"/>
    <col min="13059" max="13064" width="12.83203125" style="1008" customWidth="1"/>
    <col min="13065" max="13065" width="13.83203125" style="1008" customWidth="1"/>
    <col min="13066" max="13312" width="9.33203125" style="1008"/>
    <col min="13313" max="13313" width="6.83203125" style="1008" customWidth="1"/>
    <col min="13314" max="13314" width="49.6640625" style="1008" customWidth="1"/>
    <col min="13315" max="13320" width="12.83203125" style="1008" customWidth="1"/>
    <col min="13321" max="13321" width="13.83203125" style="1008" customWidth="1"/>
    <col min="13322" max="13568" width="9.33203125" style="1008"/>
    <col min="13569" max="13569" width="6.83203125" style="1008" customWidth="1"/>
    <col min="13570" max="13570" width="49.6640625" style="1008" customWidth="1"/>
    <col min="13571" max="13576" width="12.83203125" style="1008" customWidth="1"/>
    <col min="13577" max="13577" width="13.83203125" style="1008" customWidth="1"/>
    <col min="13578" max="13824" width="9.33203125" style="1008"/>
    <col min="13825" max="13825" width="6.83203125" style="1008" customWidth="1"/>
    <col min="13826" max="13826" width="49.6640625" style="1008" customWidth="1"/>
    <col min="13827" max="13832" width="12.83203125" style="1008" customWidth="1"/>
    <col min="13833" max="13833" width="13.83203125" style="1008" customWidth="1"/>
    <col min="13834" max="14080" width="9.33203125" style="1008"/>
    <col min="14081" max="14081" width="6.83203125" style="1008" customWidth="1"/>
    <col min="14082" max="14082" width="49.6640625" style="1008" customWidth="1"/>
    <col min="14083" max="14088" width="12.83203125" style="1008" customWidth="1"/>
    <col min="14089" max="14089" width="13.83203125" style="1008" customWidth="1"/>
    <col min="14090" max="14336" width="9.33203125" style="1008"/>
    <col min="14337" max="14337" width="6.83203125" style="1008" customWidth="1"/>
    <col min="14338" max="14338" width="49.6640625" style="1008" customWidth="1"/>
    <col min="14339" max="14344" width="12.83203125" style="1008" customWidth="1"/>
    <col min="14345" max="14345" width="13.83203125" style="1008" customWidth="1"/>
    <col min="14346" max="14592" width="9.33203125" style="1008"/>
    <col min="14593" max="14593" width="6.83203125" style="1008" customWidth="1"/>
    <col min="14594" max="14594" width="49.6640625" style="1008" customWidth="1"/>
    <col min="14595" max="14600" width="12.83203125" style="1008" customWidth="1"/>
    <col min="14601" max="14601" width="13.83203125" style="1008" customWidth="1"/>
    <col min="14602" max="14848" width="9.33203125" style="1008"/>
    <col min="14849" max="14849" width="6.83203125" style="1008" customWidth="1"/>
    <col min="14850" max="14850" width="49.6640625" style="1008" customWidth="1"/>
    <col min="14851" max="14856" width="12.83203125" style="1008" customWidth="1"/>
    <col min="14857" max="14857" width="13.83203125" style="1008" customWidth="1"/>
    <col min="14858" max="15104" width="9.33203125" style="1008"/>
    <col min="15105" max="15105" width="6.83203125" style="1008" customWidth="1"/>
    <col min="15106" max="15106" width="49.6640625" style="1008" customWidth="1"/>
    <col min="15107" max="15112" width="12.83203125" style="1008" customWidth="1"/>
    <col min="15113" max="15113" width="13.83203125" style="1008" customWidth="1"/>
    <col min="15114" max="15360" width="9.33203125" style="1008"/>
    <col min="15361" max="15361" width="6.83203125" style="1008" customWidth="1"/>
    <col min="15362" max="15362" width="49.6640625" style="1008" customWidth="1"/>
    <col min="15363" max="15368" width="12.83203125" style="1008" customWidth="1"/>
    <col min="15369" max="15369" width="13.83203125" style="1008" customWidth="1"/>
    <col min="15370" max="15616" width="9.33203125" style="1008"/>
    <col min="15617" max="15617" width="6.83203125" style="1008" customWidth="1"/>
    <col min="15618" max="15618" width="49.6640625" style="1008" customWidth="1"/>
    <col min="15619" max="15624" width="12.83203125" style="1008" customWidth="1"/>
    <col min="15625" max="15625" width="13.83203125" style="1008" customWidth="1"/>
    <col min="15626" max="15872" width="9.33203125" style="1008"/>
    <col min="15873" max="15873" width="6.83203125" style="1008" customWidth="1"/>
    <col min="15874" max="15874" width="49.6640625" style="1008" customWidth="1"/>
    <col min="15875" max="15880" width="12.83203125" style="1008" customWidth="1"/>
    <col min="15881" max="15881" width="13.83203125" style="1008" customWidth="1"/>
    <col min="15882" max="16128" width="9.33203125" style="1008"/>
    <col min="16129" max="16129" width="6.83203125" style="1008" customWidth="1"/>
    <col min="16130" max="16130" width="49.6640625" style="1008" customWidth="1"/>
    <col min="16131" max="16136" width="12.83203125" style="1008" customWidth="1"/>
    <col min="16137" max="16137" width="13.83203125" style="1008" customWidth="1"/>
    <col min="16138" max="16384" width="9.33203125" style="1008"/>
  </cols>
  <sheetData>
    <row r="1" spans="1:9" x14ac:dyDescent="0.2">
      <c r="A1" s="1519" t="str">
        <f>CONCATENATE("24. melléklet ",ALAPADATOK!A7," ",ALAPADATOK!B7," ",ALAPADATOK!C7," ",ALAPADATOK!D7," ",ALAPADATOK!E7," ",ALAPADATOK!F7," ",ALAPADATOK!G7," ",ALAPADATOK!H7)</f>
        <v>24. melléklet a 21 / 2020. ( IX.25. ) önkormányzati rendelethez</v>
      </c>
      <c r="B1" s="1519"/>
      <c r="C1" s="1519"/>
      <c r="D1" s="1519"/>
      <c r="E1" s="1519"/>
      <c r="F1" s="1519"/>
      <c r="G1" s="1519"/>
      <c r="H1" s="1519"/>
      <c r="I1" s="1519"/>
    </row>
    <row r="2" spans="1:9" x14ac:dyDescent="0.2">
      <c r="G2" s="1527" t="s">
        <v>1028</v>
      </c>
      <c r="H2" s="1527"/>
      <c r="I2" s="1527"/>
    </row>
    <row r="3" spans="1:9" ht="27.75" customHeight="1" x14ac:dyDescent="0.2">
      <c r="A3" s="1474" t="s">
        <v>10</v>
      </c>
      <c r="B3" s="1474"/>
      <c r="C3" s="1474"/>
      <c r="D3" s="1474"/>
      <c r="E3" s="1474"/>
      <c r="F3" s="1474"/>
      <c r="G3" s="1474"/>
      <c r="H3" s="1474"/>
      <c r="I3" s="1474"/>
    </row>
    <row r="4" spans="1:9" ht="20.25" customHeight="1" thickBot="1" x14ac:dyDescent="0.3">
      <c r="B4" s="235"/>
      <c r="I4" s="236" t="s">
        <v>566</v>
      </c>
    </row>
    <row r="5" spans="1:9" s="237" customFormat="1" ht="22.5" customHeight="1" x14ac:dyDescent="0.2">
      <c r="A5" s="1520" t="s">
        <v>72</v>
      </c>
      <c r="B5" s="1522" t="s">
        <v>86</v>
      </c>
      <c r="C5" s="1520" t="s">
        <v>87</v>
      </c>
      <c r="D5" s="1520" t="s">
        <v>819</v>
      </c>
      <c r="E5" s="1524" t="s">
        <v>71</v>
      </c>
      <c r="F5" s="1525"/>
      <c r="G5" s="1525"/>
      <c r="H5" s="1526"/>
      <c r="I5" s="1522" t="s">
        <v>53</v>
      </c>
    </row>
    <row r="6" spans="1:9" s="238" customFormat="1" ht="17.25" customHeight="1" thickBot="1" x14ac:dyDescent="0.25">
      <c r="A6" s="1521"/>
      <c r="B6" s="1523"/>
      <c r="C6" s="1523"/>
      <c r="D6" s="1521"/>
      <c r="E6" s="1246">
        <v>2020</v>
      </c>
      <c r="F6" s="1246">
        <v>2021</v>
      </c>
      <c r="G6" s="1246">
        <v>2022</v>
      </c>
      <c r="H6" s="1247" t="s">
        <v>820</v>
      </c>
      <c r="I6" s="1523"/>
    </row>
    <row r="7" spans="1:9" s="239" customFormat="1" ht="18" customHeight="1" thickBot="1" x14ac:dyDescent="0.25">
      <c r="A7" s="1248">
        <v>1</v>
      </c>
      <c r="B7" s="1249">
        <v>2</v>
      </c>
      <c r="C7" s="1250">
        <v>3</v>
      </c>
      <c r="D7" s="1251">
        <v>4</v>
      </c>
      <c r="E7" s="1248">
        <v>5</v>
      </c>
      <c r="F7" s="1252">
        <v>6</v>
      </c>
      <c r="G7" s="1252">
        <v>7</v>
      </c>
      <c r="H7" s="1253">
        <v>8</v>
      </c>
      <c r="I7" s="1254" t="s">
        <v>88</v>
      </c>
    </row>
    <row r="8" spans="1:9" ht="24.75" customHeight="1" x14ac:dyDescent="0.2">
      <c r="A8" s="1255" t="s">
        <v>21</v>
      </c>
      <c r="B8" s="1256" t="s">
        <v>943</v>
      </c>
      <c r="C8" s="1257">
        <v>2020</v>
      </c>
      <c r="D8" s="1258">
        <v>0</v>
      </c>
      <c r="E8" s="1258">
        <v>0</v>
      </c>
      <c r="F8" s="1258">
        <v>0</v>
      </c>
      <c r="G8" s="1258">
        <v>0</v>
      </c>
      <c r="H8" s="1258">
        <v>0</v>
      </c>
      <c r="I8" s="1259">
        <v>0</v>
      </c>
    </row>
    <row r="9" spans="1:9" ht="24.75" customHeight="1" thickBot="1" x14ac:dyDescent="0.25">
      <c r="A9" s="1260" t="s">
        <v>22</v>
      </c>
      <c r="B9" s="1261"/>
      <c r="C9" s="1262"/>
      <c r="D9" s="1263"/>
      <c r="E9" s="1263"/>
      <c r="F9" s="1263"/>
      <c r="G9" s="1263"/>
      <c r="H9" s="1263"/>
      <c r="I9" s="1264"/>
    </row>
    <row r="10" spans="1:9" ht="24" customHeight="1" thickBot="1" x14ac:dyDescent="0.25">
      <c r="A10" s="1265" t="s">
        <v>23</v>
      </c>
      <c r="B10" s="1266" t="s">
        <v>11</v>
      </c>
      <c r="C10" s="1267"/>
      <c r="D10" s="1268"/>
      <c r="E10" s="1268"/>
      <c r="F10" s="1268"/>
      <c r="G10" s="1268"/>
      <c r="H10" s="1269"/>
      <c r="I10" s="1270"/>
    </row>
    <row r="11" spans="1:9" ht="32.25" customHeight="1" x14ac:dyDescent="0.2">
      <c r="A11" s="1255" t="s">
        <v>24</v>
      </c>
      <c r="B11" s="1046" t="s">
        <v>567</v>
      </c>
      <c r="C11" s="1272">
        <v>2016</v>
      </c>
      <c r="D11" s="1273">
        <v>8888000</v>
      </c>
      <c r="E11" s="1274">
        <v>1806590</v>
      </c>
      <c r="F11" s="1274">
        <v>0</v>
      </c>
      <c r="G11" s="1275">
        <v>0</v>
      </c>
      <c r="H11" s="1275">
        <v>0</v>
      </c>
      <c r="I11" s="1276">
        <f t="shared" ref="I11:I26" si="0">SUM(D11:H11)</f>
        <v>10694590</v>
      </c>
    </row>
    <row r="12" spans="1:9" ht="33" customHeight="1" x14ac:dyDescent="0.2">
      <c r="A12" s="1271" t="s">
        <v>25</v>
      </c>
      <c r="B12" s="1046" t="s">
        <v>568</v>
      </c>
      <c r="C12" s="1272">
        <v>2016</v>
      </c>
      <c r="D12" s="1273">
        <v>2944000</v>
      </c>
      <c r="E12" s="1274">
        <v>1472000</v>
      </c>
      <c r="F12" s="1274">
        <v>1472000</v>
      </c>
      <c r="G12" s="1274">
        <v>1472000</v>
      </c>
      <c r="H12" s="1275">
        <v>2943000</v>
      </c>
      <c r="I12" s="1276">
        <f t="shared" si="0"/>
        <v>10303000</v>
      </c>
    </row>
    <row r="13" spans="1:9" ht="35.25" customHeight="1" x14ac:dyDescent="0.2">
      <c r="A13" s="1271" t="s">
        <v>26</v>
      </c>
      <c r="B13" s="1046" t="s">
        <v>569</v>
      </c>
      <c r="C13" s="1272">
        <v>2016</v>
      </c>
      <c r="D13" s="1273">
        <v>3104500</v>
      </c>
      <c r="E13" s="1273">
        <v>887000</v>
      </c>
      <c r="F13" s="1273">
        <v>443461</v>
      </c>
      <c r="G13" s="1273">
        <v>0</v>
      </c>
      <c r="H13" s="1273">
        <v>0</v>
      </c>
      <c r="I13" s="1276">
        <f t="shared" si="0"/>
        <v>4434961</v>
      </c>
    </row>
    <row r="14" spans="1:9" ht="30" customHeight="1" x14ac:dyDescent="0.2">
      <c r="A14" s="1271" t="s">
        <v>27</v>
      </c>
      <c r="B14" s="1046" t="s">
        <v>570</v>
      </c>
      <c r="C14" s="1272">
        <v>2016</v>
      </c>
      <c r="D14" s="1273">
        <v>3895500</v>
      </c>
      <c r="E14" s="1273">
        <v>1113000</v>
      </c>
      <c r="F14" s="1273">
        <v>556539</v>
      </c>
      <c r="G14" s="1273">
        <v>0</v>
      </c>
      <c r="H14" s="1273">
        <v>0</v>
      </c>
      <c r="I14" s="1276">
        <f t="shared" si="0"/>
        <v>5565039</v>
      </c>
    </row>
    <row r="15" spans="1:9" ht="30" customHeight="1" x14ac:dyDescent="0.2">
      <c r="A15" s="1271" t="s">
        <v>28</v>
      </c>
      <c r="B15" s="1046" t="s">
        <v>944</v>
      </c>
      <c r="C15" s="1272">
        <v>2017</v>
      </c>
      <c r="D15" s="1273">
        <v>4940000</v>
      </c>
      <c r="E15" s="1273">
        <v>4940000</v>
      </c>
      <c r="F15" s="1273">
        <v>4940000</v>
      </c>
      <c r="G15" s="1273">
        <v>4940000</v>
      </c>
      <c r="H15" s="1273">
        <v>21341155</v>
      </c>
      <c r="I15" s="1276">
        <f t="shared" si="0"/>
        <v>41101155</v>
      </c>
    </row>
    <row r="16" spans="1:9" ht="30" customHeight="1" x14ac:dyDescent="0.2">
      <c r="A16" s="1271" t="s">
        <v>29</v>
      </c>
      <c r="B16" s="1046" t="s">
        <v>575</v>
      </c>
      <c r="C16" s="1272">
        <v>2017</v>
      </c>
      <c r="D16" s="1273">
        <v>1464000</v>
      </c>
      <c r="E16" s="1273">
        <v>1464000</v>
      </c>
      <c r="F16" s="1273">
        <v>1464000</v>
      </c>
      <c r="G16" s="1273">
        <v>1108000</v>
      </c>
      <c r="H16" s="1273">
        <v>0</v>
      </c>
      <c r="I16" s="1276">
        <f t="shared" si="0"/>
        <v>5500000</v>
      </c>
    </row>
    <row r="17" spans="1:10" ht="30" customHeight="1" x14ac:dyDescent="0.2">
      <c r="A17" s="1271" t="s">
        <v>30</v>
      </c>
      <c r="B17" s="1046" t="s">
        <v>588</v>
      </c>
      <c r="C17" s="1272">
        <v>2018</v>
      </c>
      <c r="D17" s="1047">
        <v>492000</v>
      </c>
      <c r="E17" s="1274">
        <v>984000</v>
      </c>
      <c r="F17" s="1274">
        <v>984000</v>
      </c>
      <c r="G17" s="1274">
        <v>741452</v>
      </c>
      <c r="H17" s="1273">
        <v>0</v>
      </c>
      <c r="I17" s="1276">
        <f t="shared" si="0"/>
        <v>3201452</v>
      </c>
    </row>
    <row r="18" spans="1:10" ht="30" customHeight="1" x14ac:dyDescent="0.2">
      <c r="A18" s="1271" t="s">
        <v>31</v>
      </c>
      <c r="B18" s="1046" t="s">
        <v>699</v>
      </c>
      <c r="C18" s="1272">
        <v>2018</v>
      </c>
      <c r="D18" s="1047">
        <v>621000</v>
      </c>
      <c r="E18" s="1274">
        <v>1242000</v>
      </c>
      <c r="F18" s="1274">
        <v>1118946</v>
      </c>
      <c r="G18" s="1274">
        <v>0</v>
      </c>
      <c r="H18" s="1273">
        <v>0</v>
      </c>
      <c r="I18" s="1276">
        <f t="shared" si="0"/>
        <v>2981946</v>
      </c>
    </row>
    <row r="19" spans="1:10" ht="26.25" customHeight="1" x14ac:dyDescent="0.2">
      <c r="A19" s="1271" t="s">
        <v>32</v>
      </c>
      <c r="B19" s="1046" t="s">
        <v>587</v>
      </c>
      <c r="C19" s="1272">
        <v>2018</v>
      </c>
      <c r="D19" s="1047">
        <v>317500</v>
      </c>
      <c r="E19" s="1274">
        <v>1270000</v>
      </c>
      <c r="F19" s="1274">
        <v>1270000</v>
      </c>
      <c r="G19" s="1274">
        <v>1270000</v>
      </c>
      <c r="H19" s="1273">
        <v>741242</v>
      </c>
      <c r="I19" s="1276">
        <f t="shared" si="0"/>
        <v>4868742</v>
      </c>
    </row>
    <row r="20" spans="1:10" ht="30" customHeight="1" x14ac:dyDescent="0.2">
      <c r="A20" s="1271" t="s">
        <v>33</v>
      </c>
      <c r="B20" s="1046" t="s">
        <v>589</v>
      </c>
      <c r="C20" s="1272">
        <v>2018</v>
      </c>
      <c r="D20" s="1047">
        <v>834000</v>
      </c>
      <c r="E20" s="1274">
        <v>1668000</v>
      </c>
      <c r="F20" s="1274">
        <v>1668000</v>
      </c>
      <c r="G20" s="1274">
        <v>1668000</v>
      </c>
      <c r="H20" s="1273">
        <v>4057526</v>
      </c>
      <c r="I20" s="1276">
        <f t="shared" si="0"/>
        <v>9895526</v>
      </c>
    </row>
    <row r="21" spans="1:10" ht="30" customHeight="1" x14ac:dyDescent="0.2">
      <c r="A21" s="1271" t="s">
        <v>34</v>
      </c>
      <c r="B21" s="1046" t="s">
        <v>590</v>
      </c>
      <c r="C21" s="1272">
        <v>2018</v>
      </c>
      <c r="D21" s="1273">
        <v>0</v>
      </c>
      <c r="E21" s="1273">
        <v>1834504</v>
      </c>
      <c r="F21" s="1273">
        <v>1834504</v>
      </c>
      <c r="G21" s="1274">
        <v>1834504</v>
      </c>
      <c r="H21" s="1273">
        <v>3539250</v>
      </c>
      <c r="I21" s="1276">
        <f t="shared" si="0"/>
        <v>9042762</v>
      </c>
    </row>
    <row r="22" spans="1:10" ht="30" customHeight="1" x14ac:dyDescent="0.2">
      <c r="A22" s="1271" t="s">
        <v>35</v>
      </c>
      <c r="B22" s="1046" t="s">
        <v>700</v>
      </c>
      <c r="C22" s="1272">
        <v>2018</v>
      </c>
      <c r="D22" s="1273">
        <v>0</v>
      </c>
      <c r="E22" s="1273">
        <v>3171740</v>
      </c>
      <c r="F22" s="1273">
        <v>1848697</v>
      </c>
      <c r="G22" s="1274">
        <v>0</v>
      </c>
      <c r="H22" s="1273">
        <v>0</v>
      </c>
      <c r="I22" s="1276">
        <f t="shared" si="0"/>
        <v>5020437</v>
      </c>
    </row>
    <row r="23" spans="1:10" ht="20.100000000000001" customHeight="1" x14ac:dyDescent="0.2">
      <c r="A23" s="1271" t="s">
        <v>36</v>
      </c>
      <c r="B23" s="1277" t="s">
        <v>701</v>
      </c>
      <c r="C23" s="1278">
        <v>2018</v>
      </c>
      <c r="D23" s="1279">
        <v>0</v>
      </c>
      <c r="E23" s="1279">
        <v>2777600</v>
      </c>
      <c r="F23" s="1279">
        <v>2777600</v>
      </c>
      <c r="G23" s="1279">
        <v>2777600</v>
      </c>
      <c r="H23" s="1279">
        <v>16667200</v>
      </c>
      <c r="I23" s="1276">
        <f t="shared" si="0"/>
        <v>25000000</v>
      </c>
    </row>
    <row r="24" spans="1:10" ht="20.100000000000001" customHeight="1" x14ac:dyDescent="0.2">
      <c r="A24" s="1271" t="s">
        <v>37</v>
      </c>
      <c r="B24" s="1280" t="s">
        <v>702</v>
      </c>
      <c r="C24" s="1281">
        <v>2019</v>
      </c>
      <c r="D24" s="1282">
        <v>0</v>
      </c>
      <c r="E24" s="1282">
        <v>508000</v>
      </c>
      <c r="F24" s="1282">
        <v>1016000</v>
      </c>
      <c r="G24" s="1282">
        <v>1016000</v>
      </c>
      <c r="H24" s="1282">
        <v>1526909</v>
      </c>
      <c r="I24" s="1276">
        <f t="shared" si="0"/>
        <v>4066909</v>
      </c>
    </row>
    <row r="25" spans="1:10" ht="24" customHeight="1" x14ac:dyDescent="0.2">
      <c r="A25" s="1271" t="s">
        <v>38</v>
      </c>
      <c r="B25" s="1283" t="s">
        <v>703</v>
      </c>
      <c r="C25" s="1272">
        <v>2019</v>
      </c>
      <c r="D25" s="1273">
        <v>0</v>
      </c>
      <c r="E25" s="1273">
        <v>900000</v>
      </c>
      <c r="F25" s="1273">
        <v>3600000</v>
      </c>
      <c r="G25" s="1273">
        <v>3600000</v>
      </c>
      <c r="H25" s="1273">
        <v>9900000</v>
      </c>
      <c r="I25" s="1284">
        <f t="shared" si="0"/>
        <v>18000000</v>
      </c>
    </row>
    <row r="26" spans="1:10" ht="20.100000000000001" customHeight="1" x14ac:dyDescent="0.2">
      <c r="A26" s="1271" t="s">
        <v>39</v>
      </c>
      <c r="B26" s="1415" t="s">
        <v>921</v>
      </c>
      <c r="C26" s="1416">
        <v>2020</v>
      </c>
      <c r="D26" s="1417">
        <v>0</v>
      </c>
      <c r="E26" s="1417">
        <v>0</v>
      </c>
      <c r="F26" s="1417">
        <v>0</v>
      </c>
      <c r="G26" s="1417">
        <v>0</v>
      </c>
      <c r="H26" s="1417">
        <v>0</v>
      </c>
      <c r="I26" s="1418">
        <f t="shared" si="0"/>
        <v>0</v>
      </c>
      <c r="J26" s="240"/>
    </row>
    <row r="27" spans="1:10" ht="20.100000000000001" customHeight="1" x14ac:dyDescent="0.2">
      <c r="A27" s="1271" t="s">
        <v>40</v>
      </c>
      <c r="B27" s="1415" t="s">
        <v>922</v>
      </c>
      <c r="C27" s="1416">
        <v>2020</v>
      </c>
      <c r="D27" s="1417">
        <v>0</v>
      </c>
      <c r="E27" s="1417">
        <v>0</v>
      </c>
      <c r="F27" s="1417">
        <v>0</v>
      </c>
      <c r="G27" s="1417">
        <v>0</v>
      </c>
      <c r="H27" s="1417">
        <v>0</v>
      </c>
      <c r="I27" s="1418">
        <f>SUM(D27:H27)</f>
        <v>0</v>
      </c>
      <c r="J27" s="240"/>
    </row>
    <row r="28" spans="1:10" ht="20.100000000000001" customHeight="1" x14ac:dyDescent="0.2">
      <c r="A28" s="1271" t="s">
        <v>41</v>
      </c>
      <c r="B28" s="1420" t="s">
        <v>1035</v>
      </c>
      <c r="C28" s="1416">
        <v>2020</v>
      </c>
      <c r="D28" s="1417">
        <v>0</v>
      </c>
      <c r="E28" s="1417">
        <v>0</v>
      </c>
      <c r="F28" s="1417">
        <v>0</v>
      </c>
      <c r="G28" s="1417">
        <v>2320000</v>
      </c>
      <c r="H28" s="1417">
        <f>11503705-2320000</f>
        <v>9183705</v>
      </c>
      <c r="I28" s="1418">
        <f>SUM(D28:H28)</f>
        <v>11503705</v>
      </c>
      <c r="J28" s="240"/>
    </row>
    <row r="29" spans="1:10" ht="20.100000000000001" customHeight="1" thickBot="1" x14ac:dyDescent="0.25">
      <c r="A29" s="1422"/>
      <c r="B29" s="1421"/>
      <c r="C29" s="1281"/>
      <c r="D29" s="1282"/>
      <c r="E29" s="1282"/>
      <c r="F29" s="1282"/>
      <c r="G29" s="1282"/>
      <c r="H29" s="1282"/>
      <c r="I29" s="1264"/>
    </row>
    <row r="30" spans="1:10" ht="13.5" thickBot="1" x14ac:dyDescent="0.25">
      <c r="A30" s="1517" t="s">
        <v>54</v>
      </c>
      <c r="B30" s="1518"/>
      <c r="C30" s="1285"/>
      <c r="D30" s="1270">
        <f>SUM(D11:D29)</f>
        <v>27500500</v>
      </c>
      <c r="E30" s="1270">
        <f t="shared" ref="E30:I30" si="1">SUM(E11:E29)</f>
        <v>26038434</v>
      </c>
      <c r="F30" s="1270">
        <f t="shared" si="1"/>
        <v>24993747</v>
      </c>
      <c r="G30" s="1270">
        <f t="shared" si="1"/>
        <v>22747556</v>
      </c>
      <c r="H30" s="1270">
        <f t="shared" si="1"/>
        <v>69899987</v>
      </c>
      <c r="I30" s="1270">
        <f t="shared" si="1"/>
        <v>171180224</v>
      </c>
    </row>
    <row r="31" spans="1:10" ht="15" x14ac:dyDescent="0.25">
      <c r="B31" s="905" t="s">
        <v>530</v>
      </c>
      <c r="C31" s="709"/>
      <c r="D31" s="905"/>
      <c r="E31" s="905"/>
      <c r="F31" s="905"/>
      <c r="G31" s="905"/>
      <c r="H31" s="905"/>
    </row>
    <row r="33" spans="2:8" ht="15.75" x14ac:dyDescent="0.2">
      <c r="B33" s="473"/>
    </row>
    <row r="34" spans="2:8" ht="15.75" x14ac:dyDescent="0.2">
      <c r="B34" s="708"/>
      <c r="C34" s="710"/>
      <c r="D34" s="241"/>
      <c r="E34" s="241"/>
      <c r="F34" s="241"/>
      <c r="G34" s="241"/>
      <c r="H34" s="241"/>
    </row>
    <row r="35" spans="2:8" x14ac:dyDescent="0.2">
      <c r="B35" s="241"/>
      <c r="C35" s="711"/>
    </row>
    <row r="36" spans="2:8" x14ac:dyDescent="0.2">
      <c r="B36" s="241"/>
      <c r="C36" s="711"/>
    </row>
    <row r="37" spans="2:8" x14ac:dyDescent="0.2">
      <c r="B37" s="241"/>
      <c r="C37" s="712"/>
    </row>
    <row r="38" spans="2:8" x14ac:dyDescent="0.2">
      <c r="B38" s="1419"/>
      <c r="C38" s="711"/>
    </row>
    <row r="39" spans="2:8" x14ac:dyDescent="0.2">
      <c r="B39" s="241"/>
      <c r="C39" s="711"/>
    </row>
    <row r="40" spans="2:8" x14ac:dyDescent="0.2">
      <c r="B40" s="241"/>
      <c r="C40" s="711"/>
    </row>
    <row r="41" spans="2:8" x14ac:dyDescent="0.2">
      <c r="B41" s="241"/>
      <c r="C41" s="711"/>
    </row>
    <row r="42" spans="2:8" x14ac:dyDescent="0.2">
      <c r="B42" s="241"/>
      <c r="C42" s="711"/>
    </row>
    <row r="43" spans="2:8" x14ac:dyDescent="0.2">
      <c r="B43" s="241"/>
      <c r="C43" s="711"/>
    </row>
    <row r="44" spans="2:8" ht="17.25" customHeight="1" x14ac:dyDescent="0.2">
      <c r="B44" s="242"/>
      <c r="C44" s="712"/>
    </row>
    <row r="45" spans="2:8" x14ac:dyDescent="0.2">
      <c r="B45" s="241"/>
    </row>
    <row r="46" spans="2:8" x14ac:dyDescent="0.2">
      <c r="B46" s="243"/>
      <c r="C46" s="712"/>
    </row>
    <row r="47" spans="2:8" x14ac:dyDescent="0.2">
      <c r="C47" s="711"/>
      <c r="D47" s="1009"/>
    </row>
    <row r="48" spans="2:8" x14ac:dyDescent="0.2">
      <c r="C48" s="711"/>
      <c r="D48" s="1009"/>
    </row>
    <row r="49" spans="2:4" x14ac:dyDescent="0.2">
      <c r="C49" s="711"/>
      <c r="D49" s="1009"/>
    </row>
    <row r="51" spans="2:4" x14ac:dyDescent="0.2">
      <c r="B51" s="243"/>
      <c r="C51" s="712"/>
    </row>
    <row r="52" spans="2:4" x14ac:dyDescent="0.2">
      <c r="D52" s="1009"/>
    </row>
    <row r="53" spans="2:4" x14ac:dyDescent="0.2">
      <c r="D53" s="1009"/>
    </row>
    <row r="54" spans="2:4" x14ac:dyDescent="0.2">
      <c r="D54" s="1009"/>
    </row>
  </sheetData>
  <mergeCells count="10">
    <mergeCell ref="A30:B30"/>
    <mergeCell ref="A1:I1"/>
    <mergeCell ref="A3:I3"/>
    <mergeCell ref="A5:A6"/>
    <mergeCell ref="B5:B6"/>
    <mergeCell ref="C5:C6"/>
    <mergeCell ref="D5:D6"/>
    <mergeCell ref="E5:H5"/>
    <mergeCell ref="I5:I6"/>
    <mergeCell ref="G2:I2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>&amp;C&amp;"Times New Roman CE,Félkövér"&amp;12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/>
  <dimension ref="A1:D33"/>
  <sheetViews>
    <sheetView workbookViewId="0">
      <selection activeCell="E13" sqref="E13"/>
    </sheetView>
  </sheetViews>
  <sheetFormatPr defaultRowHeight="12.75" x14ac:dyDescent="0.2"/>
  <cols>
    <col min="1" max="1" width="5.83203125" style="1029" customWidth="1"/>
    <col min="2" max="2" width="54.83203125" style="1006" customWidth="1"/>
    <col min="3" max="4" width="17.6640625" style="1006" customWidth="1"/>
    <col min="5" max="16384" width="9.33203125" style="1006"/>
  </cols>
  <sheetData>
    <row r="1" spans="1:4" x14ac:dyDescent="0.2">
      <c r="A1" s="1528" t="str">
        <f>CONCATENATE("3. számú tájékoztató tábla ",[2]ALAPADATOK!A7," ",[2]ALAPADATOK!B7," ",[2]ALAPADATOK!C7," ",[2]ALAPADATOK!D7," ",[2]ALAPADATOK!E7," ",[2]ALAPADATOK!F7," ",[2]ALAPADATOK!G7," ",[2]ALAPADATOK!H7)</f>
        <v>3. számú tájékoztató tábla a 14. / 2020. ( V.28. ) önkormányzati rendelethez</v>
      </c>
      <c r="B1" s="1528"/>
      <c r="C1" s="1528"/>
      <c r="D1" s="1528"/>
    </row>
    <row r="3" spans="1:4" ht="31.5" customHeight="1" x14ac:dyDescent="0.25">
      <c r="B3" s="1529" t="s">
        <v>619</v>
      </c>
      <c r="C3" s="1529"/>
      <c r="D3" s="1529"/>
    </row>
    <row r="4" spans="1:4" s="34" customFormat="1" ht="16.5" thickBot="1" x14ac:dyDescent="0.3">
      <c r="A4" s="529"/>
      <c r="B4" s="1234" t="s">
        <v>711</v>
      </c>
      <c r="D4" s="530" t="s">
        <v>558</v>
      </c>
    </row>
    <row r="5" spans="1:4" s="1028" customFormat="1" ht="48" customHeight="1" thickBot="1" x14ac:dyDescent="0.25">
      <c r="A5" s="531" t="s">
        <v>19</v>
      </c>
      <c r="B5" s="527" t="s">
        <v>20</v>
      </c>
      <c r="C5" s="527" t="s">
        <v>620</v>
      </c>
      <c r="D5" s="528" t="s">
        <v>621</v>
      </c>
    </row>
    <row r="6" spans="1:4" s="1028" customFormat="1" ht="14.1" customHeight="1" thickBot="1" x14ac:dyDescent="0.25">
      <c r="A6" s="532">
        <v>1</v>
      </c>
      <c r="B6" s="75">
        <v>2</v>
      </c>
      <c r="C6" s="75">
        <v>3</v>
      </c>
      <c r="D6" s="76">
        <v>4</v>
      </c>
    </row>
    <row r="7" spans="1:4" ht="18" customHeight="1" x14ac:dyDescent="0.2">
      <c r="A7" s="533" t="s">
        <v>21</v>
      </c>
      <c r="B7" s="534" t="s">
        <v>622</v>
      </c>
      <c r="C7" s="535"/>
      <c r="D7" s="536"/>
    </row>
    <row r="8" spans="1:4" ht="18" customHeight="1" x14ac:dyDescent="0.2">
      <c r="A8" s="537" t="s">
        <v>22</v>
      </c>
      <c r="B8" s="538" t="s">
        <v>623</v>
      </c>
      <c r="C8" s="539"/>
      <c r="D8" s="1195"/>
    </row>
    <row r="9" spans="1:4" ht="18" customHeight="1" x14ac:dyDescent="0.2">
      <c r="A9" s="537" t="s">
        <v>23</v>
      </c>
      <c r="B9" s="538" t="s">
        <v>624</v>
      </c>
      <c r="C9" s="539"/>
      <c r="D9" s="1195"/>
    </row>
    <row r="10" spans="1:4" ht="18" customHeight="1" x14ac:dyDescent="0.2">
      <c r="A10" s="537" t="s">
        <v>24</v>
      </c>
      <c r="B10" s="538" t="s">
        <v>625</v>
      </c>
      <c r="C10" s="539"/>
      <c r="D10" s="1195"/>
    </row>
    <row r="11" spans="1:4" ht="18" customHeight="1" x14ac:dyDescent="0.2">
      <c r="A11" s="537" t="s">
        <v>25</v>
      </c>
      <c r="B11" s="538" t="s">
        <v>626</v>
      </c>
      <c r="C11" s="540">
        <f>SUM(C12:C17)</f>
        <v>0</v>
      </c>
      <c r="D11" s="541">
        <f>SUM(D12:D17)</f>
        <v>0</v>
      </c>
    </row>
    <row r="12" spans="1:4" ht="18" customHeight="1" x14ac:dyDescent="0.2">
      <c r="A12" s="537" t="s">
        <v>26</v>
      </c>
      <c r="B12" s="538" t="s">
        <v>627</v>
      </c>
      <c r="C12" s="539"/>
      <c r="D12" s="1195"/>
    </row>
    <row r="13" spans="1:4" ht="18" customHeight="1" x14ac:dyDescent="0.2">
      <c r="A13" s="537" t="s">
        <v>27</v>
      </c>
      <c r="B13" s="542" t="s">
        <v>628</v>
      </c>
      <c r="C13" s="539"/>
      <c r="D13" s="1195"/>
    </row>
    <row r="14" spans="1:4" ht="18" customHeight="1" x14ac:dyDescent="0.2">
      <c r="A14" s="537" t="s">
        <v>29</v>
      </c>
      <c r="B14" s="542" t="s">
        <v>629</v>
      </c>
      <c r="C14" s="539">
        <v>0</v>
      </c>
      <c r="D14" s="543"/>
    </row>
    <row r="15" spans="1:4" ht="18" customHeight="1" x14ac:dyDescent="0.2">
      <c r="A15" s="537" t="s">
        <v>30</v>
      </c>
      <c r="B15" s="542" t="s">
        <v>630</v>
      </c>
      <c r="C15" s="539"/>
      <c r="D15" s="1195"/>
    </row>
    <row r="16" spans="1:4" ht="18" customHeight="1" x14ac:dyDescent="0.2">
      <c r="A16" s="537" t="s">
        <v>31</v>
      </c>
      <c r="B16" s="542" t="s">
        <v>631</v>
      </c>
      <c r="C16" s="539"/>
      <c r="D16" s="1195"/>
    </row>
    <row r="17" spans="1:4" ht="22.5" customHeight="1" x14ac:dyDescent="0.2">
      <c r="A17" s="537" t="s">
        <v>32</v>
      </c>
      <c r="B17" s="542" t="s">
        <v>632</v>
      </c>
      <c r="C17" s="539"/>
      <c r="D17" s="1195"/>
    </row>
    <row r="18" spans="1:4" ht="18" customHeight="1" x14ac:dyDescent="0.2">
      <c r="A18" s="537" t="s">
        <v>33</v>
      </c>
      <c r="B18" s="538" t="s">
        <v>633</v>
      </c>
      <c r="C18" s="539"/>
      <c r="D18" s="1195"/>
    </row>
    <row r="19" spans="1:4" ht="18" customHeight="1" x14ac:dyDescent="0.2">
      <c r="A19" s="537" t="s">
        <v>34</v>
      </c>
      <c r="B19" s="538" t="s">
        <v>634</v>
      </c>
      <c r="C19" s="539"/>
      <c r="D19" s="1195"/>
    </row>
    <row r="20" spans="1:4" ht="18" customHeight="1" x14ac:dyDescent="0.2">
      <c r="A20" s="537" t="s">
        <v>35</v>
      </c>
      <c r="B20" s="538" t="s">
        <v>635</v>
      </c>
      <c r="C20" s="539"/>
      <c r="D20" s="1195"/>
    </row>
    <row r="21" spans="1:4" ht="18" customHeight="1" x14ac:dyDescent="0.2">
      <c r="A21" s="537" t="s">
        <v>36</v>
      </c>
      <c r="B21" s="538" t="s">
        <v>636</v>
      </c>
      <c r="C21" s="539"/>
      <c r="D21" s="1195"/>
    </row>
    <row r="22" spans="1:4" ht="18" customHeight="1" x14ac:dyDescent="0.2">
      <c r="A22" s="537" t="s">
        <v>37</v>
      </c>
      <c r="B22" s="538" t="s">
        <v>637</v>
      </c>
      <c r="C22" s="539"/>
      <c r="D22" s="1195"/>
    </row>
    <row r="23" spans="1:4" ht="18" customHeight="1" x14ac:dyDescent="0.2">
      <c r="A23" s="537" t="s">
        <v>38</v>
      </c>
      <c r="B23" s="544"/>
      <c r="C23" s="36"/>
      <c r="D23" s="1195"/>
    </row>
    <row r="24" spans="1:4" ht="18" customHeight="1" x14ac:dyDescent="0.2">
      <c r="A24" s="537" t="s">
        <v>39</v>
      </c>
      <c r="B24" s="545"/>
      <c r="C24" s="36"/>
      <c r="D24" s="1195"/>
    </row>
    <row r="25" spans="1:4" ht="18" customHeight="1" x14ac:dyDescent="0.2">
      <c r="A25" s="537" t="s">
        <v>40</v>
      </c>
      <c r="B25" s="545"/>
      <c r="C25" s="36"/>
      <c r="D25" s="1195"/>
    </row>
    <row r="26" spans="1:4" ht="18" customHeight="1" x14ac:dyDescent="0.2">
      <c r="A26" s="537" t="s">
        <v>41</v>
      </c>
      <c r="B26" s="545"/>
      <c r="C26" s="36"/>
      <c r="D26" s="1195"/>
    </row>
    <row r="27" spans="1:4" ht="18" customHeight="1" x14ac:dyDescent="0.2">
      <c r="A27" s="537" t="s">
        <v>42</v>
      </c>
      <c r="B27" s="545"/>
      <c r="C27" s="36"/>
      <c r="D27" s="1195"/>
    </row>
    <row r="28" spans="1:4" ht="18" customHeight="1" x14ac:dyDescent="0.2">
      <c r="A28" s="537" t="s">
        <v>43</v>
      </c>
      <c r="B28" s="545"/>
      <c r="C28" s="36"/>
      <c r="D28" s="1195"/>
    </row>
    <row r="29" spans="1:4" ht="18" customHeight="1" x14ac:dyDescent="0.2">
      <c r="A29" s="537" t="s">
        <v>44</v>
      </c>
      <c r="B29" s="545"/>
      <c r="C29" s="36"/>
      <c r="D29" s="1195"/>
    </row>
    <row r="30" spans="1:4" ht="18" customHeight="1" x14ac:dyDescent="0.2">
      <c r="A30" s="537" t="s">
        <v>45</v>
      </c>
      <c r="B30" s="545"/>
      <c r="C30" s="36"/>
      <c r="D30" s="1195"/>
    </row>
    <row r="31" spans="1:4" ht="18" customHeight="1" thickBot="1" x14ac:dyDescent="0.25">
      <c r="A31" s="546" t="s">
        <v>46</v>
      </c>
      <c r="B31" s="547"/>
      <c r="C31" s="548"/>
      <c r="D31" s="1196"/>
    </row>
    <row r="32" spans="1:4" ht="18" customHeight="1" thickBot="1" x14ac:dyDescent="0.25">
      <c r="A32" s="549" t="s">
        <v>47</v>
      </c>
      <c r="B32" s="550" t="s">
        <v>54</v>
      </c>
      <c r="C32" s="551">
        <f>+C7+C8+C9+C10+C11+C18+C19+C20+C21+C22+C23+C24+C25+C26+C27+C28+C29+C30+C31</f>
        <v>0</v>
      </c>
      <c r="D32" s="552">
        <f>+D7+D8+D9+D10+D11+D18+D19+D20+D21+D22+D23+D24+D25+D26+D27+D28+D29+D30+D31</f>
        <v>0</v>
      </c>
    </row>
    <row r="33" spans="1:4" ht="8.25" customHeight="1" x14ac:dyDescent="0.2">
      <c r="A33" s="1235"/>
      <c r="B33" s="1530"/>
      <c r="C33" s="1530"/>
      <c r="D33" s="1530"/>
    </row>
  </sheetData>
  <mergeCells count="3">
    <mergeCell ref="A1:D1"/>
    <mergeCell ref="B3:D3"/>
    <mergeCell ref="B33:D33"/>
  </mergeCells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Q84"/>
  <sheetViews>
    <sheetView zoomScalePageLayoutView="85" workbookViewId="0">
      <selection activeCell="J20" sqref="J20"/>
    </sheetView>
  </sheetViews>
  <sheetFormatPr defaultRowHeight="15.75" x14ac:dyDescent="0.25"/>
  <cols>
    <col min="1" max="1" width="4.83203125" style="43" customWidth="1"/>
    <col min="2" max="2" width="31.1640625" style="1011" customWidth="1"/>
    <col min="3" max="3" width="12.6640625" style="1011" bestFit="1" customWidth="1"/>
    <col min="4" max="4" width="11.1640625" style="1011" bestFit="1" customWidth="1"/>
    <col min="5" max="5" width="12.6640625" style="1011" bestFit="1" customWidth="1"/>
    <col min="6" max="8" width="11.83203125" style="1011" bestFit="1" customWidth="1"/>
    <col min="9" max="9" width="12.6640625" style="1011" bestFit="1" customWidth="1"/>
    <col min="10" max="10" width="11.83203125" style="1011" bestFit="1" customWidth="1"/>
    <col min="11" max="11" width="12.6640625" style="1011" bestFit="1" customWidth="1"/>
    <col min="12" max="12" width="11.83203125" style="1011" bestFit="1" customWidth="1"/>
    <col min="13" max="13" width="11.6640625" style="1011" customWidth="1"/>
    <col min="14" max="14" width="11" style="1011" customWidth="1"/>
    <col min="15" max="15" width="12.6640625" style="497" customWidth="1"/>
    <col min="16" max="16" width="14.6640625" style="1020" hidden="1" customWidth="1"/>
    <col min="17" max="17" width="16.6640625" style="1020" hidden="1" customWidth="1"/>
    <col min="18" max="18" width="9.33203125" style="1011" customWidth="1"/>
    <col min="19" max="16384" width="9.33203125" style="1011"/>
  </cols>
  <sheetData>
    <row r="1" spans="1:17" x14ac:dyDescent="0.25">
      <c r="A1" s="1531" t="str">
        <f>CONCATENATE("25. melléklet"," ",ALAPADATOK!A7," ",ALAPADATOK!B7," ",ALAPADATOK!C7," ",ALAPADATOK!D7," ",ALAPADATOK!E7," ",ALAPADATOK!F7," ",ALAPADATOK!G7," ",ALAPADATOK!H7)</f>
        <v>25. melléklet a 21 / 2020. ( IX.25. ) önkormányzati rendelethez</v>
      </c>
      <c r="B1" s="1531"/>
      <c r="C1" s="1531"/>
      <c r="D1" s="1531"/>
      <c r="E1" s="1531"/>
      <c r="F1" s="1531"/>
      <c r="G1" s="1531"/>
      <c r="H1" s="1531"/>
      <c r="I1" s="1531"/>
      <c r="J1" s="1531"/>
      <c r="K1" s="1531"/>
      <c r="L1" s="1531"/>
      <c r="M1" s="1531"/>
      <c r="N1" s="1531"/>
      <c r="O1" s="1531"/>
    </row>
    <row r="2" spans="1:17" x14ac:dyDescent="0.25">
      <c r="A2" s="1236"/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437" t="s">
        <v>1028</v>
      </c>
    </row>
    <row r="3" spans="1:17" ht="31.5" customHeight="1" x14ac:dyDescent="0.25">
      <c r="A3" s="1532" t="s">
        <v>945</v>
      </c>
      <c r="B3" s="1533"/>
      <c r="C3" s="1533"/>
      <c r="D3" s="1533"/>
      <c r="E3" s="1533"/>
      <c r="F3" s="1533"/>
      <c r="G3" s="1533"/>
      <c r="H3" s="1533"/>
      <c r="I3" s="1533"/>
      <c r="J3" s="1533"/>
      <c r="K3" s="1533"/>
      <c r="L3" s="1533"/>
      <c r="M3" s="1533"/>
      <c r="N3" s="1533"/>
      <c r="O3" s="1533"/>
    </row>
    <row r="4" spans="1:17" ht="16.5" thickBot="1" x14ac:dyDescent="0.3">
      <c r="O4" s="495" t="s">
        <v>556</v>
      </c>
    </row>
    <row r="5" spans="1:17" ht="35.25" customHeight="1" thickBot="1" x14ac:dyDescent="0.3">
      <c r="A5" s="367" t="s">
        <v>19</v>
      </c>
      <c r="B5" s="368" t="s">
        <v>64</v>
      </c>
      <c r="C5" s="368" t="s">
        <v>73</v>
      </c>
      <c r="D5" s="368" t="s">
        <v>74</v>
      </c>
      <c r="E5" s="368" t="s">
        <v>75</v>
      </c>
      <c r="F5" s="368" t="s">
        <v>76</v>
      </c>
      <c r="G5" s="368" t="s">
        <v>77</v>
      </c>
      <c r="H5" s="368" t="s">
        <v>78</v>
      </c>
      <c r="I5" s="368" t="s">
        <v>79</v>
      </c>
      <c r="J5" s="368" t="s">
        <v>80</v>
      </c>
      <c r="K5" s="368" t="s">
        <v>81</v>
      </c>
      <c r="L5" s="368" t="s">
        <v>82</v>
      </c>
      <c r="M5" s="368" t="s">
        <v>83</v>
      </c>
      <c r="N5" s="368" t="s">
        <v>84</v>
      </c>
      <c r="O5" s="369" t="s">
        <v>54</v>
      </c>
    </row>
    <row r="6" spans="1:17" s="45" customFormat="1" ht="15" customHeight="1" thickBot="1" x14ac:dyDescent="0.25">
      <c r="A6" s="44" t="s">
        <v>21</v>
      </c>
      <c r="B6" s="1534" t="s">
        <v>58</v>
      </c>
      <c r="C6" s="1535"/>
      <c r="D6" s="1535"/>
      <c r="E6" s="1535"/>
      <c r="F6" s="1535"/>
      <c r="G6" s="1535"/>
      <c r="H6" s="1535"/>
      <c r="I6" s="1535"/>
      <c r="J6" s="1535"/>
      <c r="K6" s="1535"/>
      <c r="L6" s="1535"/>
      <c r="M6" s="1535"/>
      <c r="N6" s="1535"/>
      <c r="O6" s="1536"/>
      <c r="P6" s="413"/>
      <c r="Q6" s="413"/>
    </row>
    <row r="7" spans="1:17" s="45" customFormat="1" ht="22.5" x14ac:dyDescent="0.2">
      <c r="A7" s="46" t="s">
        <v>22</v>
      </c>
      <c r="B7" s="233" t="s">
        <v>323</v>
      </c>
      <c r="C7" s="270">
        <v>118000000</v>
      </c>
      <c r="D7" s="270">
        <f>110000000+1150000</f>
        <v>111150000</v>
      </c>
      <c r="E7" s="270">
        <f>118000000+6040000+1150000</f>
        <v>125190000</v>
      </c>
      <c r="F7" s="270">
        <f>110000000+3020000+1150000</f>
        <v>114170000</v>
      </c>
      <c r="G7" s="270">
        <f>118000000+3020000+1150000+477000</f>
        <v>122647000</v>
      </c>
      <c r="H7" s="270">
        <f>11000000+3020000+1150000</f>
        <v>15170000</v>
      </c>
      <c r="I7" s="270">
        <f>145365964+3020000+1150000+25055810+2247900</f>
        <v>176839674</v>
      </c>
      <c r="J7" s="270">
        <f>118000000+3020000+1150000+5011162+449580</f>
        <v>127630742</v>
      </c>
      <c r="K7" s="270">
        <f>130000000+3020000+1150000+5011162+449580</f>
        <v>139630742</v>
      </c>
      <c r="L7" s="270">
        <f>118000000+3020000+1150000+5011162+449580</f>
        <v>127630742</v>
      </c>
      <c r="M7" s="270">
        <f>118000000+3020000+1150000+5011162+449580</f>
        <v>127630742</v>
      </c>
      <c r="N7" s="270">
        <f>116667000+60806310+3016359+1122000+5011161+449580</f>
        <v>187072410</v>
      </c>
      <c r="O7" s="1143">
        <f t="shared" ref="O7:O15" si="0">SUM(C7:N7)</f>
        <v>1492762052</v>
      </c>
      <c r="P7" s="414">
        <f>'1.1.sz.mell. '!C11</f>
        <v>1492762052</v>
      </c>
      <c r="Q7" s="415">
        <f t="shared" ref="Q7:Q28" si="1">O7-P7</f>
        <v>0</v>
      </c>
    </row>
    <row r="8" spans="1:17" s="49" customFormat="1" ht="22.5" x14ac:dyDescent="0.2">
      <c r="A8" s="47" t="s">
        <v>23</v>
      </c>
      <c r="B8" s="110" t="s">
        <v>367</v>
      </c>
      <c r="C8" s="249"/>
      <c r="D8" s="249">
        <v>60000000</v>
      </c>
      <c r="E8" s="249"/>
      <c r="F8" s="249">
        <f>60000000+685800</f>
        <v>60685800</v>
      </c>
      <c r="G8" s="249"/>
      <c r="H8" s="249"/>
      <c r="I8" s="249"/>
      <c r="J8" s="249">
        <f>123000000+1534126+248115</f>
        <v>124782241</v>
      </c>
      <c r="K8" s="249">
        <f>55000000+1534126+248115+557865-8195505</f>
        <v>49144601</v>
      </c>
      <c r="L8" s="249">
        <f>248115</f>
        <v>248115</v>
      </c>
      <c r="M8" s="249">
        <f>42613687+248115</f>
        <v>42861802</v>
      </c>
      <c r="N8" s="249">
        <f>248116</f>
        <v>248116</v>
      </c>
      <c r="O8" s="1143">
        <f t="shared" si="0"/>
        <v>337970675</v>
      </c>
      <c r="P8" s="417">
        <f>'1.1.sz.mell. '!C20</f>
        <v>337970675</v>
      </c>
      <c r="Q8" s="418">
        <f t="shared" si="1"/>
        <v>0</v>
      </c>
    </row>
    <row r="9" spans="1:17" s="49" customFormat="1" ht="22.5" x14ac:dyDescent="0.2">
      <c r="A9" s="47" t="s">
        <v>24</v>
      </c>
      <c r="B9" s="109" t="s">
        <v>368</v>
      </c>
      <c r="C9" s="250"/>
      <c r="D9" s="250">
        <v>10000000</v>
      </c>
      <c r="E9" s="250"/>
      <c r="F9" s="250">
        <f>5200000</f>
        <v>5200000</v>
      </c>
      <c r="G9" s="250">
        <v>15000000</v>
      </c>
      <c r="H9" s="250"/>
      <c r="I9" s="250"/>
      <c r="J9" s="250">
        <v>10000000</v>
      </c>
      <c r="K9" s="250">
        <f>22409566-9719732-2432050</f>
        <v>10257784</v>
      </c>
      <c r="L9" s="250"/>
      <c r="M9" s="250"/>
      <c r="N9" s="250"/>
      <c r="O9" s="1143">
        <f t="shared" si="0"/>
        <v>50457784</v>
      </c>
      <c r="P9" s="417">
        <f>'1.1.sz.mell. '!C27</f>
        <v>50457784</v>
      </c>
      <c r="Q9" s="418">
        <f t="shared" si="1"/>
        <v>0</v>
      </c>
    </row>
    <row r="10" spans="1:17" s="49" customFormat="1" ht="14.1" customHeight="1" x14ac:dyDescent="0.2">
      <c r="A10" s="47" t="s">
        <v>25</v>
      </c>
      <c r="B10" s="108" t="s">
        <v>140</v>
      </c>
      <c r="C10" s="249">
        <v>3000000</v>
      </c>
      <c r="D10" s="249">
        <v>4000000</v>
      </c>
      <c r="E10" s="249">
        <f>220000000-17500000</f>
        <v>202500000</v>
      </c>
      <c r="F10" s="249">
        <v>3000000</v>
      </c>
      <c r="G10" s="249">
        <v>2500000</v>
      </c>
      <c r="H10" s="249">
        <v>3000000</v>
      </c>
      <c r="I10" s="249">
        <v>3000000</v>
      </c>
      <c r="J10" s="249">
        <v>4000000</v>
      </c>
      <c r="K10" s="249">
        <f>216500000-17500000</f>
        <v>199000000</v>
      </c>
      <c r="L10" s="249">
        <v>4000000</v>
      </c>
      <c r="M10" s="249">
        <v>5000000</v>
      </c>
      <c r="N10" s="249">
        <v>70000000</v>
      </c>
      <c r="O10" s="416">
        <f t="shared" si="0"/>
        <v>503000000</v>
      </c>
      <c r="P10" s="417">
        <f>'1.1.sz.mell. '!C34</f>
        <v>503000000</v>
      </c>
      <c r="Q10" s="418">
        <f t="shared" si="1"/>
        <v>0</v>
      </c>
    </row>
    <row r="11" spans="1:17" s="49" customFormat="1" ht="14.1" customHeight="1" x14ac:dyDescent="0.2">
      <c r="A11" s="47" t="s">
        <v>26</v>
      </c>
      <c r="B11" s="108" t="s">
        <v>369</v>
      </c>
      <c r="C11" s="249">
        <v>30000000</v>
      </c>
      <c r="D11" s="249">
        <f>28000000-60000</f>
        <v>27940000</v>
      </c>
      <c r="E11" s="249">
        <f>27000000-2040218</f>
        <v>24959782</v>
      </c>
      <c r="F11" s="249">
        <f>29000000-2040217</f>
        <v>26959783</v>
      </c>
      <c r="G11" s="249">
        <f>30000000-2040218</f>
        <v>27959782</v>
      </c>
      <c r="H11" s="249">
        <v>28000000</v>
      </c>
      <c r="I11" s="249">
        <f>30000000+277930</f>
        <v>30277930</v>
      </c>
      <c r="J11" s="249">
        <v>27000000</v>
      </c>
      <c r="K11" s="249">
        <f>30000000+50000</f>
        <v>30050000</v>
      </c>
      <c r="L11" s="249">
        <f>25000000+50000</f>
        <v>25050000</v>
      </c>
      <c r="M11" s="249">
        <f>31000000+80000</f>
        <v>31080000</v>
      </c>
      <c r="N11" s="249">
        <f>30000000+74000</f>
        <v>30074000</v>
      </c>
      <c r="O11" s="416">
        <f t="shared" si="0"/>
        <v>339351277</v>
      </c>
      <c r="P11" s="417">
        <f>'1.1.sz.mell. '!C42</f>
        <v>339351277</v>
      </c>
      <c r="Q11" s="418">
        <f t="shared" si="1"/>
        <v>0</v>
      </c>
    </row>
    <row r="12" spans="1:17" s="49" customFormat="1" ht="14.1" customHeight="1" x14ac:dyDescent="0.2">
      <c r="A12" s="47" t="s">
        <v>27</v>
      </c>
      <c r="B12" s="108" t="s">
        <v>12</v>
      </c>
      <c r="C12" s="249"/>
      <c r="D12" s="249">
        <v>5000000</v>
      </c>
      <c r="E12" s="249"/>
      <c r="F12" s="249">
        <v>5000000</v>
      </c>
      <c r="G12" s="249"/>
      <c r="H12" s="249">
        <v>6000000</v>
      </c>
      <c r="I12" s="249"/>
      <c r="J12" s="249">
        <v>8000000</v>
      </c>
      <c r="K12" s="249">
        <v>5000000</v>
      </c>
      <c r="L12" s="249"/>
      <c r="M12" s="249">
        <v>7000000</v>
      </c>
      <c r="N12" s="249">
        <v>8604508</v>
      </c>
      <c r="O12" s="416">
        <f t="shared" si="0"/>
        <v>44604508</v>
      </c>
      <c r="P12" s="417">
        <f>'1.1.sz.mell. '!C54</f>
        <v>44604508</v>
      </c>
      <c r="Q12" s="418">
        <f t="shared" si="1"/>
        <v>0</v>
      </c>
    </row>
    <row r="13" spans="1:17" s="49" customFormat="1" ht="14.1" customHeight="1" x14ac:dyDescent="0.2">
      <c r="A13" s="47" t="s">
        <v>28</v>
      </c>
      <c r="B13" s="108" t="s">
        <v>325</v>
      </c>
      <c r="C13" s="249">
        <v>100000</v>
      </c>
      <c r="D13" s="249">
        <f>80000+34000</f>
        <v>114000</v>
      </c>
      <c r="E13" s="249">
        <v>300000</v>
      </c>
      <c r="F13" s="249">
        <v>150000</v>
      </c>
      <c r="G13" s="249">
        <v>100000</v>
      </c>
      <c r="H13" s="249">
        <v>100000</v>
      </c>
      <c r="I13" s="249">
        <f>150000+330075</f>
        <v>480075</v>
      </c>
      <c r="J13" s="249">
        <v>200000</v>
      </c>
      <c r="K13" s="249">
        <v>400000</v>
      </c>
      <c r="L13" s="249">
        <v>150000</v>
      </c>
      <c r="M13" s="249">
        <v>200000</v>
      </c>
      <c r="N13" s="249">
        <v>245000</v>
      </c>
      <c r="O13" s="1143">
        <f t="shared" si="0"/>
        <v>2539075</v>
      </c>
      <c r="P13" s="417">
        <f>'1.1.sz.mell. '!C60</f>
        <v>2539075</v>
      </c>
      <c r="Q13" s="418">
        <f t="shared" si="1"/>
        <v>0</v>
      </c>
    </row>
    <row r="14" spans="1:17" s="49" customFormat="1" ht="22.5" x14ac:dyDescent="0.2">
      <c r="A14" s="47" t="s">
        <v>29</v>
      </c>
      <c r="B14" s="110" t="s">
        <v>355</v>
      </c>
      <c r="C14" s="249"/>
      <c r="D14" s="249"/>
      <c r="E14" s="249"/>
      <c r="F14" s="249"/>
      <c r="G14" s="249">
        <v>6000000</v>
      </c>
      <c r="H14" s="249"/>
      <c r="I14" s="249"/>
      <c r="J14" s="249"/>
      <c r="K14" s="249"/>
      <c r="L14" s="249"/>
      <c r="M14" s="249"/>
      <c r="N14" s="249"/>
      <c r="O14" s="416">
        <f t="shared" si="0"/>
        <v>6000000</v>
      </c>
      <c r="P14" s="417">
        <f>'1.1.sz.mell. '!C65</f>
        <v>6000000</v>
      </c>
      <c r="Q14" s="418">
        <f t="shared" si="1"/>
        <v>0</v>
      </c>
    </row>
    <row r="15" spans="1:17" s="49" customFormat="1" ht="14.1" customHeight="1" thickBot="1" x14ac:dyDescent="0.25">
      <c r="A15" s="47" t="s">
        <v>30</v>
      </c>
      <c r="B15" s="108" t="s">
        <v>13</v>
      </c>
      <c r="C15" s="48">
        <f>967968475+86951899-3333191</f>
        <v>1051587183</v>
      </c>
      <c r="D15" s="48">
        <v>90000000</v>
      </c>
      <c r="E15" s="48">
        <v>90000000</v>
      </c>
      <c r="F15" s="48"/>
      <c r="G15" s="48"/>
      <c r="H15" s="48">
        <v>68000000</v>
      </c>
      <c r="I15" s="48">
        <v>90000000</v>
      </c>
      <c r="J15" s="48">
        <v>90000000</v>
      </c>
      <c r="K15" s="48">
        <v>90000000</v>
      </c>
      <c r="L15" s="48"/>
      <c r="M15" s="48">
        <v>70000000</v>
      </c>
      <c r="N15" s="48">
        <f>70000000-2540000+45672254-8841285</f>
        <v>104290969</v>
      </c>
      <c r="O15" s="416">
        <f t="shared" si="0"/>
        <v>1743878152</v>
      </c>
      <c r="P15" s="419">
        <f>'1.1.sz.mell. '!C94</f>
        <v>1743878152</v>
      </c>
      <c r="Q15" s="420">
        <f t="shared" si="1"/>
        <v>0</v>
      </c>
    </row>
    <row r="16" spans="1:17" s="45" customFormat="1" ht="15.95" customHeight="1" thickBot="1" x14ac:dyDescent="0.25">
      <c r="A16" s="44" t="s">
        <v>31</v>
      </c>
      <c r="B16" s="28" t="s">
        <v>111</v>
      </c>
      <c r="C16" s="50">
        <f t="shared" ref="C16:N16" si="2">SUM(C7:C15)</f>
        <v>1202687183</v>
      </c>
      <c r="D16" s="50">
        <f t="shared" si="2"/>
        <v>308204000</v>
      </c>
      <c r="E16" s="50">
        <f t="shared" si="2"/>
        <v>442949782</v>
      </c>
      <c r="F16" s="50">
        <f t="shared" si="2"/>
        <v>215165583</v>
      </c>
      <c r="G16" s="50">
        <f t="shared" si="2"/>
        <v>174206782</v>
      </c>
      <c r="H16" s="50">
        <f t="shared" si="2"/>
        <v>120270000</v>
      </c>
      <c r="I16" s="50">
        <f t="shared" si="2"/>
        <v>300597679</v>
      </c>
      <c r="J16" s="50">
        <f t="shared" si="2"/>
        <v>391612983</v>
      </c>
      <c r="K16" s="50">
        <f t="shared" si="2"/>
        <v>523483127</v>
      </c>
      <c r="L16" s="50">
        <f t="shared" si="2"/>
        <v>157078857</v>
      </c>
      <c r="M16" s="50">
        <f t="shared" si="2"/>
        <v>283772544</v>
      </c>
      <c r="N16" s="50">
        <f t="shared" si="2"/>
        <v>400535003</v>
      </c>
      <c r="O16" s="1220">
        <f>SUM(C16:N16)</f>
        <v>4520563523</v>
      </c>
      <c r="P16" s="421">
        <f>SUM(P7:P15)</f>
        <v>4520563523</v>
      </c>
      <c r="Q16" s="422">
        <f t="shared" si="1"/>
        <v>0</v>
      </c>
    </row>
    <row r="17" spans="1:17" s="45" customFormat="1" ht="15" customHeight="1" thickBot="1" x14ac:dyDescent="0.25">
      <c r="A17" s="44" t="s">
        <v>32</v>
      </c>
      <c r="B17" s="1534" t="s">
        <v>59</v>
      </c>
      <c r="C17" s="1535"/>
      <c r="D17" s="1535"/>
      <c r="E17" s="1535"/>
      <c r="F17" s="1535"/>
      <c r="G17" s="1535"/>
      <c r="H17" s="1535"/>
      <c r="I17" s="1535"/>
      <c r="J17" s="1535"/>
      <c r="K17" s="1535"/>
      <c r="L17" s="1535"/>
      <c r="M17" s="1535"/>
      <c r="N17" s="1535"/>
      <c r="O17" s="1536"/>
      <c r="P17" s="413"/>
      <c r="Q17" s="423">
        <f t="shared" si="1"/>
        <v>0</v>
      </c>
    </row>
    <row r="18" spans="1:17" s="49" customFormat="1" ht="14.1" customHeight="1" thickBot="1" x14ac:dyDescent="0.25">
      <c r="A18" s="424" t="s">
        <v>33</v>
      </c>
      <c r="B18" s="425" t="s">
        <v>65</v>
      </c>
      <c r="C18" s="426">
        <v>77688880</v>
      </c>
      <c r="D18" s="426">
        <f>100000000+175600</f>
        <v>100175600</v>
      </c>
      <c r="E18" s="426">
        <f>100000000+5140000+175600</f>
        <v>105315600</v>
      </c>
      <c r="F18" s="426">
        <f>100000000+2570000+175600</f>
        <v>102745600</v>
      </c>
      <c r="G18" s="426">
        <f>100000000+2570000+175600</f>
        <v>102745600</v>
      </c>
      <c r="H18" s="426">
        <f>100000000+2570000+175600-265990+1000000</f>
        <v>103479610</v>
      </c>
      <c r="I18" s="426">
        <f>100000000+2570000+175600-265990</f>
        <v>102479610</v>
      </c>
      <c r="J18" s="426">
        <f>100000000+2570000+175600-265990+2698245</f>
        <v>105177855</v>
      </c>
      <c r="K18" s="426">
        <f>100000000+2570000+175600-265990+2698245+483000</f>
        <v>105660855</v>
      </c>
      <c r="L18" s="426">
        <f>100000000+2570000+175600-265990+2698246-980640</f>
        <v>104197216</v>
      </c>
      <c r="M18" s="426">
        <f>100000000+2570000+175600-265990+2698246-980640</f>
        <v>104197216</v>
      </c>
      <c r="N18" s="426">
        <f>100000000+2569241+175315-265990+2698247-980641</f>
        <v>104196172</v>
      </c>
      <c r="O18" s="1143">
        <f t="shared" ref="O18:O28" si="3">SUM(C18:N18)</f>
        <v>1218059814</v>
      </c>
      <c r="P18" s="499">
        <f>'1.1.sz.mell. '!C102</f>
        <v>1218059814</v>
      </c>
      <c r="Q18" s="415">
        <f t="shared" si="1"/>
        <v>0</v>
      </c>
    </row>
    <row r="19" spans="1:17" s="49" customFormat="1" ht="27" customHeight="1" thickBot="1" x14ac:dyDescent="0.25">
      <c r="A19" s="47" t="s">
        <v>34</v>
      </c>
      <c r="B19" s="110" t="s">
        <v>149</v>
      </c>
      <c r="C19" s="249">
        <v>15009550</v>
      </c>
      <c r="D19" s="249">
        <f>19000000+35400</f>
        <v>19035400</v>
      </c>
      <c r="E19" s="249">
        <f>19000000+899000+35400</f>
        <v>19934400</v>
      </c>
      <c r="F19" s="249">
        <f>19000000+450000+35400</f>
        <v>19485400</v>
      </c>
      <c r="G19" s="249">
        <f>19000000+450000+35400</f>
        <v>19485400</v>
      </c>
      <c r="H19" s="249">
        <f>19000000+450000+35400+42840-1000000</f>
        <v>18528240</v>
      </c>
      <c r="I19" s="249">
        <f>19000000+450000+35400</f>
        <v>19485400</v>
      </c>
      <c r="J19" s="249">
        <f>19000000+450000+35400+486138</f>
        <v>19971538</v>
      </c>
      <c r="K19" s="249">
        <f>19000000+450000+35400+486138+74865</f>
        <v>20046403</v>
      </c>
      <c r="L19" s="249">
        <f>19000000+450000+35400+486138-669017</f>
        <v>19302521</v>
      </c>
      <c r="M19" s="249">
        <f>19000000+450000+35400+486138-669017</f>
        <v>19302521</v>
      </c>
      <c r="N19" s="249">
        <f>19000000+448118+35279+486138-669018</f>
        <v>19300517</v>
      </c>
      <c r="O19" s="1143">
        <f t="shared" si="3"/>
        <v>228887290</v>
      </c>
      <c r="P19" s="499">
        <f>'1.1.sz.mell. '!C103</f>
        <v>228887290</v>
      </c>
      <c r="Q19" s="418">
        <f t="shared" si="1"/>
        <v>0</v>
      </c>
    </row>
    <row r="20" spans="1:17" s="49" customFormat="1" ht="14.1" customHeight="1" thickBot="1" x14ac:dyDescent="0.25">
      <c r="A20" s="47" t="s">
        <v>35</v>
      </c>
      <c r="B20" s="108" t="s">
        <v>125</v>
      </c>
      <c r="C20" s="249">
        <v>70000000</v>
      </c>
      <c r="D20" s="249">
        <v>72000000</v>
      </c>
      <c r="E20" s="249">
        <f>72000000+873446-10417710</f>
        <v>62455736</v>
      </c>
      <c r="F20" s="249">
        <f>72000000-10417710</f>
        <v>61582290</v>
      </c>
      <c r="G20" s="249">
        <f>82000000-5000000-10417710</f>
        <v>66582290</v>
      </c>
      <c r="H20" s="249">
        <f>82000000-2036757+488</f>
        <v>79963731</v>
      </c>
      <c r="I20" s="249">
        <f>82000000+32000</f>
        <v>82032000</v>
      </c>
      <c r="J20" s="249">
        <f>82000000+20617402</f>
        <v>102617402</v>
      </c>
      <c r="K20" s="249">
        <f>82000000-1287359</f>
        <v>80712641</v>
      </c>
      <c r="L20" s="249">
        <f>82000000-1287359</f>
        <v>80712641</v>
      </c>
      <c r="M20" s="249">
        <f>82000000-1287359</f>
        <v>80712641</v>
      </c>
      <c r="N20" s="249">
        <f>85000000-649147-1287358</f>
        <v>83063495</v>
      </c>
      <c r="O20" s="1143">
        <f t="shared" si="3"/>
        <v>922434867</v>
      </c>
      <c r="P20" s="499">
        <f>'1.1.sz.mell. '!C104</f>
        <v>922434867</v>
      </c>
      <c r="Q20" s="418">
        <f t="shared" si="1"/>
        <v>0</v>
      </c>
    </row>
    <row r="21" spans="1:17" s="49" customFormat="1" ht="14.1" customHeight="1" x14ac:dyDescent="0.2">
      <c r="A21" s="47" t="s">
        <v>36</v>
      </c>
      <c r="B21" s="108" t="s">
        <v>150</v>
      </c>
      <c r="C21" s="249">
        <v>2500000</v>
      </c>
      <c r="D21" s="249">
        <v>2500000</v>
      </c>
      <c r="E21" s="249">
        <v>3000000</v>
      </c>
      <c r="F21" s="249">
        <v>3000000</v>
      </c>
      <c r="G21" s="249">
        <v>4300000</v>
      </c>
      <c r="H21" s="249">
        <v>4000000</v>
      </c>
      <c r="I21" s="249">
        <v>4000000</v>
      </c>
      <c r="J21" s="249">
        <v>4000000</v>
      </c>
      <c r="K21" s="249">
        <v>4000000</v>
      </c>
      <c r="L21" s="249">
        <v>4000000</v>
      </c>
      <c r="M21" s="249">
        <v>6000000</v>
      </c>
      <c r="N21" s="249">
        <v>20000000</v>
      </c>
      <c r="O21" s="416">
        <f t="shared" si="3"/>
        <v>61300000</v>
      </c>
      <c r="P21" s="499">
        <f>'1.1.sz.mell. '!C105</f>
        <v>61300000</v>
      </c>
      <c r="Q21" s="418">
        <f t="shared" si="1"/>
        <v>0</v>
      </c>
    </row>
    <row r="22" spans="1:17" s="49" customFormat="1" ht="14.1" customHeight="1" x14ac:dyDescent="0.2">
      <c r="A22" s="47" t="s">
        <v>37</v>
      </c>
      <c r="B22" s="108" t="s">
        <v>14</v>
      </c>
      <c r="C22" s="249">
        <v>1300000</v>
      </c>
      <c r="D22" s="249">
        <v>14000000</v>
      </c>
      <c r="E22" s="249">
        <f>40000000+792176</f>
        <v>40792176</v>
      </c>
      <c r="F22" s="249">
        <v>12000000</v>
      </c>
      <c r="G22" s="249">
        <f>10000000+638940</f>
        <v>10638940</v>
      </c>
      <c r="H22" s="249">
        <f>12000000+1620969+935000</f>
        <v>14555969</v>
      </c>
      <c r="I22" s="249">
        <v>40000000</v>
      </c>
      <c r="J22" s="249">
        <f>15000000+347250</f>
        <v>15347250</v>
      </c>
      <c r="K22" s="249">
        <v>15000000</v>
      </c>
      <c r="L22" s="249">
        <v>16000000</v>
      </c>
      <c r="M22" s="249">
        <v>17000000</v>
      </c>
      <c r="N22" s="249">
        <v>18037958</v>
      </c>
      <c r="O22" s="1143">
        <f t="shared" si="3"/>
        <v>214672293</v>
      </c>
      <c r="P22" s="417">
        <f>'1.1.sz.mell. '!C106</f>
        <v>214672293</v>
      </c>
      <c r="Q22" s="418">
        <f t="shared" si="1"/>
        <v>0</v>
      </c>
    </row>
    <row r="23" spans="1:17" s="49" customFormat="1" ht="14.1" customHeight="1" x14ac:dyDescent="0.2">
      <c r="A23" s="47" t="s">
        <v>38</v>
      </c>
      <c r="B23" s="108" t="s">
        <v>173</v>
      </c>
      <c r="C23" s="249">
        <v>500000</v>
      </c>
      <c r="D23" s="249">
        <v>5000000</v>
      </c>
      <c r="E23" s="249">
        <v>80000000</v>
      </c>
      <c r="F23" s="249">
        <v>80000000</v>
      </c>
      <c r="G23" s="249">
        <f>80000000+6000000</f>
        <v>86000000</v>
      </c>
      <c r="H23" s="249">
        <f>80000000+1901312-488</f>
        <v>81900824</v>
      </c>
      <c r="I23" s="249">
        <v>81000000</v>
      </c>
      <c r="J23" s="249">
        <f>150000000+3102460-10000000</f>
        <v>143102460</v>
      </c>
      <c r="K23" s="249">
        <f>100000000-5870867</f>
        <v>94129133</v>
      </c>
      <c r="L23" s="249">
        <v>10000000</v>
      </c>
      <c r="M23" s="249">
        <v>10000000</v>
      </c>
      <c r="N23" s="249">
        <f>5894079-1890853</f>
        <v>4003226</v>
      </c>
      <c r="O23" s="1143">
        <f t="shared" si="3"/>
        <v>675635643</v>
      </c>
      <c r="P23" s="417">
        <f>'1.1.sz.mell. '!C123</f>
        <v>675635643</v>
      </c>
      <c r="Q23" s="418">
        <f t="shared" si="1"/>
        <v>0</v>
      </c>
    </row>
    <row r="24" spans="1:17" s="49" customFormat="1" x14ac:dyDescent="0.2">
      <c r="A24" s="47" t="s">
        <v>39</v>
      </c>
      <c r="B24" s="110" t="s">
        <v>153</v>
      </c>
      <c r="C24" s="249"/>
      <c r="D24" s="249">
        <v>5000000</v>
      </c>
      <c r="E24" s="249">
        <v>20000000</v>
      </c>
      <c r="F24" s="249">
        <v>20000000</v>
      </c>
      <c r="G24" s="249">
        <v>22245726</v>
      </c>
      <c r="H24" s="249">
        <f>25000000+677185+322815</f>
        <v>26000000</v>
      </c>
      <c r="I24" s="249">
        <v>25000000</v>
      </c>
      <c r="J24" s="249">
        <f>50000000+3524000</f>
        <v>53524000</v>
      </c>
      <c r="K24" s="249">
        <v>35000000</v>
      </c>
      <c r="L24" s="249">
        <v>20000000</v>
      </c>
      <c r="M24" s="249">
        <v>20000000</v>
      </c>
      <c r="N24" s="249">
        <v>20000000</v>
      </c>
      <c r="O24" s="1143">
        <f t="shared" si="3"/>
        <v>266769726</v>
      </c>
      <c r="P24" s="417">
        <f>'1.1.sz.mell. '!C125</f>
        <v>266769726</v>
      </c>
      <c r="Q24" s="418">
        <f t="shared" si="1"/>
        <v>0</v>
      </c>
    </row>
    <row r="25" spans="1:17" s="49" customFormat="1" ht="14.1" customHeight="1" x14ac:dyDescent="0.2">
      <c r="A25" s="47" t="s">
        <v>40</v>
      </c>
      <c r="B25" s="108" t="s">
        <v>175</v>
      </c>
      <c r="C25" s="249"/>
      <c r="D25" s="249">
        <v>650000</v>
      </c>
      <c r="E25" s="249"/>
      <c r="F25" s="249"/>
      <c r="G25" s="249"/>
      <c r="H25" s="249">
        <v>3000000</v>
      </c>
      <c r="I25" s="249"/>
      <c r="J25" s="249">
        <v>500000</v>
      </c>
      <c r="K25" s="249"/>
      <c r="L25" s="249"/>
      <c r="M25" s="249">
        <f>3751899-1023179</f>
        <v>2728720</v>
      </c>
      <c r="N25" s="249"/>
      <c r="O25" s="416">
        <f t="shared" si="3"/>
        <v>6878720</v>
      </c>
      <c r="P25" s="417">
        <f>'1.1.sz.mell. '!C127</f>
        <v>6878720</v>
      </c>
      <c r="Q25" s="418">
        <f t="shared" si="1"/>
        <v>0</v>
      </c>
    </row>
    <row r="26" spans="1:17" s="49" customFormat="1" ht="14.1" customHeight="1" x14ac:dyDescent="0.2">
      <c r="A26" s="47" t="s">
        <v>41</v>
      </c>
      <c r="B26" s="108" t="s">
        <v>52</v>
      </c>
      <c r="C26" s="249">
        <f>6000000-5000000</f>
        <v>1000000</v>
      </c>
      <c r="D26" s="249">
        <v>1000000</v>
      </c>
      <c r="E26" s="249">
        <f>3000000+770000</f>
        <v>3770000</v>
      </c>
      <c r="F26" s="249">
        <f>6000000+770000-483121</f>
        <v>6286879</v>
      </c>
      <c r="G26" s="249">
        <f>7000000+770000</f>
        <v>7770000</v>
      </c>
      <c r="H26" s="249">
        <f>9500000+770000-322815</f>
        <v>9947185</v>
      </c>
      <c r="I26" s="249">
        <f>9000000+770000+2500000-32000</f>
        <v>12238000</v>
      </c>
      <c r="J26" s="249">
        <f>8000000+770000+2500000</f>
        <v>11270000</v>
      </c>
      <c r="K26" s="249">
        <f>17740838+770000+2500000+3068354</f>
        <v>24079192</v>
      </c>
      <c r="L26" s="249">
        <f>19000000+770000+2500000+3068353</f>
        <v>25338353</v>
      </c>
      <c r="M26" s="249">
        <f>19000000+770000+2500000+3068353</f>
        <v>25338353</v>
      </c>
      <c r="N26" s="249">
        <f>20000000+744615+2363551+3068354</f>
        <v>26176520</v>
      </c>
      <c r="O26" s="1143">
        <f t="shared" si="3"/>
        <v>154214482</v>
      </c>
      <c r="P26" s="417">
        <f>'1.1.sz.mell. '!C119</f>
        <v>154214482</v>
      </c>
      <c r="Q26" s="418">
        <f t="shared" si="1"/>
        <v>0</v>
      </c>
    </row>
    <row r="27" spans="1:17" s="49" customFormat="1" ht="14.1" customHeight="1" thickBot="1" x14ac:dyDescent="0.25">
      <c r="A27" s="47" t="s">
        <v>42</v>
      </c>
      <c r="B27" s="108" t="s">
        <v>15</v>
      </c>
      <c r="C27" s="48">
        <f>150000000+45672254</f>
        <v>195672254</v>
      </c>
      <c r="D27" s="48"/>
      <c r="E27" s="48">
        <v>100000000</v>
      </c>
      <c r="F27" s="249"/>
      <c r="G27" s="48"/>
      <c r="H27" s="249">
        <v>60000000</v>
      </c>
      <c r="I27" s="249">
        <v>66038434</v>
      </c>
      <c r="J27" s="249">
        <v>60000000</v>
      </c>
      <c r="K27" s="249">
        <v>70000000</v>
      </c>
      <c r="L27" s="249">
        <v>150000000</v>
      </c>
      <c r="M27" s="249"/>
      <c r="N27" s="249">
        <v>70000000</v>
      </c>
      <c r="O27" s="416">
        <f t="shared" si="3"/>
        <v>771710688</v>
      </c>
      <c r="P27" s="419">
        <f>'1.1.sz.mell. '!C161</f>
        <v>771710688</v>
      </c>
      <c r="Q27" s="420">
        <f t="shared" si="1"/>
        <v>0</v>
      </c>
    </row>
    <row r="28" spans="1:17" s="45" customFormat="1" ht="15.95" customHeight="1" thickBot="1" x14ac:dyDescent="0.25">
      <c r="A28" s="51" t="s">
        <v>43</v>
      </c>
      <c r="B28" s="28" t="s">
        <v>112</v>
      </c>
      <c r="C28" s="50">
        <f t="shared" ref="C28:N28" si="4">SUM(C18:C27)</f>
        <v>363670684</v>
      </c>
      <c r="D28" s="50">
        <f t="shared" si="4"/>
        <v>219361000</v>
      </c>
      <c r="E28" s="50">
        <f t="shared" si="4"/>
        <v>435267912</v>
      </c>
      <c r="F28" s="50">
        <f t="shared" si="4"/>
        <v>305100169</v>
      </c>
      <c r="G28" s="50">
        <f t="shared" si="4"/>
        <v>319767956</v>
      </c>
      <c r="H28" s="50">
        <f t="shared" si="4"/>
        <v>401375559</v>
      </c>
      <c r="I28" s="50">
        <f t="shared" si="4"/>
        <v>432273444</v>
      </c>
      <c r="J28" s="50">
        <f t="shared" si="4"/>
        <v>515510505</v>
      </c>
      <c r="K28" s="50">
        <f t="shared" si="4"/>
        <v>448628224</v>
      </c>
      <c r="L28" s="50">
        <f t="shared" si="4"/>
        <v>429550731</v>
      </c>
      <c r="M28" s="50">
        <f t="shared" si="4"/>
        <v>285279451</v>
      </c>
      <c r="N28" s="50">
        <f t="shared" si="4"/>
        <v>364777888</v>
      </c>
      <c r="O28" s="1220">
        <f t="shared" si="3"/>
        <v>4520563523</v>
      </c>
      <c r="P28" s="421">
        <f>SUM(P18:P27)</f>
        <v>4520563523</v>
      </c>
      <c r="Q28" s="422">
        <f t="shared" si="1"/>
        <v>0</v>
      </c>
    </row>
    <row r="29" spans="1:17" ht="16.5" thickBot="1" x14ac:dyDescent="0.3">
      <c r="A29" s="51" t="s">
        <v>44</v>
      </c>
      <c r="B29" s="111" t="s">
        <v>113</v>
      </c>
      <c r="C29" s="52">
        <f t="shared" ref="C29:O29" si="5">C16-C28</f>
        <v>839016499</v>
      </c>
      <c r="D29" s="52">
        <f t="shared" si="5"/>
        <v>88843000</v>
      </c>
      <c r="E29" s="52">
        <f t="shared" si="5"/>
        <v>7681870</v>
      </c>
      <c r="F29" s="52">
        <f t="shared" si="5"/>
        <v>-89934586</v>
      </c>
      <c r="G29" s="52">
        <f t="shared" si="5"/>
        <v>-145561174</v>
      </c>
      <c r="H29" s="52">
        <f t="shared" si="5"/>
        <v>-281105559</v>
      </c>
      <c r="I29" s="52">
        <f t="shared" si="5"/>
        <v>-131675765</v>
      </c>
      <c r="J29" s="52">
        <f t="shared" si="5"/>
        <v>-123897522</v>
      </c>
      <c r="K29" s="52">
        <f t="shared" si="5"/>
        <v>74854903</v>
      </c>
      <c r="L29" s="52">
        <f t="shared" si="5"/>
        <v>-272471874</v>
      </c>
      <c r="M29" s="52">
        <f t="shared" si="5"/>
        <v>-1506907</v>
      </c>
      <c r="N29" s="52">
        <f t="shared" si="5"/>
        <v>35757115</v>
      </c>
      <c r="O29" s="496">
        <f t="shared" si="5"/>
        <v>0</v>
      </c>
    </row>
    <row r="30" spans="1:17" x14ac:dyDescent="0.25">
      <c r="A30" s="53"/>
    </row>
    <row r="31" spans="1:17" x14ac:dyDescent="0.25">
      <c r="B31" s="54"/>
      <c r="C31" s="55"/>
      <c r="D31" s="55"/>
      <c r="O31" s="498"/>
    </row>
    <row r="32" spans="1:17" x14ac:dyDescent="0.25">
      <c r="O32" s="498"/>
    </row>
    <row r="33" spans="15:15" x14ac:dyDescent="0.25">
      <c r="O33" s="498"/>
    </row>
    <row r="34" spans="15:15" x14ac:dyDescent="0.25">
      <c r="O34" s="498"/>
    </row>
    <row r="35" spans="15:15" x14ac:dyDescent="0.25">
      <c r="O35" s="498"/>
    </row>
    <row r="36" spans="15:15" x14ac:dyDescent="0.25">
      <c r="O36" s="498"/>
    </row>
    <row r="37" spans="15:15" x14ac:dyDescent="0.25">
      <c r="O37" s="498"/>
    </row>
    <row r="38" spans="15:15" x14ac:dyDescent="0.25">
      <c r="O38" s="498"/>
    </row>
    <row r="39" spans="15:15" x14ac:dyDescent="0.25">
      <c r="O39" s="498"/>
    </row>
    <row r="40" spans="15:15" x14ac:dyDescent="0.25">
      <c r="O40" s="498"/>
    </row>
    <row r="41" spans="15:15" x14ac:dyDescent="0.25">
      <c r="O41" s="498"/>
    </row>
    <row r="42" spans="15:15" x14ac:dyDescent="0.25">
      <c r="O42" s="498"/>
    </row>
    <row r="43" spans="15:15" x14ac:dyDescent="0.25">
      <c r="O43" s="498"/>
    </row>
    <row r="44" spans="15:15" x14ac:dyDescent="0.25">
      <c r="O44" s="498"/>
    </row>
    <row r="45" spans="15:15" x14ac:dyDescent="0.25">
      <c r="O45" s="498"/>
    </row>
    <row r="46" spans="15:15" x14ac:dyDescent="0.25">
      <c r="O46" s="498"/>
    </row>
    <row r="47" spans="15:15" x14ac:dyDescent="0.25">
      <c r="O47" s="498"/>
    </row>
    <row r="48" spans="15:15" x14ac:dyDescent="0.25">
      <c r="O48" s="498"/>
    </row>
    <row r="49" spans="15:15" x14ac:dyDescent="0.25">
      <c r="O49" s="498"/>
    </row>
    <row r="50" spans="15:15" x14ac:dyDescent="0.25">
      <c r="O50" s="498"/>
    </row>
    <row r="51" spans="15:15" x14ac:dyDescent="0.25">
      <c r="O51" s="498"/>
    </row>
    <row r="52" spans="15:15" x14ac:dyDescent="0.25">
      <c r="O52" s="498"/>
    </row>
    <row r="53" spans="15:15" x14ac:dyDescent="0.25">
      <c r="O53" s="498"/>
    </row>
    <row r="54" spans="15:15" x14ac:dyDescent="0.25">
      <c r="O54" s="498"/>
    </row>
    <row r="55" spans="15:15" x14ac:dyDescent="0.25">
      <c r="O55" s="498"/>
    </row>
    <row r="56" spans="15:15" x14ac:dyDescent="0.25">
      <c r="O56" s="498"/>
    </row>
    <row r="57" spans="15:15" x14ac:dyDescent="0.25">
      <c r="O57" s="498"/>
    </row>
    <row r="58" spans="15:15" x14ac:dyDescent="0.25">
      <c r="O58" s="498"/>
    </row>
    <row r="59" spans="15:15" x14ac:dyDescent="0.25">
      <c r="O59" s="498"/>
    </row>
    <row r="60" spans="15:15" x14ac:dyDescent="0.25">
      <c r="O60" s="498"/>
    </row>
    <row r="61" spans="15:15" x14ac:dyDescent="0.25">
      <c r="O61" s="498"/>
    </row>
    <row r="62" spans="15:15" x14ac:dyDescent="0.25">
      <c r="O62" s="498"/>
    </row>
    <row r="63" spans="15:15" x14ac:dyDescent="0.25">
      <c r="O63" s="498"/>
    </row>
    <row r="64" spans="15:15" x14ac:dyDescent="0.25">
      <c r="O64" s="498"/>
    </row>
    <row r="65" spans="15:15" x14ac:dyDescent="0.25">
      <c r="O65" s="498"/>
    </row>
    <row r="66" spans="15:15" x14ac:dyDescent="0.25">
      <c r="O66" s="498"/>
    </row>
    <row r="67" spans="15:15" x14ac:dyDescent="0.25">
      <c r="O67" s="498"/>
    </row>
    <row r="68" spans="15:15" x14ac:dyDescent="0.25">
      <c r="O68" s="498"/>
    </row>
    <row r="69" spans="15:15" x14ac:dyDescent="0.25">
      <c r="O69" s="498"/>
    </row>
    <row r="70" spans="15:15" x14ac:dyDescent="0.25">
      <c r="O70" s="498"/>
    </row>
    <row r="71" spans="15:15" x14ac:dyDescent="0.25">
      <c r="O71" s="498"/>
    </row>
    <row r="72" spans="15:15" x14ac:dyDescent="0.25">
      <c r="O72" s="498"/>
    </row>
    <row r="73" spans="15:15" x14ac:dyDescent="0.25">
      <c r="O73" s="498"/>
    </row>
    <row r="74" spans="15:15" x14ac:dyDescent="0.25">
      <c r="O74" s="498"/>
    </row>
    <row r="75" spans="15:15" x14ac:dyDescent="0.25">
      <c r="O75" s="498"/>
    </row>
    <row r="76" spans="15:15" x14ac:dyDescent="0.25">
      <c r="O76" s="498"/>
    </row>
    <row r="77" spans="15:15" x14ac:dyDescent="0.25">
      <c r="O77" s="498"/>
    </row>
    <row r="78" spans="15:15" x14ac:dyDescent="0.25">
      <c r="O78" s="498"/>
    </row>
    <row r="79" spans="15:15" x14ac:dyDescent="0.25">
      <c r="O79" s="498"/>
    </row>
    <row r="80" spans="15:15" x14ac:dyDescent="0.25">
      <c r="O80" s="498"/>
    </row>
    <row r="81" spans="15:15" x14ac:dyDescent="0.25">
      <c r="O81" s="498"/>
    </row>
    <row r="82" spans="15:15" x14ac:dyDescent="0.25">
      <c r="O82" s="498"/>
    </row>
    <row r="83" spans="15:15" x14ac:dyDescent="0.25">
      <c r="O83" s="498"/>
    </row>
    <row r="84" spans="15:15" x14ac:dyDescent="0.25">
      <c r="O84" s="498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7"/>
  <sheetViews>
    <sheetView zoomScale="115" zoomScaleNormal="115" zoomScaleSheetLayoutView="100" workbookViewId="0">
      <selection activeCell="B9" sqref="B9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180" customWidth="1"/>
    <col min="4" max="16384" width="9.33203125" style="190"/>
  </cols>
  <sheetData>
    <row r="1" spans="1:3" s="849" customFormat="1" x14ac:dyDescent="0.25">
      <c r="A1" s="1448" t="str">
        <f>CONCATENATE("4. melléklet"," ",ALAPADATOK!A7," ",ALAPADATOK!B7," ",ALAPADATOK!C7," ",ALAPADATOK!D7," ",ALAPADATOK!E7," ",ALAPADATOK!F7," ",ALAPADATOK!G7," ",ALAPADATOK!H7)</f>
        <v>4. melléklet a 21 / 2020. ( IX.25. ) önkormányzati rendelethez</v>
      </c>
      <c r="B1" s="1448"/>
      <c r="C1" s="1448"/>
    </row>
    <row r="2" spans="1:3" s="1078" customFormat="1" x14ac:dyDescent="0.25">
      <c r="A2" s="904"/>
      <c r="B2" s="904"/>
      <c r="C2" s="904"/>
    </row>
    <row r="3" spans="1:3" s="849" customFormat="1" x14ac:dyDescent="0.25">
      <c r="A3" s="1441" t="str">
        <f>CONCATENATE(ALAPADATOK!A3)</f>
        <v>Tiszavasvári Város Önkormányzat</v>
      </c>
      <c r="B3" s="1441"/>
      <c r="C3" s="1441"/>
    </row>
    <row r="4" spans="1:3" s="849" customFormat="1" x14ac:dyDescent="0.25">
      <c r="A4" s="1442" t="str">
        <f>CONCATENATE(ALAPADATOK!D7," ÉVI KÖLTSÉGVETÉS")</f>
        <v>2020. ÉVI KÖLTSÉGVETÉS</v>
      </c>
      <c r="B4" s="1442"/>
      <c r="C4" s="1442"/>
    </row>
    <row r="5" spans="1:3" s="849" customFormat="1" x14ac:dyDescent="0.25">
      <c r="A5" s="1442" t="s">
        <v>895</v>
      </c>
      <c r="B5" s="1442"/>
      <c r="C5" s="1442"/>
    </row>
    <row r="6" spans="1:3" s="849" customFormat="1" x14ac:dyDescent="0.25">
      <c r="A6" s="848"/>
      <c r="B6" s="848"/>
      <c r="C6" s="180"/>
    </row>
    <row r="7" spans="1:3" ht="15.95" customHeight="1" x14ac:dyDescent="0.25">
      <c r="A7" s="1445" t="s">
        <v>18</v>
      </c>
      <c r="B7" s="1445"/>
      <c r="C7" s="1445"/>
    </row>
    <row r="8" spans="1:3" ht="15.95" customHeight="1" thickBot="1" x14ac:dyDescent="0.3">
      <c r="A8" s="1444" t="s">
        <v>129</v>
      </c>
      <c r="B8" s="1444"/>
      <c r="C8" s="126" t="s">
        <v>555</v>
      </c>
    </row>
    <row r="9" spans="1:3" ht="38.1" customHeight="1" thickBot="1" x14ac:dyDescent="0.3">
      <c r="A9" s="20" t="s">
        <v>72</v>
      </c>
      <c r="B9" s="21" t="s">
        <v>20</v>
      </c>
      <c r="C9" s="29" t="s">
        <v>787</v>
      </c>
    </row>
    <row r="10" spans="1:3" s="191" customFormat="1" ht="12" customHeight="1" thickBot="1" x14ac:dyDescent="0.25">
      <c r="A10" s="185" t="s">
        <v>447</v>
      </c>
      <c r="B10" s="1238" t="s">
        <v>448</v>
      </c>
      <c r="C10" s="187" t="s">
        <v>449</v>
      </c>
    </row>
    <row r="11" spans="1:3" s="192" customFormat="1" ht="12" customHeight="1" thickBot="1" x14ac:dyDescent="0.25">
      <c r="A11" s="17" t="s">
        <v>21</v>
      </c>
      <c r="B11" s="18" t="s">
        <v>195</v>
      </c>
      <c r="C11" s="117">
        <f>+C12+C13+C14+C17+C18+C19</f>
        <v>0</v>
      </c>
    </row>
    <row r="12" spans="1:3" s="192" customFormat="1" ht="12" customHeight="1" x14ac:dyDescent="0.2">
      <c r="A12" s="12" t="s">
        <v>100</v>
      </c>
      <c r="B12" s="193" t="s">
        <v>196</v>
      </c>
      <c r="C12" s="119"/>
    </row>
    <row r="13" spans="1:3" s="192" customFormat="1" ht="12" customHeight="1" x14ac:dyDescent="0.2">
      <c r="A13" s="11" t="s">
        <v>101</v>
      </c>
      <c r="B13" s="194" t="s">
        <v>197</v>
      </c>
      <c r="C13" s="118"/>
    </row>
    <row r="14" spans="1:3" s="192" customFormat="1" ht="12" customHeight="1" x14ac:dyDescent="0.2">
      <c r="A14" s="11" t="s">
        <v>102</v>
      </c>
      <c r="B14" s="194" t="s">
        <v>999</v>
      </c>
      <c r="C14" s="118"/>
    </row>
    <row r="15" spans="1:3" s="192" customFormat="1" ht="12" customHeight="1" x14ac:dyDescent="0.2">
      <c r="A15" s="11" t="s">
        <v>997</v>
      </c>
      <c r="B15" s="194" t="s">
        <v>1000</v>
      </c>
      <c r="C15" s="118"/>
    </row>
    <row r="16" spans="1:3" s="192" customFormat="1" ht="12" customHeight="1" x14ac:dyDescent="0.2">
      <c r="A16" s="11" t="s">
        <v>998</v>
      </c>
      <c r="B16" s="194" t="s">
        <v>1001</v>
      </c>
      <c r="C16" s="118"/>
    </row>
    <row r="17" spans="1:3" s="192" customFormat="1" ht="12" customHeight="1" x14ac:dyDescent="0.2">
      <c r="A17" s="11" t="s">
        <v>103</v>
      </c>
      <c r="B17" s="194" t="s">
        <v>199</v>
      </c>
      <c r="C17" s="118"/>
    </row>
    <row r="18" spans="1:3" s="192" customFormat="1" ht="12" customHeight="1" x14ac:dyDescent="0.2">
      <c r="A18" s="11" t="s">
        <v>126</v>
      </c>
      <c r="B18" s="113" t="s">
        <v>450</v>
      </c>
      <c r="C18" s="118"/>
    </row>
    <row r="19" spans="1:3" s="192" customFormat="1" ht="12" customHeight="1" thickBot="1" x14ac:dyDescent="0.25">
      <c r="A19" s="13" t="s">
        <v>104</v>
      </c>
      <c r="B19" s="114" t="s">
        <v>451</v>
      </c>
      <c r="C19" s="118"/>
    </row>
    <row r="20" spans="1:3" s="192" customFormat="1" ht="12" customHeight="1" thickBot="1" x14ac:dyDescent="0.25">
      <c r="A20" s="17" t="s">
        <v>22</v>
      </c>
      <c r="B20" s="112" t="s">
        <v>200</v>
      </c>
      <c r="C20" s="117">
        <f>+C21+C22+C23+C24+C25</f>
        <v>0</v>
      </c>
    </row>
    <row r="21" spans="1:3" s="192" customFormat="1" ht="12" customHeight="1" x14ac:dyDescent="0.2">
      <c r="A21" s="12" t="s">
        <v>106</v>
      </c>
      <c r="B21" s="193" t="s">
        <v>201</v>
      </c>
      <c r="C21" s="119"/>
    </row>
    <row r="22" spans="1:3" s="192" customFormat="1" ht="12" customHeight="1" x14ac:dyDescent="0.2">
      <c r="A22" s="11" t="s">
        <v>107</v>
      </c>
      <c r="B22" s="194" t="s">
        <v>202</v>
      </c>
      <c r="C22" s="118"/>
    </row>
    <row r="23" spans="1:3" s="192" customFormat="1" ht="12" customHeight="1" x14ac:dyDescent="0.2">
      <c r="A23" s="11" t="s">
        <v>108</v>
      </c>
      <c r="B23" s="194" t="s">
        <v>370</v>
      </c>
      <c r="C23" s="118"/>
    </row>
    <row r="24" spans="1:3" s="192" customFormat="1" ht="12" customHeight="1" x14ac:dyDescent="0.2">
      <c r="A24" s="11" t="s">
        <v>109</v>
      </c>
      <c r="B24" s="194" t="s">
        <v>371</v>
      </c>
      <c r="C24" s="118"/>
    </row>
    <row r="25" spans="1:3" s="192" customFormat="1" ht="12" customHeight="1" x14ac:dyDescent="0.2">
      <c r="A25" s="11" t="s">
        <v>110</v>
      </c>
      <c r="B25" s="194" t="s">
        <v>203</v>
      </c>
      <c r="C25" s="118"/>
    </row>
    <row r="26" spans="1:3" s="192" customFormat="1" ht="12" customHeight="1" thickBot="1" x14ac:dyDescent="0.25">
      <c r="A26" s="13" t="s">
        <v>119</v>
      </c>
      <c r="B26" s="114" t="s">
        <v>204</v>
      </c>
      <c r="C26" s="120"/>
    </row>
    <row r="27" spans="1:3" s="192" customFormat="1" ht="12" customHeight="1" thickBot="1" x14ac:dyDescent="0.25">
      <c r="A27" s="17" t="s">
        <v>23</v>
      </c>
      <c r="B27" s="18" t="s">
        <v>205</v>
      </c>
      <c r="C27" s="117">
        <f>+C28+C29+C30+C31+C32</f>
        <v>0</v>
      </c>
    </row>
    <row r="28" spans="1:3" s="192" customFormat="1" ht="12" customHeight="1" x14ac:dyDescent="0.2">
      <c r="A28" s="12" t="s">
        <v>89</v>
      </c>
      <c r="B28" s="193" t="s">
        <v>206</v>
      </c>
      <c r="C28" s="119"/>
    </row>
    <row r="29" spans="1:3" s="192" customFormat="1" ht="12" customHeight="1" x14ac:dyDescent="0.2">
      <c r="A29" s="11" t="s">
        <v>90</v>
      </c>
      <c r="B29" s="194" t="s">
        <v>207</v>
      </c>
      <c r="C29" s="118"/>
    </row>
    <row r="30" spans="1:3" s="192" customFormat="1" ht="12" customHeight="1" x14ac:dyDescent="0.2">
      <c r="A30" s="11" t="s">
        <v>91</v>
      </c>
      <c r="B30" s="194" t="s">
        <v>372</v>
      </c>
      <c r="C30" s="118"/>
    </row>
    <row r="31" spans="1:3" s="192" customFormat="1" ht="12" customHeight="1" x14ac:dyDescent="0.2">
      <c r="A31" s="11" t="s">
        <v>92</v>
      </c>
      <c r="B31" s="194" t="s">
        <v>373</v>
      </c>
      <c r="C31" s="118"/>
    </row>
    <row r="32" spans="1:3" s="192" customFormat="1" ht="12" customHeight="1" x14ac:dyDescent="0.2">
      <c r="A32" s="11" t="s">
        <v>137</v>
      </c>
      <c r="B32" s="194" t="s">
        <v>208</v>
      </c>
      <c r="C32" s="118"/>
    </row>
    <row r="33" spans="1:3" s="192" customFormat="1" ht="12" customHeight="1" thickBot="1" x14ac:dyDescent="0.25">
      <c r="A33" s="13" t="s">
        <v>138</v>
      </c>
      <c r="B33" s="195" t="s">
        <v>209</v>
      </c>
      <c r="C33" s="120"/>
    </row>
    <row r="34" spans="1:3" s="192" customFormat="1" ht="12" customHeight="1" thickBot="1" x14ac:dyDescent="0.25">
      <c r="A34" s="17" t="s">
        <v>139</v>
      </c>
      <c r="B34" s="18" t="s">
        <v>656</v>
      </c>
      <c r="C34" s="122">
        <f>+C35+C39+C40+C41</f>
        <v>0</v>
      </c>
    </row>
    <row r="35" spans="1:3" s="192" customFormat="1" ht="12" customHeight="1" x14ac:dyDescent="0.2">
      <c r="A35" s="12" t="s">
        <v>211</v>
      </c>
      <c r="B35" s="193" t="s">
        <v>652</v>
      </c>
      <c r="C35" s="188">
        <f>C36+C37</f>
        <v>0</v>
      </c>
    </row>
    <row r="36" spans="1:3" s="192" customFormat="1" ht="12" customHeight="1" x14ac:dyDescent="0.2">
      <c r="A36" s="11" t="s">
        <v>212</v>
      </c>
      <c r="B36" s="194" t="s">
        <v>217</v>
      </c>
      <c r="C36" s="118"/>
    </row>
    <row r="37" spans="1:3" s="192" customFormat="1" ht="12" customHeight="1" x14ac:dyDescent="0.2">
      <c r="A37" s="11" t="s">
        <v>213</v>
      </c>
      <c r="B37" s="251" t="s">
        <v>651</v>
      </c>
      <c r="C37" s="118"/>
    </row>
    <row r="38" spans="1:3" s="192" customFormat="1" ht="12" customHeight="1" x14ac:dyDescent="0.2">
      <c r="A38" s="11" t="s">
        <v>214</v>
      </c>
      <c r="B38" s="194" t="s">
        <v>538</v>
      </c>
      <c r="C38" s="118"/>
    </row>
    <row r="39" spans="1:3" s="192" customFormat="1" ht="12" customHeight="1" x14ac:dyDescent="0.2">
      <c r="A39" s="11" t="s">
        <v>539</v>
      </c>
      <c r="B39" s="194" t="s">
        <v>218</v>
      </c>
      <c r="C39" s="118"/>
    </row>
    <row r="40" spans="1:3" s="192" customFormat="1" ht="12" customHeight="1" x14ac:dyDescent="0.2">
      <c r="A40" s="11" t="s">
        <v>216</v>
      </c>
      <c r="B40" s="194" t="s">
        <v>219</v>
      </c>
      <c r="C40" s="118"/>
    </row>
    <row r="41" spans="1:3" s="192" customFormat="1" ht="12" customHeight="1" thickBot="1" x14ac:dyDescent="0.25">
      <c r="A41" s="13" t="s">
        <v>540</v>
      </c>
      <c r="B41" s="195" t="s">
        <v>220</v>
      </c>
      <c r="C41" s="120"/>
    </row>
    <row r="42" spans="1:3" s="192" customFormat="1" ht="12" customHeight="1" thickBot="1" x14ac:dyDescent="0.25">
      <c r="A42" s="17" t="s">
        <v>25</v>
      </c>
      <c r="B42" s="18" t="s">
        <v>452</v>
      </c>
      <c r="C42" s="117">
        <f>SUM(C43:C53)</f>
        <v>6925000</v>
      </c>
    </row>
    <row r="43" spans="1:3" s="192" customFormat="1" ht="12" customHeight="1" x14ac:dyDescent="0.2">
      <c r="A43" s="12" t="s">
        <v>93</v>
      </c>
      <c r="B43" s="193" t="s">
        <v>223</v>
      </c>
      <c r="C43" s="119"/>
    </row>
    <row r="44" spans="1:3" s="192" customFormat="1" ht="12" customHeight="1" x14ac:dyDescent="0.2">
      <c r="A44" s="11" t="s">
        <v>94</v>
      </c>
      <c r="B44" s="194" t="s">
        <v>224</v>
      </c>
      <c r="C44" s="121">
        <f>5000000</f>
        <v>5000000</v>
      </c>
    </row>
    <row r="45" spans="1:3" s="192" customFormat="1" ht="12" customHeight="1" x14ac:dyDescent="0.2">
      <c r="A45" s="11" t="s">
        <v>95</v>
      </c>
      <c r="B45" s="194" t="s">
        <v>225</v>
      </c>
      <c r="C45" s="121">
        <f>200000</f>
        <v>200000</v>
      </c>
    </row>
    <row r="46" spans="1:3" s="192" customFormat="1" ht="12" customHeight="1" x14ac:dyDescent="0.2">
      <c r="A46" s="11" t="s">
        <v>141</v>
      </c>
      <c r="B46" s="194" t="s">
        <v>226</v>
      </c>
      <c r="C46" s="121"/>
    </row>
    <row r="47" spans="1:3" s="192" customFormat="1" ht="12" customHeight="1" x14ac:dyDescent="0.2">
      <c r="A47" s="11" t="s">
        <v>142</v>
      </c>
      <c r="B47" s="194" t="s">
        <v>227</v>
      </c>
      <c r="C47" s="121"/>
    </row>
    <row r="48" spans="1:3" s="192" customFormat="1" ht="12" customHeight="1" x14ac:dyDescent="0.2">
      <c r="A48" s="11" t="s">
        <v>143</v>
      </c>
      <c r="B48" s="194" t="s">
        <v>228</v>
      </c>
      <c r="C48" s="121">
        <f>1485000</f>
        <v>1485000</v>
      </c>
    </row>
    <row r="49" spans="1:3" s="192" customFormat="1" ht="12" customHeight="1" x14ac:dyDescent="0.2">
      <c r="A49" s="11" t="s">
        <v>144</v>
      </c>
      <c r="B49" s="194" t="s">
        <v>229</v>
      </c>
      <c r="C49" s="121"/>
    </row>
    <row r="50" spans="1:3" s="192" customFormat="1" ht="12" customHeight="1" x14ac:dyDescent="0.2">
      <c r="A50" s="11" t="s">
        <v>145</v>
      </c>
      <c r="B50" s="194" t="s">
        <v>544</v>
      </c>
      <c r="C50" s="121"/>
    </row>
    <row r="51" spans="1:3" s="192" customFormat="1" ht="12" customHeight="1" x14ac:dyDescent="0.2">
      <c r="A51" s="11" t="s">
        <v>221</v>
      </c>
      <c r="B51" s="194" t="s">
        <v>231</v>
      </c>
      <c r="C51" s="121"/>
    </row>
    <row r="52" spans="1:3" s="192" customFormat="1" ht="12" customHeight="1" x14ac:dyDescent="0.2">
      <c r="A52" s="13" t="s">
        <v>222</v>
      </c>
      <c r="B52" s="195" t="s">
        <v>453</v>
      </c>
      <c r="C52" s="182"/>
    </row>
    <row r="53" spans="1:3" s="192" customFormat="1" ht="12" customHeight="1" thickBot="1" x14ac:dyDescent="0.25">
      <c r="A53" s="13" t="s">
        <v>454</v>
      </c>
      <c r="B53" s="114" t="s">
        <v>232</v>
      </c>
      <c r="C53" s="182">
        <f>240000</f>
        <v>240000</v>
      </c>
    </row>
    <row r="54" spans="1:3" s="192" customFormat="1" ht="12" customHeight="1" thickBot="1" x14ac:dyDescent="0.25">
      <c r="A54" s="17" t="s">
        <v>26</v>
      </c>
      <c r="B54" s="18" t="s">
        <v>233</v>
      </c>
      <c r="C54" s="117">
        <f>SUM(C55:C59)</f>
        <v>300000</v>
      </c>
    </row>
    <row r="55" spans="1:3" s="192" customFormat="1" ht="12" customHeight="1" x14ac:dyDescent="0.2">
      <c r="A55" s="12" t="s">
        <v>96</v>
      </c>
      <c r="B55" s="193" t="s">
        <v>237</v>
      </c>
      <c r="C55" s="231"/>
    </row>
    <row r="56" spans="1:3" s="192" customFormat="1" ht="12" customHeight="1" x14ac:dyDescent="0.2">
      <c r="A56" s="11" t="s">
        <v>97</v>
      </c>
      <c r="B56" s="194" t="s">
        <v>238</v>
      </c>
      <c r="C56" s="121"/>
    </row>
    <row r="57" spans="1:3" s="192" customFormat="1" ht="12" customHeight="1" x14ac:dyDescent="0.2">
      <c r="A57" s="11" t="s">
        <v>234</v>
      </c>
      <c r="B57" s="194" t="s">
        <v>239</v>
      </c>
      <c r="C57" s="121">
        <f>300000</f>
        <v>300000</v>
      </c>
    </row>
    <row r="58" spans="1:3" s="192" customFormat="1" ht="12" customHeight="1" x14ac:dyDescent="0.2">
      <c r="A58" s="11" t="s">
        <v>235</v>
      </c>
      <c r="B58" s="194" t="s">
        <v>240</v>
      </c>
      <c r="C58" s="121"/>
    </row>
    <row r="59" spans="1:3" s="192" customFormat="1" ht="12" customHeight="1" thickBot="1" x14ac:dyDescent="0.25">
      <c r="A59" s="13" t="s">
        <v>236</v>
      </c>
      <c r="B59" s="114" t="s">
        <v>241</v>
      </c>
      <c r="C59" s="182"/>
    </row>
    <row r="60" spans="1:3" s="192" customFormat="1" ht="12" customHeight="1" thickBot="1" x14ac:dyDescent="0.25">
      <c r="A60" s="17" t="s">
        <v>146</v>
      </c>
      <c r="B60" s="18" t="s">
        <v>242</v>
      </c>
      <c r="C60" s="117">
        <f>SUM(C61:C63)</f>
        <v>0</v>
      </c>
    </row>
    <row r="61" spans="1:3" s="192" customFormat="1" ht="12" customHeight="1" x14ac:dyDescent="0.2">
      <c r="A61" s="12" t="s">
        <v>98</v>
      </c>
      <c r="B61" s="193" t="s">
        <v>243</v>
      </c>
      <c r="C61" s="119"/>
    </row>
    <row r="62" spans="1:3" s="192" customFormat="1" ht="12" customHeight="1" x14ac:dyDescent="0.2">
      <c r="A62" s="11" t="s">
        <v>99</v>
      </c>
      <c r="B62" s="194" t="s">
        <v>374</v>
      </c>
      <c r="C62" s="118"/>
    </row>
    <row r="63" spans="1:3" s="192" customFormat="1" ht="12" customHeight="1" x14ac:dyDescent="0.2">
      <c r="A63" s="11" t="s">
        <v>246</v>
      </c>
      <c r="B63" s="194" t="s">
        <v>244</v>
      </c>
      <c r="C63" s="118"/>
    </row>
    <row r="64" spans="1:3" s="192" customFormat="1" ht="12" customHeight="1" thickBot="1" x14ac:dyDescent="0.25">
      <c r="A64" s="13" t="s">
        <v>247</v>
      </c>
      <c r="B64" s="114" t="s">
        <v>245</v>
      </c>
      <c r="C64" s="120"/>
    </row>
    <row r="65" spans="1:3" s="192" customFormat="1" ht="12" customHeight="1" thickBot="1" x14ac:dyDescent="0.25">
      <c r="A65" s="17" t="s">
        <v>28</v>
      </c>
      <c r="B65" s="112" t="s">
        <v>248</v>
      </c>
      <c r="C65" s="117">
        <f>SUM(C66:C68)</f>
        <v>0</v>
      </c>
    </row>
    <row r="66" spans="1:3" s="192" customFormat="1" ht="12" customHeight="1" x14ac:dyDescent="0.2">
      <c r="A66" s="12" t="s">
        <v>147</v>
      </c>
      <c r="B66" s="193" t="s">
        <v>250</v>
      </c>
      <c r="C66" s="121"/>
    </row>
    <row r="67" spans="1:3" s="192" customFormat="1" ht="12" customHeight="1" x14ac:dyDescent="0.2">
      <c r="A67" s="11" t="s">
        <v>148</v>
      </c>
      <c r="B67" s="194" t="s">
        <v>375</v>
      </c>
      <c r="C67" s="121"/>
    </row>
    <row r="68" spans="1:3" s="192" customFormat="1" ht="12" customHeight="1" x14ac:dyDescent="0.2">
      <c r="A68" s="11" t="s">
        <v>174</v>
      </c>
      <c r="B68" s="194" t="s">
        <v>251</v>
      </c>
      <c r="C68" s="121"/>
    </row>
    <row r="69" spans="1:3" s="192" customFormat="1" ht="12" customHeight="1" thickBot="1" x14ac:dyDescent="0.25">
      <c r="A69" s="13" t="s">
        <v>249</v>
      </c>
      <c r="B69" s="114" t="s">
        <v>252</v>
      </c>
      <c r="C69" s="121"/>
    </row>
    <row r="70" spans="1:3" s="192" customFormat="1" ht="12" customHeight="1" thickBot="1" x14ac:dyDescent="0.25">
      <c r="A70" s="252" t="s">
        <v>455</v>
      </c>
      <c r="B70" s="18" t="s">
        <v>253</v>
      </c>
      <c r="C70" s="122">
        <f>+C11+C20+C27+C34+C42+C54+C60+C65</f>
        <v>7225000</v>
      </c>
    </row>
    <row r="71" spans="1:3" s="192" customFormat="1" ht="12" customHeight="1" thickBot="1" x14ac:dyDescent="0.25">
      <c r="A71" s="253" t="s">
        <v>254</v>
      </c>
      <c r="B71" s="112" t="s">
        <v>255</v>
      </c>
      <c r="C71" s="117">
        <f>SUM(C72:C74)</f>
        <v>0</v>
      </c>
    </row>
    <row r="72" spans="1:3" s="192" customFormat="1" ht="12" customHeight="1" x14ac:dyDescent="0.2">
      <c r="A72" s="12" t="s">
        <v>286</v>
      </c>
      <c r="B72" s="193" t="s">
        <v>256</v>
      </c>
      <c r="C72" s="121"/>
    </row>
    <row r="73" spans="1:3" s="192" customFormat="1" ht="12" customHeight="1" x14ac:dyDescent="0.2">
      <c r="A73" s="11" t="s">
        <v>295</v>
      </c>
      <c r="B73" s="194" t="s">
        <v>257</v>
      </c>
      <c r="C73" s="121"/>
    </row>
    <row r="74" spans="1:3" s="192" customFormat="1" ht="12" customHeight="1" thickBot="1" x14ac:dyDescent="0.25">
      <c r="A74" s="13" t="s">
        <v>296</v>
      </c>
      <c r="B74" s="254" t="s">
        <v>456</v>
      </c>
      <c r="C74" s="121"/>
    </row>
    <row r="75" spans="1:3" s="192" customFormat="1" ht="12" customHeight="1" thickBot="1" x14ac:dyDescent="0.25">
      <c r="A75" s="253" t="s">
        <v>259</v>
      </c>
      <c r="B75" s="112" t="s">
        <v>260</v>
      </c>
      <c r="C75" s="117">
        <f>SUM(C76:C79)</f>
        <v>0</v>
      </c>
    </row>
    <row r="76" spans="1:3" s="192" customFormat="1" ht="12" customHeight="1" x14ac:dyDescent="0.2">
      <c r="A76" s="12" t="s">
        <v>127</v>
      </c>
      <c r="B76" s="193" t="s">
        <v>261</v>
      </c>
      <c r="C76" s="121"/>
    </row>
    <row r="77" spans="1:3" s="192" customFormat="1" ht="12" customHeight="1" x14ac:dyDescent="0.2">
      <c r="A77" s="11" t="s">
        <v>128</v>
      </c>
      <c r="B77" s="194" t="s">
        <v>262</v>
      </c>
      <c r="C77" s="121"/>
    </row>
    <row r="78" spans="1:3" s="192" customFormat="1" ht="12" customHeight="1" x14ac:dyDescent="0.2">
      <c r="A78" s="11" t="s">
        <v>287</v>
      </c>
      <c r="B78" s="194" t="s">
        <v>263</v>
      </c>
      <c r="C78" s="121"/>
    </row>
    <row r="79" spans="1:3" s="192" customFormat="1" ht="12" customHeight="1" thickBot="1" x14ac:dyDescent="0.25">
      <c r="A79" s="13" t="s">
        <v>288</v>
      </c>
      <c r="B79" s="114" t="s">
        <v>264</v>
      </c>
      <c r="C79" s="121"/>
    </row>
    <row r="80" spans="1:3" s="192" customFormat="1" ht="12" customHeight="1" thickBot="1" x14ac:dyDescent="0.25">
      <c r="A80" s="253" t="s">
        <v>265</v>
      </c>
      <c r="B80" s="112" t="s">
        <v>266</v>
      </c>
      <c r="C80" s="117">
        <f>SUM(C81:C82)</f>
        <v>0</v>
      </c>
    </row>
    <row r="81" spans="1:3" s="192" customFormat="1" ht="12" customHeight="1" x14ac:dyDescent="0.2">
      <c r="A81" s="12" t="s">
        <v>289</v>
      </c>
      <c r="B81" s="193" t="s">
        <v>267</v>
      </c>
      <c r="C81" s="121"/>
    </row>
    <row r="82" spans="1:3" s="192" customFormat="1" ht="12" customHeight="1" thickBot="1" x14ac:dyDescent="0.25">
      <c r="A82" s="13" t="s">
        <v>290</v>
      </c>
      <c r="B82" s="114" t="s">
        <v>268</v>
      </c>
      <c r="C82" s="121"/>
    </row>
    <row r="83" spans="1:3" s="192" customFormat="1" ht="12" customHeight="1" thickBot="1" x14ac:dyDescent="0.25">
      <c r="A83" s="253" t="s">
        <v>269</v>
      </c>
      <c r="B83" s="112" t="s">
        <v>270</v>
      </c>
      <c r="C83" s="117">
        <f>SUM(C84:C86)</f>
        <v>0</v>
      </c>
    </row>
    <row r="84" spans="1:3" s="192" customFormat="1" ht="12" customHeight="1" x14ac:dyDescent="0.2">
      <c r="A84" s="12" t="s">
        <v>291</v>
      </c>
      <c r="B84" s="193" t="s">
        <v>271</v>
      </c>
      <c r="C84" s="121"/>
    </row>
    <row r="85" spans="1:3" s="192" customFormat="1" ht="12" customHeight="1" x14ac:dyDescent="0.2">
      <c r="A85" s="11" t="s">
        <v>292</v>
      </c>
      <c r="B85" s="194" t="s">
        <v>272</v>
      </c>
      <c r="C85" s="121"/>
    </row>
    <row r="86" spans="1:3" s="192" customFormat="1" ht="12" customHeight="1" thickBot="1" x14ac:dyDescent="0.25">
      <c r="A86" s="13" t="s">
        <v>293</v>
      </c>
      <c r="B86" s="114" t="s">
        <v>273</v>
      </c>
      <c r="C86" s="121"/>
    </row>
    <row r="87" spans="1:3" s="192" customFormat="1" ht="12" customHeight="1" thickBot="1" x14ac:dyDescent="0.25">
      <c r="A87" s="253" t="s">
        <v>274</v>
      </c>
      <c r="B87" s="112" t="s">
        <v>294</v>
      </c>
      <c r="C87" s="117">
        <f>SUM(C88:C91)</f>
        <v>0</v>
      </c>
    </row>
    <row r="88" spans="1:3" s="192" customFormat="1" ht="12" customHeight="1" x14ac:dyDescent="0.2">
      <c r="A88" s="197" t="s">
        <v>275</v>
      </c>
      <c r="B88" s="193" t="s">
        <v>276</v>
      </c>
      <c r="C88" s="121"/>
    </row>
    <row r="89" spans="1:3" s="192" customFormat="1" ht="12" customHeight="1" x14ac:dyDescent="0.2">
      <c r="A89" s="198" t="s">
        <v>277</v>
      </c>
      <c r="B89" s="194" t="s">
        <v>278</v>
      </c>
      <c r="C89" s="121"/>
    </row>
    <row r="90" spans="1:3" s="192" customFormat="1" ht="12" customHeight="1" x14ac:dyDescent="0.2">
      <c r="A90" s="198" t="s">
        <v>279</v>
      </c>
      <c r="B90" s="194" t="s">
        <v>280</v>
      </c>
      <c r="C90" s="121"/>
    </row>
    <row r="91" spans="1:3" s="192" customFormat="1" ht="12" customHeight="1" thickBot="1" x14ac:dyDescent="0.25">
      <c r="A91" s="199" t="s">
        <v>281</v>
      </c>
      <c r="B91" s="114" t="s">
        <v>282</v>
      </c>
      <c r="C91" s="121"/>
    </row>
    <row r="92" spans="1:3" s="192" customFormat="1" ht="12" customHeight="1" thickBot="1" x14ac:dyDescent="0.25">
      <c r="A92" s="253" t="s">
        <v>283</v>
      </c>
      <c r="B92" s="112" t="s">
        <v>457</v>
      </c>
      <c r="C92" s="232"/>
    </row>
    <row r="93" spans="1:3" s="192" customFormat="1" ht="13.5" customHeight="1" thickBot="1" x14ac:dyDescent="0.25">
      <c r="A93" s="253" t="s">
        <v>285</v>
      </c>
      <c r="B93" s="112" t="s">
        <v>284</v>
      </c>
      <c r="C93" s="232"/>
    </row>
    <row r="94" spans="1:3" s="192" customFormat="1" ht="15.75" customHeight="1" thickBot="1" x14ac:dyDescent="0.25">
      <c r="A94" s="253" t="s">
        <v>297</v>
      </c>
      <c r="B94" s="200" t="s">
        <v>458</v>
      </c>
      <c r="C94" s="122">
        <f>+C71+C75+C80+C83+C87+C93+C92</f>
        <v>0</v>
      </c>
    </row>
    <row r="95" spans="1:3" s="192" customFormat="1" ht="16.5" customHeight="1" thickBot="1" x14ac:dyDescent="0.25">
      <c r="A95" s="255" t="s">
        <v>459</v>
      </c>
      <c r="B95" s="201" t="s">
        <v>460</v>
      </c>
      <c r="C95" s="122">
        <f>+C70+C94</f>
        <v>7225000</v>
      </c>
    </row>
    <row r="96" spans="1:3" s="192" customFormat="1" ht="54" customHeight="1" x14ac:dyDescent="0.2">
      <c r="A96" s="2"/>
      <c r="B96" s="3"/>
      <c r="C96" s="123"/>
    </row>
    <row r="97" spans="1:3" ht="16.5" customHeight="1" x14ac:dyDescent="0.25">
      <c r="A97" s="1445" t="s">
        <v>49</v>
      </c>
      <c r="B97" s="1445"/>
      <c r="C97" s="1445"/>
    </row>
    <row r="98" spans="1:3" s="202" customFormat="1" ht="16.5" customHeight="1" thickBot="1" x14ac:dyDescent="0.3">
      <c r="A98" s="1446" t="s">
        <v>130</v>
      </c>
      <c r="B98" s="1446"/>
      <c r="C98" s="59" t="s">
        <v>555</v>
      </c>
    </row>
    <row r="99" spans="1:3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3" s="191" customFormat="1" ht="12" customHeight="1" thickBot="1" x14ac:dyDescent="0.25">
      <c r="A100" s="25" t="s">
        <v>447</v>
      </c>
      <c r="B100" s="26" t="s">
        <v>448</v>
      </c>
      <c r="C100" s="27" t="s">
        <v>449</v>
      </c>
    </row>
    <row r="101" spans="1:3" ht="12" customHeight="1" thickBot="1" x14ac:dyDescent="0.3">
      <c r="A101" s="19" t="s">
        <v>21</v>
      </c>
      <c r="B101" s="23" t="s">
        <v>498</v>
      </c>
      <c r="C101" s="116">
        <f>C102+C103+C104+C105+C106+C119</f>
        <v>231852797</v>
      </c>
    </row>
    <row r="102" spans="1:3" ht="12" customHeight="1" x14ac:dyDescent="0.25">
      <c r="A102" s="14" t="s">
        <v>100</v>
      </c>
      <c r="B102" s="7" t="s">
        <v>51</v>
      </c>
      <c r="C102" s="1142">
        <f>160333055-1643792+926066</f>
        <v>159615329</v>
      </c>
    </row>
    <row r="103" spans="1:3" ht="12" customHeight="1" x14ac:dyDescent="0.25">
      <c r="A103" s="11" t="s">
        <v>101</v>
      </c>
      <c r="B103" s="5" t="s">
        <v>149</v>
      </c>
      <c r="C103" s="1213">
        <f>31982807-308003-556164</f>
        <v>31118640</v>
      </c>
    </row>
    <row r="104" spans="1:3" ht="12" customHeight="1" x14ac:dyDescent="0.25">
      <c r="A104" s="11" t="s">
        <v>102</v>
      </c>
      <c r="B104" s="5" t="s">
        <v>125</v>
      </c>
      <c r="C104" s="1172">
        <f>39911528+1207300</f>
        <v>41118828</v>
      </c>
    </row>
    <row r="105" spans="1:3" ht="12" customHeight="1" x14ac:dyDescent="0.25">
      <c r="A105" s="11" t="s">
        <v>103</v>
      </c>
      <c r="B105" s="8" t="s">
        <v>150</v>
      </c>
      <c r="C105" s="182"/>
    </row>
    <row r="106" spans="1:3" ht="12" customHeight="1" x14ac:dyDescent="0.25">
      <c r="A106" s="11" t="s">
        <v>114</v>
      </c>
      <c r="B106" s="16" t="s">
        <v>151</v>
      </c>
      <c r="C106" s="121">
        <f>SUM(C107:C118)</f>
        <v>0</v>
      </c>
    </row>
    <row r="107" spans="1:3" ht="12" customHeight="1" x14ac:dyDescent="0.25">
      <c r="A107" s="11" t="s">
        <v>104</v>
      </c>
      <c r="B107" s="5" t="s">
        <v>461</v>
      </c>
      <c r="C107" s="271"/>
    </row>
    <row r="108" spans="1:3" ht="12" customHeight="1" x14ac:dyDescent="0.25">
      <c r="A108" s="11" t="s">
        <v>105</v>
      </c>
      <c r="B108" s="63" t="s">
        <v>462</v>
      </c>
      <c r="C108" s="271"/>
    </row>
    <row r="109" spans="1:3" ht="12" customHeight="1" x14ac:dyDescent="0.25">
      <c r="A109" s="11" t="s">
        <v>115</v>
      </c>
      <c r="B109" s="63" t="s">
        <v>463</v>
      </c>
      <c r="C109" s="271"/>
    </row>
    <row r="110" spans="1:3" ht="12" customHeight="1" x14ac:dyDescent="0.25">
      <c r="A110" s="11" t="s">
        <v>116</v>
      </c>
      <c r="B110" s="61" t="s">
        <v>300</v>
      </c>
      <c r="C110" s="271"/>
    </row>
    <row r="111" spans="1:3" ht="12" customHeight="1" x14ac:dyDescent="0.25">
      <c r="A111" s="11" t="s">
        <v>117</v>
      </c>
      <c r="B111" s="62" t="s">
        <v>301</v>
      </c>
      <c r="C111" s="271"/>
    </row>
    <row r="112" spans="1:3" ht="12" customHeight="1" x14ac:dyDescent="0.25">
      <c r="A112" s="11" t="s">
        <v>118</v>
      </c>
      <c r="B112" s="62" t="s">
        <v>302</v>
      </c>
      <c r="C112" s="271"/>
    </row>
    <row r="113" spans="1:3" ht="12" customHeight="1" x14ac:dyDescent="0.25">
      <c r="A113" s="11" t="s">
        <v>120</v>
      </c>
      <c r="B113" s="61" t="s">
        <v>303</v>
      </c>
      <c r="C113" s="271"/>
    </row>
    <row r="114" spans="1:3" ht="12" customHeight="1" x14ac:dyDescent="0.25">
      <c r="A114" s="11" t="s">
        <v>152</v>
      </c>
      <c r="B114" s="61" t="s">
        <v>304</v>
      </c>
      <c r="C114" s="271"/>
    </row>
    <row r="115" spans="1:3" ht="12" customHeight="1" x14ac:dyDescent="0.25">
      <c r="A115" s="11" t="s">
        <v>298</v>
      </c>
      <c r="B115" s="62" t="s">
        <v>305</v>
      </c>
      <c r="C115" s="271"/>
    </row>
    <row r="116" spans="1:3" ht="12" customHeight="1" x14ac:dyDescent="0.25">
      <c r="A116" s="10" t="s">
        <v>299</v>
      </c>
      <c r="B116" s="63" t="s">
        <v>306</v>
      </c>
      <c r="C116" s="271"/>
    </row>
    <row r="117" spans="1:3" ht="12" customHeight="1" x14ac:dyDescent="0.25">
      <c r="A117" s="11" t="s">
        <v>464</v>
      </c>
      <c r="B117" s="63" t="s">
        <v>307</v>
      </c>
      <c r="C117" s="271"/>
    </row>
    <row r="118" spans="1:3" ht="12" customHeight="1" x14ac:dyDescent="0.25">
      <c r="A118" s="13" t="s">
        <v>465</v>
      </c>
      <c r="B118" s="63" t="s">
        <v>308</v>
      </c>
      <c r="C118" s="267"/>
    </row>
    <row r="119" spans="1:3" ht="12" customHeight="1" x14ac:dyDescent="0.25">
      <c r="A119" s="11" t="s">
        <v>466</v>
      </c>
      <c r="B119" s="8" t="s">
        <v>52</v>
      </c>
      <c r="C119" s="121">
        <f>C120+C121</f>
        <v>0</v>
      </c>
    </row>
    <row r="120" spans="1:3" ht="12" customHeight="1" x14ac:dyDescent="0.25">
      <c r="A120" s="11" t="s">
        <v>467</v>
      </c>
      <c r="B120" s="5" t="s">
        <v>468</v>
      </c>
      <c r="C120" s="118"/>
    </row>
    <row r="121" spans="1:3" ht="12" customHeight="1" thickBot="1" x14ac:dyDescent="0.3">
      <c r="A121" s="15" t="s">
        <v>469</v>
      </c>
      <c r="B121" s="256" t="s">
        <v>470</v>
      </c>
      <c r="C121" s="124"/>
    </row>
    <row r="122" spans="1:3" ht="12" customHeight="1" thickBot="1" x14ac:dyDescent="0.3">
      <c r="A122" s="257" t="s">
        <v>22</v>
      </c>
      <c r="B122" s="258" t="s">
        <v>309</v>
      </c>
      <c r="C122" s="259">
        <f>+C123+C125+C127</f>
        <v>4817400</v>
      </c>
    </row>
    <row r="123" spans="1:3" ht="12" customHeight="1" x14ac:dyDescent="0.25">
      <c r="A123" s="12" t="s">
        <v>106</v>
      </c>
      <c r="B123" s="5" t="s">
        <v>173</v>
      </c>
      <c r="C123" s="231">
        <v>4817400</v>
      </c>
    </row>
    <row r="124" spans="1:3" ht="12" customHeight="1" x14ac:dyDescent="0.25">
      <c r="A124" s="12" t="s">
        <v>107</v>
      </c>
      <c r="B124" s="9" t="s">
        <v>313</v>
      </c>
      <c r="C124" s="231"/>
    </row>
    <row r="125" spans="1:3" ht="12" customHeight="1" x14ac:dyDescent="0.25">
      <c r="A125" s="12" t="s">
        <v>108</v>
      </c>
      <c r="B125" s="9" t="s">
        <v>153</v>
      </c>
      <c r="C125" s="121"/>
    </row>
    <row r="126" spans="1:3" ht="12" customHeight="1" x14ac:dyDescent="0.25">
      <c r="A126" s="12" t="s">
        <v>109</v>
      </c>
      <c r="B126" s="9" t="s">
        <v>314</v>
      </c>
      <c r="C126" s="267"/>
    </row>
    <row r="127" spans="1:3" ht="12" customHeight="1" x14ac:dyDescent="0.25">
      <c r="A127" s="12" t="s">
        <v>110</v>
      </c>
      <c r="B127" s="114" t="s">
        <v>175</v>
      </c>
      <c r="C127" s="267">
        <f>SUM(C128:C135)</f>
        <v>0</v>
      </c>
    </row>
    <row r="128" spans="1:3" ht="12" customHeight="1" x14ac:dyDescent="0.25">
      <c r="A128" s="12" t="s">
        <v>119</v>
      </c>
      <c r="B128" s="113" t="s">
        <v>376</v>
      </c>
      <c r="C128" s="267"/>
    </row>
    <row r="129" spans="1:3" ht="12" customHeight="1" x14ac:dyDescent="0.25">
      <c r="A129" s="12" t="s">
        <v>121</v>
      </c>
      <c r="B129" s="189" t="s">
        <v>319</v>
      </c>
      <c r="C129" s="267"/>
    </row>
    <row r="130" spans="1:3" x14ac:dyDescent="0.25">
      <c r="A130" s="12" t="s">
        <v>154</v>
      </c>
      <c r="B130" s="62" t="s">
        <v>302</v>
      </c>
      <c r="C130" s="267"/>
    </row>
    <row r="131" spans="1:3" ht="12" customHeight="1" x14ac:dyDescent="0.25">
      <c r="A131" s="12" t="s">
        <v>155</v>
      </c>
      <c r="B131" s="62" t="s">
        <v>318</v>
      </c>
      <c r="C131" s="267"/>
    </row>
    <row r="132" spans="1:3" ht="12" customHeight="1" x14ac:dyDescent="0.25">
      <c r="A132" s="12" t="s">
        <v>156</v>
      </c>
      <c r="B132" s="62" t="s">
        <v>317</v>
      </c>
      <c r="C132" s="267"/>
    </row>
    <row r="133" spans="1:3" ht="12" customHeight="1" x14ac:dyDescent="0.25">
      <c r="A133" s="12" t="s">
        <v>310</v>
      </c>
      <c r="B133" s="62" t="s">
        <v>305</v>
      </c>
      <c r="C133" s="267"/>
    </row>
    <row r="134" spans="1:3" ht="12" customHeight="1" x14ac:dyDescent="0.25">
      <c r="A134" s="12" t="s">
        <v>311</v>
      </c>
      <c r="B134" s="62" t="s">
        <v>316</v>
      </c>
      <c r="C134" s="267"/>
    </row>
    <row r="135" spans="1:3" ht="16.5" thickBot="1" x14ac:dyDescent="0.3">
      <c r="A135" s="10" t="s">
        <v>312</v>
      </c>
      <c r="B135" s="62" t="s">
        <v>315</v>
      </c>
      <c r="C135" s="271"/>
    </row>
    <row r="136" spans="1:3" ht="12" customHeight="1" thickBot="1" x14ac:dyDescent="0.3">
      <c r="A136" s="17" t="s">
        <v>23</v>
      </c>
      <c r="B136" s="57" t="s">
        <v>471</v>
      </c>
      <c r="C136" s="117">
        <f>+C101+C122</f>
        <v>236670197</v>
      </c>
    </row>
    <row r="137" spans="1:3" ht="12" customHeight="1" thickBot="1" x14ac:dyDescent="0.3">
      <c r="A137" s="17" t="s">
        <v>24</v>
      </c>
      <c r="B137" s="57" t="s">
        <v>472</v>
      </c>
      <c r="C137" s="117">
        <f>+C138+C139+C140</f>
        <v>0</v>
      </c>
    </row>
    <row r="138" spans="1:3" ht="12" customHeight="1" x14ac:dyDescent="0.25">
      <c r="A138" s="12" t="s">
        <v>211</v>
      </c>
      <c r="B138" s="9" t="s">
        <v>473</v>
      </c>
      <c r="C138" s="106"/>
    </row>
    <row r="139" spans="1:3" ht="12" customHeight="1" x14ac:dyDescent="0.25">
      <c r="A139" s="12" t="s">
        <v>214</v>
      </c>
      <c r="B139" s="9" t="s">
        <v>474</v>
      </c>
      <c r="C139" s="106"/>
    </row>
    <row r="140" spans="1:3" ht="12" customHeight="1" thickBot="1" x14ac:dyDescent="0.3">
      <c r="A140" s="10" t="s">
        <v>215</v>
      </c>
      <c r="B140" s="9" t="s">
        <v>475</v>
      </c>
      <c r="C140" s="106"/>
    </row>
    <row r="141" spans="1:3" ht="12" customHeight="1" thickBot="1" x14ac:dyDescent="0.3">
      <c r="A141" s="17" t="s">
        <v>25</v>
      </c>
      <c r="B141" s="57" t="s">
        <v>476</v>
      </c>
      <c r="C141" s="117">
        <f>SUM(C142:C147)</f>
        <v>0</v>
      </c>
    </row>
    <row r="142" spans="1:3" ht="12" customHeight="1" x14ac:dyDescent="0.25">
      <c r="A142" s="12" t="s">
        <v>93</v>
      </c>
      <c r="B142" s="6" t="s">
        <v>477</v>
      </c>
      <c r="C142" s="106"/>
    </row>
    <row r="143" spans="1:3" ht="12" customHeight="1" x14ac:dyDescent="0.25">
      <c r="A143" s="12" t="s">
        <v>94</v>
      </c>
      <c r="B143" s="6" t="s">
        <v>478</v>
      </c>
      <c r="C143" s="106"/>
    </row>
    <row r="144" spans="1:3" ht="12" customHeight="1" x14ac:dyDescent="0.25">
      <c r="A144" s="12" t="s">
        <v>95</v>
      </c>
      <c r="B144" s="6" t="s">
        <v>479</v>
      </c>
      <c r="C144" s="106"/>
    </row>
    <row r="145" spans="1:3" ht="12" customHeight="1" x14ac:dyDescent="0.25">
      <c r="A145" s="12" t="s">
        <v>141</v>
      </c>
      <c r="B145" s="6" t="s">
        <v>480</v>
      </c>
      <c r="C145" s="106"/>
    </row>
    <row r="146" spans="1:3" ht="12" customHeight="1" x14ac:dyDescent="0.25">
      <c r="A146" s="12" t="s">
        <v>142</v>
      </c>
      <c r="B146" s="6" t="s">
        <v>481</v>
      </c>
      <c r="C146" s="106"/>
    </row>
    <row r="147" spans="1:3" ht="12" customHeight="1" thickBot="1" x14ac:dyDescent="0.3">
      <c r="A147" s="10" t="s">
        <v>143</v>
      </c>
      <c r="B147" s="6" t="s">
        <v>482</v>
      </c>
      <c r="C147" s="106"/>
    </row>
    <row r="148" spans="1:3" ht="12" customHeight="1" thickBot="1" x14ac:dyDescent="0.3">
      <c r="A148" s="17" t="s">
        <v>26</v>
      </c>
      <c r="B148" s="57" t="s">
        <v>483</v>
      </c>
      <c r="C148" s="122">
        <f>+C149+C150+C151+C152</f>
        <v>0</v>
      </c>
    </row>
    <row r="149" spans="1:3" ht="12" customHeight="1" x14ac:dyDescent="0.25">
      <c r="A149" s="12" t="s">
        <v>96</v>
      </c>
      <c r="B149" s="6" t="s">
        <v>320</v>
      </c>
      <c r="C149" s="106"/>
    </row>
    <row r="150" spans="1:3" ht="12" customHeight="1" x14ac:dyDescent="0.25">
      <c r="A150" s="12" t="s">
        <v>97</v>
      </c>
      <c r="B150" s="6" t="s">
        <v>321</v>
      </c>
      <c r="C150" s="106"/>
    </row>
    <row r="151" spans="1:3" ht="12" customHeight="1" x14ac:dyDescent="0.25">
      <c r="A151" s="12" t="s">
        <v>234</v>
      </c>
      <c r="B151" s="6" t="s">
        <v>484</v>
      </c>
      <c r="C151" s="106"/>
    </row>
    <row r="152" spans="1:3" ht="12" customHeight="1" thickBot="1" x14ac:dyDescent="0.3">
      <c r="A152" s="10" t="s">
        <v>235</v>
      </c>
      <c r="B152" s="4" t="s">
        <v>339</v>
      </c>
      <c r="C152" s="106"/>
    </row>
    <row r="153" spans="1:3" ht="12" customHeight="1" thickBot="1" x14ac:dyDescent="0.3">
      <c r="A153" s="17" t="s">
        <v>27</v>
      </c>
      <c r="B153" s="57" t="s">
        <v>485</v>
      </c>
      <c r="C153" s="125">
        <f>SUM(C154:C158)</f>
        <v>0</v>
      </c>
    </row>
    <row r="154" spans="1:3" ht="12" customHeight="1" x14ac:dyDescent="0.25">
      <c r="A154" s="12" t="s">
        <v>98</v>
      </c>
      <c r="B154" s="6" t="s">
        <v>486</v>
      </c>
      <c r="C154" s="106"/>
    </row>
    <row r="155" spans="1:3" ht="12" customHeight="1" x14ac:dyDescent="0.25">
      <c r="A155" s="12" t="s">
        <v>99</v>
      </c>
      <c r="B155" s="6" t="s">
        <v>487</v>
      </c>
      <c r="C155" s="106"/>
    </row>
    <row r="156" spans="1:3" ht="12" customHeight="1" x14ac:dyDescent="0.25">
      <c r="A156" s="12" t="s">
        <v>246</v>
      </c>
      <c r="B156" s="6" t="s">
        <v>488</v>
      </c>
      <c r="C156" s="106"/>
    </row>
    <row r="157" spans="1:3" ht="12" customHeight="1" x14ac:dyDescent="0.25">
      <c r="A157" s="12" t="s">
        <v>247</v>
      </c>
      <c r="B157" s="6" t="s">
        <v>489</v>
      </c>
      <c r="C157" s="106"/>
    </row>
    <row r="158" spans="1:3" ht="12" customHeight="1" thickBot="1" x14ac:dyDescent="0.3">
      <c r="A158" s="12" t="s">
        <v>490</v>
      </c>
      <c r="B158" s="6" t="s">
        <v>491</v>
      </c>
      <c r="C158" s="106"/>
    </row>
    <row r="159" spans="1:3" ht="12" customHeight="1" thickBot="1" x14ac:dyDescent="0.3">
      <c r="A159" s="17" t="s">
        <v>28</v>
      </c>
      <c r="B159" s="57" t="s">
        <v>492</v>
      </c>
      <c r="C159" s="260"/>
    </row>
    <row r="160" spans="1:3" ht="12" customHeight="1" thickBot="1" x14ac:dyDescent="0.3">
      <c r="A160" s="17" t="s">
        <v>29</v>
      </c>
      <c r="B160" s="57" t="s">
        <v>493</v>
      </c>
      <c r="C160" s="260"/>
    </row>
    <row r="161" spans="1:6" ht="15" customHeight="1" thickBot="1" x14ac:dyDescent="0.3">
      <c r="A161" s="17" t="s">
        <v>30</v>
      </c>
      <c r="B161" s="57" t="s">
        <v>494</v>
      </c>
      <c r="C161" s="203">
        <f>+C137+C141+C148+C153+C159+C160</f>
        <v>0</v>
      </c>
      <c r="D161" s="204"/>
      <c r="E161" s="204"/>
      <c r="F161" s="204"/>
    </row>
    <row r="162" spans="1:6" s="192" customFormat="1" ht="12.95" customHeight="1" thickBot="1" x14ac:dyDescent="0.25">
      <c r="A162" s="115" t="s">
        <v>31</v>
      </c>
      <c r="B162" s="178" t="s">
        <v>495</v>
      </c>
      <c r="C162" s="203">
        <f>+C136+C161</f>
        <v>236670197</v>
      </c>
    </row>
    <row r="163" spans="1:6" ht="7.5" customHeight="1" x14ac:dyDescent="0.25"/>
    <row r="164" spans="1:6" x14ac:dyDescent="0.25">
      <c r="A164" s="1442" t="s">
        <v>322</v>
      </c>
      <c r="B164" s="1442"/>
      <c r="C164" s="1442"/>
    </row>
    <row r="165" spans="1:6" ht="15" customHeight="1" thickBot="1" x14ac:dyDescent="0.3">
      <c r="A165" s="1444" t="s">
        <v>131</v>
      </c>
      <c r="B165" s="1444"/>
      <c r="C165" s="126" t="s">
        <v>555</v>
      </c>
    </row>
    <row r="166" spans="1:6" ht="13.5" customHeight="1" thickBot="1" x14ac:dyDescent="0.3">
      <c r="A166" s="17">
        <v>1</v>
      </c>
      <c r="B166" s="22" t="s">
        <v>496</v>
      </c>
      <c r="C166" s="117">
        <f>+C70-C136</f>
        <v>-229445197</v>
      </c>
    </row>
    <row r="167" spans="1:6" ht="21.75" thickBot="1" x14ac:dyDescent="0.3">
      <c r="A167" s="17" t="s">
        <v>22</v>
      </c>
      <c r="B167" s="22" t="s">
        <v>992</v>
      </c>
      <c r="C167" s="117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theme="3"/>
    <pageSetUpPr fitToPage="1"/>
  </sheetPr>
  <dimension ref="A1:E52"/>
  <sheetViews>
    <sheetView zoomScaleNormal="100" zoomScaleSheetLayoutView="85" workbookViewId="0">
      <selection activeCell="C2" sqref="C2"/>
    </sheetView>
  </sheetViews>
  <sheetFormatPr defaultColWidth="10.6640625" defaultRowHeight="15.75" x14ac:dyDescent="0.25"/>
  <cols>
    <col min="1" max="1" width="10.6640625" style="1079"/>
    <col min="2" max="2" width="87.33203125" style="1079" customWidth="1"/>
    <col min="3" max="3" width="48.83203125" style="1042" customWidth="1"/>
    <col min="4" max="4" width="16.5" style="1079" bestFit="1" customWidth="1"/>
    <col min="5" max="5" width="18.6640625" style="1079" bestFit="1" customWidth="1"/>
    <col min="6" max="257" width="10.6640625" style="1079"/>
    <col min="258" max="258" width="60.1640625" style="1079" customWidth="1"/>
    <col min="259" max="259" width="48.83203125" style="1079" customWidth="1"/>
    <col min="260" max="260" width="16.5" style="1079" bestFit="1" customWidth="1"/>
    <col min="261" max="261" width="15" style="1079" customWidth="1"/>
    <col min="262" max="513" width="10.6640625" style="1079"/>
    <col min="514" max="514" width="60.1640625" style="1079" customWidth="1"/>
    <col min="515" max="515" width="48.83203125" style="1079" customWidth="1"/>
    <col min="516" max="516" width="16.5" style="1079" bestFit="1" customWidth="1"/>
    <col min="517" max="517" width="15" style="1079" customWidth="1"/>
    <col min="518" max="769" width="10.6640625" style="1079"/>
    <col min="770" max="770" width="60.1640625" style="1079" customWidth="1"/>
    <col min="771" max="771" width="48.83203125" style="1079" customWidth="1"/>
    <col min="772" max="772" width="16.5" style="1079" bestFit="1" customWidth="1"/>
    <col min="773" max="773" width="15" style="1079" customWidth="1"/>
    <col min="774" max="1025" width="10.6640625" style="1079"/>
    <col min="1026" max="1026" width="60.1640625" style="1079" customWidth="1"/>
    <col min="1027" max="1027" width="48.83203125" style="1079" customWidth="1"/>
    <col min="1028" max="1028" width="16.5" style="1079" bestFit="1" customWidth="1"/>
    <col min="1029" max="1029" width="15" style="1079" customWidth="1"/>
    <col min="1030" max="1281" width="10.6640625" style="1079"/>
    <col min="1282" max="1282" width="60.1640625" style="1079" customWidth="1"/>
    <col min="1283" max="1283" width="48.83203125" style="1079" customWidth="1"/>
    <col min="1284" max="1284" width="16.5" style="1079" bestFit="1" customWidth="1"/>
    <col min="1285" max="1285" width="15" style="1079" customWidth="1"/>
    <col min="1286" max="1537" width="10.6640625" style="1079"/>
    <col min="1538" max="1538" width="60.1640625" style="1079" customWidth="1"/>
    <col min="1539" max="1539" width="48.83203125" style="1079" customWidth="1"/>
    <col min="1540" max="1540" width="16.5" style="1079" bestFit="1" customWidth="1"/>
    <col min="1541" max="1541" width="15" style="1079" customWidth="1"/>
    <col min="1542" max="1793" width="10.6640625" style="1079"/>
    <col min="1794" max="1794" width="60.1640625" style="1079" customWidth="1"/>
    <col min="1795" max="1795" width="48.83203125" style="1079" customWidth="1"/>
    <col min="1796" max="1796" width="16.5" style="1079" bestFit="1" customWidth="1"/>
    <col min="1797" max="1797" width="15" style="1079" customWidth="1"/>
    <col min="1798" max="2049" width="10.6640625" style="1079"/>
    <col min="2050" max="2050" width="60.1640625" style="1079" customWidth="1"/>
    <col min="2051" max="2051" width="48.83203125" style="1079" customWidth="1"/>
    <col min="2052" max="2052" width="16.5" style="1079" bestFit="1" customWidth="1"/>
    <col min="2053" max="2053" width="15" style="1079" customWidth="1"/>
    <col min="2054" max="2305" width="10.6640625" style="1079"/>
    <col min="2306" max="2306" width="60.1640625" style="1079" customWidth="1"/>
    <col min="2307" max="2307" width="48.83203125" style="1079" customWidth="1"/>
    <col min="2308" max="2308" width="16.5" style="1079" bestFit="1" customWidth="1"/>
    <col min="2309" max="2309" width="15" style="1079" customWidth="1"/>
    <col min="2310" max="2561" width="10.6640625" style="1079"/>
    <col min="2562" max="2562" width="60.1640625" style="1079" customWidth="1"/>
    <col min="2563" max="2563" width="48.83203125" style="1079" customWidth="1"/>
    <col min="2564" max="2564" width="16.5" style="1079" bestFit="1" customWidth="1"/>
    <col min="2565" max="2565" width="15" style="1079" customWidth="1"/>
    <col min="2566" max="2817" width="10.6640625" style="1079"/>
    <col min="2818" max="2818" width="60.1640625" style="1079" customWidth="1"/>
    <col min="2819" max="2819" width="48.83203125" style="1079" customWidth="1"/>
    <col min="2820" max="2820" width="16.5" style="1079" bestFit="1" customWidth="1"/>
    <col min="2821" max="2821" width="15" style="1079" customWidth="1"/>
    <col min="2822" max="3073" width="10.6640625" style="1079"/>
    <col min="3074" max="3074" width="60.1640625" style="1079" customWidth="1"/>
    <col min="3075" max="3075" width="48.83203125" style="1079" customWidth="1"/>
    <col min="3076" max="3076" width="16.5" style="1079" bestFit="1" customWidth="1"/>
    <col min="3077" max="3077" width="15" style="1079" customWidth="1"/>
    <col min="3078" max="3329" width="10.6640625" style="1079"/>
    <col min="3330" max="3330" width="60.1640625" style="1079" customWidth="1"/>
    <col min="3331" max="3331" width="48.83203125" style="1079" customWidth="1"/>
    <col min="3332" max="3332" width="16.5" style="1079" bestFit="1" customWidth="1"/>
    <col min="3333" max="3333" width="15" style="1079" customWidth="1"/>
    <col min="3334" max="3585" width="10.6640625" style="1079"/>
    <col min="3586" max="3586" width="60.1640625" style="1079" customWidth="1"/>
    <col min="3587" max="3587" width="48.83203125" style="1079" customWidth="1"/>
    <col min="3588" max="3588" width="16.5" style="1079" bestFit="1" customWidth="1"/>
    <col min="3589" max="3589" width="15" style="1079" customWidth="1"/>
    <col min="3590" max="3841" width="10.6640625" style="1079"/>
    <col min="3842" max="3842" width="60.1640625" style="1079" customWidth="1"/>
    <col min="3843" max="3843" width="48.83203125" style="1079" customWidth="1"/>
    <col min="3844" max="3844" width="16.5" style="1079" bestFit="1" customWidth="1"/>
    <col min="3845" max="3845" width="15" style="1079" customWidth="1"/>
    <col min="3846" max="4097" width="10.6640625" style="1079"/>
    <col min="4098" max="4098" width="60.1640625" style="1079" customWidth="1"/>
    <col min="4099" max="4099" width="48.83203125" style="1079" customWidth="1"/>
    <col min="4100" max="4100" width="16.5" style="1079" bestFit="1" customWidth="1"/>
    <col min="4101" max="4101" width="15" style="1079" customWidth="1"/>
    <col min="4102" max="4353" width="10.6640625" style="1079"/>
    <col min="4354" max="4354" width="60.1640625" style="1079" customWidth="1"/>
    <col min="4355" max="4355" width="48.83203125" style="1079" customWidth="1"/>
    <col min="4356" max="4356" width="16.5" style="1079" bestFit="1" customWidth="1"/>
    <col min="4357" max="4357" width="15" style="1079" customWidth="1"/>
    <col min="4358" max="4609" width="10.6640625" style="1079"/>
    <col min="4610" max="4610" width="60.1640625" style="1079" customWidth="1"/>
    <col min="4611" max="4611" width="48.83203125" style="1079" customWidth="1"/>
    <col min="4612" max="4612" width="16.5" style="1079" bestFit="1" customWidth="1"/>
    <col min="4613" max="4613" width="15" style="1079" customWidth="1"/>
    <col min="4614" max="4865" width="10.6640625" style="1079"/>
    <col min="4866" max="4866" width="60.1640625" style="1079" customWidth="1"/>
    <col min="4867" max="4867" width="48.83203125" style="1079" customWidth="1"/>
    <col min="4868" max="4868" width="16.5" style="1079" bestFit="1" customWidth="1"/>
    <col min="4869" max="4869" width="15" style="1079" customWidth="1"/>
    <col min="4870" max="5121" width="10.6640625" style="1079"/>
    <col min="5122" max="5122" width="60.1640625" style="1079" customWidth="1"/>
    <col min="5123" max="5123" width="48.83203125" style="1079" customWidth="1"/>
    <col min="5124" max="5124" width="16.5" style="1079" bestFit="1" customWidth="1"/>
    <col min="5125" max="5125" width="15" style="1079" customWidth="1"/>
    <col min="5126" max="5377" width="10.6640625" style="1079"/>
    <col min="5378" max="5378" width="60.1640625" style="1079" customWidth="1"/>
    <col min="5379" max="5379" width="48.83203125" style="1079" customWidth="1"/>
    <col min="5380" max="5380" width="16.5" style="1079" bestFit="1" customWidth="1"/>
    <col min="5381" max="5381" width="15" style="1079" customWidth="1"/>
    <col min="5382" max="5633" width="10.6640625" style="1079"/>
    <col min="5634" max="5634" width="60.1640625" style="1079" customWidth="1"/>
    <col min="5635" max="5635" width="48.83203125" style="1079" customWidth="1"/>
    <col min="5636" max="5636" width="16.5" style="1079" bestFit="1" customWidth="1"/>
    <col min="5637" max="5637" width="15" style="1079" customWidth="1"/>
    <col min="5638" max="5889" width="10.6640625" style="1079"/>
    <col min="5890" max="5890" width="60.1640625" style="1079" customWidth="1"/>
    <col min="5891" max="5891" width="48.83203125" style="1079" customWidth="1"/>
    <col min="5892" max="5892" width="16.5" style="1079" bestFit="1" customWidth="1"/>
    <col min="5893" max="5893" width="15" style="1079" customWidth="1"/>
    <col min="5894" max="6145" width="10.6640625" style="1079"/>
    <col min="6146" max="6146" width="60.1640625" style="1079" customWidth="1"/>
    <col min="6147" max="6147" width="48.83203125" style="1079" customWidth="1"/>
    <col min="6148" max="6148" width="16.5" style="1079" bestFit="1" customWidth="1"/>
    <col min="6149" max="6149" width="15" style="1079" customWidth="1"/>
    <col min="6150" max="6401" width="10.6640625" style="1079"/>
    <col min="6402" max="6402" width="60.1640625" style="1079" customWidth="1"/>
    <col min="6403" max="6403" width="48.83203125" style="1079" customWidth="1"/>
    <col min="6404" max="6404" width="16.5" style="1079" bestFit="1" customWidth="1"/>
    <col min="6405" max="6405" width="15" style="1079" customWidth="1"/>
    <col min="6406" max="6657" width="10.6640625" style="1079"/>
    <col min="6658" max="6658" width="60.1640625" style="1079" customWidth="1"/>
    <col min="6659" max="6659" width="48.83203125" style="1079" customWidth="1"/>
    <col min="6660" max="6660" width="16.5" style="1079" bestFit="1" customWidth="1"/>
    <col min="6661" max="6661" width="15" style="1079" customWidth="1"/>
    <col min="6662" max="6913" width="10.6640625" style="1079"/>
    <col min="6914" max="6914" width="60.1640625" style="1079" customWidth="1"/>
    <col min="6915" max="6915" width="48.83203125" style="1079" customWidth="1"/>
    <col min="6916" max="6916" width="16.5" style="1079" bestFit="1" customWidth="1"/>
    <col min="6917" max="6917" width="15" style="1079" customWidth="1"/>
    <col min="6918" max="7169" width="10.6640625" style="1079"/>
    <col min="7170" max="7170" width="60.1640625" style="1079" customWidth="1"/>
    <col min="7171" max="7171" width="48.83203125" style="1079" customWidth="1"/>
    <col min="7172" max="7172" width="16.5" style="1079" bestFit="1" customWidth="1"/>
    <col min="7173" max="7173" width="15" style="1079" customWidth="1"/>
    <col min="7174" max="7425" width="10.6640625" style="1079"/>
    <col min="7426" max="7426" width="60.1640625" style="1079" customWidth="1"/>
    <col min="7427" max="7427" width="48.83203125" style="1079" customWidth="1"/>
    <col min="7428" max="7428" width="16.5" style="1079" bestFit="1" customWidth="1"/>
    <col min="7429" max="7429" width="15" style="1079" customWidth="1"/>
    <col min="7430" max="7681" width="10.6640625" style="1079"/>
    <col min="7682" max="7682" width="60.1640625" style="1079" customWidth="1"/>
    <col min="7683" max="7683" width="48.83203125" style="1079" customWidth="1"/>
    <col min="7684" max="7684" width="16.5" style="1079" bestFit="1" customWidth="1"/>
    <col min="7685" max="7685" width="15" style="1079" customWidth="1"/>
    <col min="7686" max="7937" width="10.6640625" style="1079"/>
    <col min="7938" max="7938" width="60.1640625" style="1079" customWidth="1"/>
    <col min="7939" max="7939" width="48.83203125" style="1079" customWidth="1"/>
    <col min="7940" max="7940" width="16.5" style="1079" bestFit="1" customWidth="1"/>
    <col min="7941" max="7941" width="15" style="1079" customWidth="1"/>
    <col min="7942" max="8193" width="10.6640625" style="1079"/>
    <col min="8194" max="8194" width="60.1640625" style="1079" customWidth="1"/>
    <col min="8195" max="8195" width="48.83203125" style="1079" customWidth="1"/>
    <col min="8196" max="8196" width="16.5" style="1079" bestFit="1" customWidth="1"/>
    <col min="8197" max="8197" width="15" style="1079" customWidth="1"/>
    <col min="8198" max="8449" width="10.6640625" style="1079"/>
    <col min="8450" max="8450" width="60.1640625" style="1079" customWidth="1"/>
    <col min="8451" max="8451" width="48.83203125" style="1079" customWidth="1"/>
    <col min="8452" max="8452" width="16.5" style="1079" bestFit="1" customWidth="1"/>
    <col min="8453" max="8453" width="15" style="1079" customWidth="1"/>
    <col min="8454" max="8705" width="10.6640625" style="1079"/>
    <col min="8706" max="8706" width="60.1640625" style="1079" customWidth="1"/>
    <col min="8707" max="8707" width="48.83203125" style="1079" customWidth="1"/>
    <col min="8708" max="8708" width="16.5" style="1079" bestFit="1" customWidth="1"/>
    <col min="8709" max="8709" width="15" style="1079" customWidth="1"/>
    <col min="8710" max="8961" width="10.6640625" style="1079"/>
    <col min="8962" max="8962" width="60.1640625" style="1079" customWidth="1"/>
    <col min="8963" max="8963" width="48.83203125" style="1079" customWidth="1"/>
    <col min="8964" max="8964" width="16.5" style="1079" bestFit="1" customWidth="1"/>
    <col min="8965" max="8965" width="15" style="1079" customWidth="1"/>
    <col min="8966" max="9217" width="10.6640625" style="1079"/>
    <col min="9218" max="9218" width="60.1640625" style="1079" customWidth="1"/>
    <col min="9219" max="9219" width="48.83203125" style="1079" customWidth="1"/>
    <col min="9220" max="9220" width="16.5" style="1079" bestFit="1" customWidth="1"/>
    <col min="9221" max="9221" width="15" style="1079" customWidth="1"/>
    <col min="9222" max="9473" width="10.6640625" style="1079"/>
    <col min="9474" max="9474" width="60.1640625" style="1079" customWidth="1"/>
    <col min="9475" max="9475" width="48.83203125" style="1079" customWidth="1"/>
    <col min="9476" max="9476" width="16.5" style="1079" bestFit="1" customWidth="1"/>
    <col min="9477" max="9477" width="15" style="1079" customWidth="1"/>
    <col min="9478" max="9729" width="10.6640625" style="1079"/>
    <col min="9730" max="9730" width="60.1640625" style="1079" customWidth="1"/>
    <col min="9731" max="9731" width="48.83203125" style="1079" customWidth="1"/>
    <col min="9732" max="9732" width="16.5" style="1079" bestFit="1" customWidth="1"/>
    <col min="9733" max="9733" width="15" style="1079" customWidth="1"/>
    <col min="9734" max="9985" width="10.6640625" style="1079"/>
    <col min="9986" max="9986" width="60.1640625" style="1079" customWidth="1"/>
    <col min="9987" max="9987" width="48.83203125" style="1079" customWidth="1"/>
    <col min="9988" max="9988" width="16.5" style="1079" bestFit="1" customWidth="1"/>
    <col min="9989" max="9989" width="15" style="1079" customWidth="1"/>
    <col min="9990" max="10241" width="10.6640625" style="1079"/>
    <col min="10242" max="10242" width="60.1640625" style="1079" customWidth="1"/>
    <col min="10243" max="10243" width="48.83203125" style="1079" customWidth="1"/>
    <col min="10244" max="10244" width="16.5" style="1079" bestFit="1" customWidth="1"/>
    <col min="10245" max="10245" width="15" style="1079" customWidth="1"/>
    <col min="10246" max="10497" width="10.6640625" style="1079"/>
    <col min="10498" max="10498" width="60.1640625" style="1079" customWidth="1"/>
    <col min="10499" max="10499" width="48.83203125" style="1079" customWidth="1"/>
    <col min="10500" max="10500" width="16.5" style="1079" bestFit="1" customWidth="1"/>
    <col min="10501" max="10501" width="15" style="1079" customWidth="1"/>
    <col min="10502" max="10753" width="10.6640625" style="1079"/>
    <col min="10754" max="10754" width="60.1640625" style="1079" customWidth="1"/>
    <col min="10755" max="10755" width="48.83203125" style="1079" customWidth="1"/>
    <col min="10756" max="10756" width="16.5" style="1079" bestFit="1" customWidth="1"/>
    <col min="10757" max="10757" width="15" style="1079" customWidth="1"/>
    <col min="10758" max="11009" width="10.6640625" style="1079"/>
    <col min="11010" max="11010" width="60.1640625" style="1079" customWidth="1"/>
    <col min="11011" max="11011" width="48.83203125" style="1079" customWidth="1"/>
    <col min="11012" max="11012" width="16.5" style="1079" bestFit="1" customWidth="1"/>
    <col min="11013" max="11013" width="15" style="1079" customWidth="1"/>
    <col min="11014" max="11265" width="10.6640625" style="1079"/>
    <col min="11266" max="11266" width="60.1640625" style="1079" customWidth="1"/>
    <col min="11267" max="11267" width="48.83203125" style="1079" customWidth="1"/>
    <col min="11268" max="11268" width="16.5" style="1079" bestFit="1" customWidth="1"/>
    <col min="11269" max="11269" width="15" style="1079" customWidth="1"/>
    <col min="11270" max="11521" width="10.6640625" style="1079"/>
    <col min="11522" max="11522" width="60.1640625" style="1079" customWidth="1"/>
    <col min="11523" max="11523" width="48.83203125" style="1079" customWidth="1"/>
    <col min="11524" max="11524" width="16.5" style="1079" bestFit="1" customWidth="1"/>
    <col min="11525" max="11525" width="15" style="1079" customWidth="1"/>
    <col min="11526" max="11777" width="10.6640625" style="1079"/>
    <col min="11778" max="11778" width="60.1640625" style="1079" customWidth="1"/>
    <col min="11779" max="11779" width="48.83203125" style="1079" customWidth="1"/>
    <col min="11780" max="11780" width="16.5" style="1079" bestFit="1" customWidth="1"/>
    <col min="11781" max="11781" width="15" style="1079" customWidth="1"/>
    <col min="11782" max="12033" width="10.6640625" style="1079"/>
    <col min="12034" max="12034" width="60.1640625" style="1079" customWidth="1"/>
    <col min="12035" max="12035" width="48.83203125" style="1079" customWidth="1"/>
    <col min="12036" max="12036" width="16.5" style="1079" bestFit="1" customWidth="1"/>
    <col min="12037" max="12037" width="15" style="1079" customWidth="1"/>
    <col min="12038" max="12289" width="10.6640625" style="1079"/>
    <col min="12290" max="12290" width="60.1640625" style="1079" customWidth="1"/>
    <col min="12291" max="12291" width="48.83203125" style="1079" customWidth="1"/>
    <col min="12292" max="12292" width="16.5" style="1079" bestFit="1" customWidth="1"/>
    <col min="12293" max="12293" width="15" style="1079" customWidth="1"/>
    <col min="12294" max="12545" width="10.6640625" style="1079"/>
    <col min="12546" max="12546" width="60.1640625" style="1079" customWidth="1"/>
    <col min="12547" max="12547" width="48.83203125" style="1079" customWidth="1"/>
    <col min="12548" max="12548" width="16.5" style="1079" bestFit="1" customWidth="1"/>
    <col min="12549" max="12549" width="15" style="1079" customWidth="1"/>
    <col min="12550" max="12801" width="10.6640625" style="1079"/>
    <col min="12802" max="12802" width="60.1640625" style="1079" customWidth="1"/>
    <col min="12803" max="12803" width="48.83203125" style="1079" customWidth="1"/>
    <col min="12804" max="12804" width="16.5" style="1079" bestFit="1" customWidth="1"/>
    <col min="12805" max="12805" width="15" style="1079" customWidth="1"/>
    <col min="12806" max="13057" width="10.6640625" style="1079"/>
    <col min="13058" max="13058" width="60.1640625" style="1079" customWidth="1"/>
    <col min="13059" max="13059" width="48.83203125" style="1079" customWidth="1"/>
    <col min="13060" max="13060" width="16.5" style="1079" bestFit="1" customWidth="1"/>
    <col min="13061" max="13061" width="15" style="1079" customWidth="1"/>
    <col min="13062" max="13313" width="10.6640625" style="1079"/>
    <col min="13314" max="13314" width="60.1640625" style="1079" customWidth="1"/>
    <col min="13315" max="13315" width="48.83203125" style="1079" customWidth="1"/>
    <col min="13316" max="13316" width="16.5" style="1079" bestFit="1" customWidth="1"/>
    <col min="13317" max="13317" width="15" style="1079" customWidth="1"/>
    <col min="13318" max="13569" width="10.6640625" style="1079"/>
    <col min="13570" max="13570" width="60.1640625" style="1079" customWidth="1"/>
    <col min="13571" max="13571" width="48.83203125" style="1079" customWidth="1"/>
    <col min="13572" max="13572" width="16.5" style="1079" bestFit="1" customWidth="1"/>
    <col min="13573" max="13573" width="15" style="1079" customWidth="1"/>
    <col min="13574" max="13825" width="10.6640625" style="1079"/>
    <col min="13826" max="13826" width="60.1640625" style="1079" customWidth="1"/>
    <col min="13827" max="13827" width="48.83203125" style="1079" customWidth="1"/>
    <col min="13828" max="13828" width="16.5" style="1079" bestFit="1" customWidth="1"/>
    <col min="13829" max="13829" width="15" style="1079" customWidth="1"/>
    <col min="13830" max="14081" width="10.6640625" style="1079"/>
    <col min="14082" max="14082" width="60.1640625" style="1079" customWidth="1"/>
    <col min="14083" max="14083" width="48.83203125" style="1079" customWidth="1"/>
    <col min="14084" max="14084" width="16.5" style="1079" bestFit="1" customWidth="1"/>
    <col min="14085" max="14085" width="15" style="1079" customWidth="1"/>
    <col min="14086" max="14337" width="10.6640625" style="1079"/>
    <col min="14338" max="14338" width="60.1640625" style="1079" customWidth="1"/>
    <col min="14339" max="14339" width="48.83203125" style="1079" customWidth="1"/>
    <col min="14340" max="14340" width="16.5" style="1079" bestFit="1" customWidth="1"/>
    <col min="14341" max="14341" width="15" style="1079" customWidth="1"/>
    <col min="14342" max="14593" width="10.6640625" style="1079"/>
    <col min="14594" max="14594" width="60.1640625" style="1079" customWidth="1"/>
    <col min="14595" max="14595" width="48.83203125" style="1079" customWidth="1"/>
    <col min="14596" max="14596" width="16.5" style="1079" bestFit="1" customWidth="1"/>
    <col min="14597" max="14597" width="15" style="1079" customWidth="1"/>
    <col min="14598" max="14849" width="10.6640625" style="1079"/>
    <col min="14850" max="14850" width="60.1640625" style="1079" customWidth="1"/>
    <col min="14851" max="14851" width="48.83203125" style="1079" customWidth="1"/>
    <col min="14852" max="14852" width="16.5" style="1079" bestFit="1" customWidth="1"/>
    <col min="14853" max="14853" width="15" style="1079" customWidth="1"/>
    <col min="14854" max="15105" width="10.6640625" style="1079"/>
    <col min="15106" max="15106" width="60.1640625" style="1079" customWidth="1"/>
    <col min="15107" max="15107" width="48.83203125" style="1079" customWidth="1"/>
    <col min="15108" max="15108" width="16.5" style="1079" bestFit="1" customWidth="1"/>
    <col min="15109" max="15109" width="15" style="1079" customWidth="1"/>
    <col min="15110" max="15361" width="10.6640625" style="1079"/>
    <col min="15362" max="15362" width="60.1640625" style="1079" customWidth="1"/>
    <col min="15363" max="15363" width="48.83203125" style="1079" customWidth="1"/>
    <col min="15364" max="15364" width="16.5" style="1079" bestFit="1" customWidth="1"/>
    <col min="15365" max="15365" width="15" style="1079" customWidth="1"/>
    <col min="15366" max="15617" width="10.6640625" style="1079"/>
    <col min="15618" max="15618" width="60.1640625" style="1079" customWidth="1"/>
    <col min="15619" max="15619" width="48.83203125" style="1079" customWidth="1"/>
    <col min="15620" max="15620" width="16.5" style="1079" bestFit="1" customWidth="1"/>
    <col min="15621" max="15621" width="15" style="1079" customWidth="1"/>
    <col min="15622" max="15873" width="10.6640625" style="1079"/>
    <col min="15874" max="15874" width="60.1640625" style="1079" customWidth="1"/>
    <col min="15875" max="15875" width="48.83203125" style="1079" customWidth="1"/>
    <col min="15876" max="15876" width="16.5" style="1079" bestFit="1" customWidth="1"/>
    <col min="15877" max="15877" width="15" style="1079" customWidth="1"/>
    <col min="15878" max="16129" width="10.6640625" style="1079"/>
    <col min="16130" max="16130" width="60.1640625" style="1079" customWidth="1"/>
    <col min="16131" max="16131" width="48.83203125" style="1079" customWidth="1"/>
    <col min="16132" max="16132" width="16.5" style="1079" bestFit="1" customWidth="1"/>
    <col min="16133" max="16133" width="15" style="1079" customWidth="1"/>
    <col min="16134" max="16384" width="10.6640625" style="1079"/>
  </cols>
  <sheetData>
    <row r="1" spans="1:3" ht="12.75" x14ac:dyDescent="0.2">
      <c r="A1" s="1537" t="str">
        <f>CONCATENATE("26. melléklet"," ",ALAPADATOK!A7," ",ALAPADATOK!B7," ",ALAPADATOK!C7," ",ALAPADATOK!D7," ",ALAPADATOK!E7," ",ALAPADATOK!F7," ",ALAPADATOK!G7," ",ALAPADATOK!H7)</f>
        <v>26. melléklet a 21 / 2020. ( IX.25. ) önkormányzati rendelethez</v>
      </c>
      <c r="B1" s="1537"/>
      <c r="C1" s="1537"/>
    </row>
    <row r="2" spans="1:3" ht="17.25" customHeight="1" x14ac:dyDescent="0.2">
      <c r="B2" s="244"/>
      <c r="C2" s="1437" t="s">
        <v>1028</v>
      </c>
    </row>
    <row r="3" spans="1:3" ht="42" customHeight="1" x14ac:dyDescent="0.2">
      <c r="A3" s="1538" t="s">
        <v>821</v>
      </c>
      <c r="B3" s="1538"/>
      <c r="C3" s="1538"/>
    </row>
    <row r="4" spans="1:3" ht="33" customHeight="1" thickBot="1" x14ac:dyDescent="0.3">
      <c r="B4" s="245"/>
      <c r="C4" s="1286" t="s">
        <v>16</v>
      </c>
    </row>
    <row r="5" spans="1:3" ht="12.75" x14ac:dyDescent="0.2">
      <c r="A5" s="1539" t="s">
        <v>957</v>
      </c>
      <c r="B5" s="1541" t="s">
        <v>932</v>
      </c>
      <c r="C5" s="1543" t="s">
        <v>931</v>
      </c>
    </row>
    <row r="6" spans="1:3" ht="12.75" x14ac:dyDescent="0.2">
      <c r="A6" s="1540"/>
      <c r="B6" s="1542"/>
      <c r="C6" s="1544"/>
    </row>
    <row r="7" spans="1:3" ht="12.75" x14ac:dyDescent="0.2">
      <c r="A7" s="1540"/>
      <c r="B7" s="1542"/>
      <c r="C7" s="1544"/>
    </row>
    <row r="8" spans="1:3" x14ac:dyDescent="0.25">
      <c r="A8" s="1102" t="s">
        <v>21</v>
      </c>
      <c r="B8" s="1177" t="s">
        <v>406</v>
      </c>
      <c r="C8" s="1431">
        <f>148895800+27629700+809750</f>
        <v>177335250</v>
      </c>
    </row>
    <row r="9" spans="1:3" x14ac:dyDescent="0.25">
      <c r="A9" s="1102" t="s">
        <v>22</v>
      </c>
      <c r="B9" s="1041" t="s">
        <v>990</v>
      </c>
      <c r="C9" s="1287">
        <v>76751937</v>
      </c>
    </row>
    <row r="10" spans="1:3" x14ac:dyDescent="0.25">
      <c r="A10" s="1102" t="s">
        <v>106</v>
      </c>
      <c r="B10" s="1041" t="s">
        <v>407</v>
      </c>
      <c r="C10" s="1287">
        <v>13441371</v>
      </c>
    </row>
    <row r="11" spans="1:3" x14ac:dyDescent="0.25">
      <c r="A11" s="1102" t="s">
        <v>107</v>
      </c>
      <c r="B11" s="1041" t="s">
        <v>408</v>
      </c>
      <c r="C11" s="1287">
        <v>35440000</v>
      </c>
    </row>
    <row r="12" spans="1:3" ht="15" customHeight="1" x14ac:dyDescent="0.25">
      <c r="A12" s="1102" t="s">
        <v>108</v>
      </c>
      <c r="B12" s="1041" t="s">
        <v>409</v>
      </c>
      <c r="C12" s="1287">
        <v>7111416</v>
      </c>
    </row>
    <row r="13" spans="1:3" x14ac:dyDescent="0.25">
      <c r="A13" s="1102" t="s">
        <v>109</v>
      </c>
      <c r="B13" s="1041" t="s">
        <v>410</v>
      </c>
      <c r="C13" s="1287">
        <v>20759150</v>
      </c>
    </row>
    <row r="14" spans="1:3" x14ac:dyDescent="0.25">
      <c r="A14" s="1102" t="s">
        <v>110</v>
      </c>
      <c r="B14" s="1041" t="s">
        <v>411</v>
      </c>
      <c r="C14" s="1287">
        <v>0</v>
      </c>
    </row>
    <row r="15" spans="1:3" ht="17.25" customHeight="1" x14ac:dyDescent="0.25">
      <c r="A15" s="1102" t="s">
        <v>119</v>
      </c>
      <c r="B15" s="1041" t="s">
        <v>417</v>
      </c>
      <c r="C15" s="1287">
        <v>0</v>
      </c>
    </row>
    <row r="16" spans="1:3" x14ac:dyDescent="0.25">
      <c r="A16" s="1102" t="s">
        <v>959</v>
      </c>
      <c r="B16" s="1040" t="s">
        <v>962</v>
      </c>
      <c r="C16" s="1288">
        <f>SUM(C8:C9)</f>
        <v>254087187</v>
      </c>
    </row>
    <row r="17" spans="1:4" x14ac:dyDescent="0.25">
      <c r="A17" s="1102" t="s">
        <v>960</v>
      </c>
      <c r="B17" s="1041" t="s">
        <v>823</v>
      </c>
      <c r="C17" s="1289">
        <v>1877357</v>
      </c>
    </row>
    <row r="18" spans="1:4" ht="16.5" thickBot="1" x14ac:dyDescent="0.3">
      <c r="A18" s="1103" t="s">
        <v>961</v>
      </c>
      <c r="B18" s="1104" t="s">
        <v>577</v>
      </c>
      <c r="C18" s="1290">
        <v>1793900</v>
      </c>
    </row>
    <row r="19" spans="1:4" ht="17.25" customHeight="1" thickBot="1" x14ac:dyDescent="0.3">
      <c r="A19" s="1105" t="s">
        <v>958</v>
      </c>
      <c r="B19" s="1109" t="s">
        <v>963</v>
      </c>
      <c r="C19" s="1291">
        <f>SUM(C16:C18)</f>
        <v>257758444</v>
      </c>
    </row>
    <row r="20" spans="1:4" ht="30" x14ac:dyDescent="0.25">
      <c r="A20" s="1107" t="s">
        <v>965</v>
      </c>
      <c r="B20" s="1108" t="s">
        <v>412</v>
      </c>
      <c r="C20" s="1432">
        <f>185479350+17312349</f>
        <v>202791699</v>
      </c>
    </row>
    <row r="21" spans="1:4" x14ac:dyDescent="0.25">
      <c r="A21" s="1102" t="s">
        <v>966</v>
      </c>
      <c r="B21" s="1098" t="s">
        <v>413</v>
      </c>
      <c r="C21" s="1287">
        <v>34742580</v>
      </c>
    </row>
    <row r="22" spans="1:4" x14ac:dyDescent="0.25">
      <c r="A22" s="1102" t="s">
        <v>967</v>
      </c>
      <c r="B22" s="1041" t="s">
        <v>578</v>
      </c>
      <c r="C22" s="1287">
        <v>0</v>
      </c>
    </row>
    <row r="23" spans="1:4" x14ac:dyDescent="0.25">
      <c r="A23" s="1102" t="s">
        <v>968</v>
      </c>
      <c r="B23" s="1041" t="s">
        <v>579</v>
      </c>
      <c r="C23" s="1287">
        <v>9381300</v>
      </c>
    </row>
    <row r="24" spans="1:4" ht="16.5" thickBot="1" x14ac:dyDescent="0.3">
      <c r="A24" s="1103" t="s">
        <v>969</v>
      </c>
      <c r="B24" s="1104" t="s">
        <v>822</v>
      </c>
      <c r="C24" s="1292"/>
    </row>
    <row r="25" spans="1:4" ht="30.75" thickBot="1" x14ac:dyDescent="0.3">
      <c r="A25" s="1105" t="s">
        <v>964</v>
      </c>
      <c r="B25" s="1109" t="s">
        <v>989</v>
      </c>
      <c r="C25" s="1291">
        <f>SUM(C20:C23)</f>
        <v>246915579</v>
      </c>
    </row>
    <row r="26" spans="1:4" x14ac:dyDescent="0.25">
      <c r="A26" s="1107" t="s">
        <v>971</v>
      </c>
      <c r="B26" s="1108" t="s">
        <v>531</v>
      </c>
      <c r="C26" s="1432">
        <f>141065863+2682000</f>
        <v>143747863</v>
      </c>
    </row>
    <row r="27" spans="1:4" x14ac:dyDescent="0.25">
      <c r="A27" s="1102" t="s">
        <v>972</v>
      </c>
      <c r="B27" s="1099" t="s">
        <v>414</v>
      </c>
      <c r="C27" s="1287">
        <f>90478170-62000+4693700</f>
        <v>95109870</v>
      </c>
    </row>
    <row r="28" spans="1:4" ht="30" x14ac:dyDescent="0.25">
      <c r="A28" s="1102" t="s">
        <v>973</v>
      </c>
      <c r="B28" s="1100" t="s">
        <v>542</v>
      </c>
      <c r="C28" s="1287">
        <f>183403360+12784000</f>
        <v>196187360</v>
      </c>
      <c r="D28" s="246"/>
    </row>
    <row r="29" spans="1:4" x14ac:dyDescent="0.25">
      <c r="A29" s="1102" t="s">
        <v>974</v>
      </c>
      <c r="B29" s="1098" t="s">
        <v>824</v>
      </c>
      <c r="C29" s="1287">
        <f>57002000+3780480</f>
        <v>60782480</v>
      </c>
    </row>
    <row r="30" spans="1:4" x14ac:dyDescent="0.25">
      <c r="A30" s="1102" t="s">
        <v>975</v>
      </c>
      <c r="B30" s="1099" t="s">
        <v>825</v>
      </c>
      <c r="C30" s="1287">
        <v>77250742</v>
      </c>
    </row>
    <row r="31" spans="1:4" x14ac:dyDescent="0.25">
      <c r="A31" s="1102" t="s">
        <v>976</v>
      </c>
      <c r="B31" s="1100" t="s">
        <v>5</v>
      </c>
      <c r="C31" s="1287">
        <v>51874820</v>
      </c>
    </row>
    <row r="32" spans="1:4" ht="30" x14ac:dyDescent="0.25">
      <c r="A32" s="1102" t="s">
        <v>977</v>
      </c>
      <c r="B32" s="1100" t="s">
        <v>580</v>
      </c>
      <c r="C32" s="1287">
        <f>30933000+2400000</f>
        <v>33333000</v>
      </c>
    </row>
    <row r="33" spans="1:4" ht="30" x14ac:dyDescent="0.25">
      <c r="A33" s="1102" t="s">
        <v>978</v>
      </c>
      <c r="B33" s="1100" t="s">
        <v>581</v>
      </c>
      <c r="C33" s="1287">
        <v>24841900</v>
      </c>
    </row>
    <row r="34" spans="1:4" x14ac:dyDescent="0.25">
      <c r="A34" s="1102" t="s">
        <v>979</v>
      </c>
      <c r="B34" s="1100" t="s">
        <v>582</v>
      </c>
      <c r="C34" s="1287">
        <v>11476000</v>
      </c>
    </row>
    <row r="35" spans="1:4" x14ac:dyDescent="0.25">
      <c r="A35" s="1102" t="s">
        <v>980</v>
      </c>
      <c r="B35" s="1041" t="s">
        <v>822</v>
      </c>
      <c r="C35" s="1293"/>
    </row>
    <row r="36" spans="1:4" x14ac:dyDescent="0.25">
      <c r="A36" s="1102" t="s">
        <v>981</v>
      </c>
      <c r="B36" s="1101" t="s">
        <v>712</v>
      </c>
      <c r="C36" s="1222">
        <f>73457967+33216359</f>
        <v>106674326</v>
      </c>
    </row>
    <row r="37" spans="1:4" x14ac:dyDescent="0.25">
      <c r="A37" s="1103" t="s">
        <v>982</v>
      </c>
      <c r="B37" s="1110" t="s">
        <v>714</v>
      </c>
      <c r="C37" s="1112">
        <v>10214843</v>
      </c>
    </row>
    <row r="38" spans="1:4" ht="16.5" thickBot="1" x14ac:dyDescent="0.3">
      <c r="A38" s="1434" t="s">
        <v>1040</v>
      </c>
      <c r="B38" s="1435" t="s">
        <v>1039</v>
      </c>
      <c r="C38" s="1436">
        <v>4495800</v>
      </c>
    </row>
    <row r="39" spans="1:4" ht="30.75" thickBot="1" x14ac:dyDescent="0.3">
      <c r="A39" s="1105" t="s">
        <v>970</v>
      </c>
      <c r="B39" s="1109" t="s">
        <v>1041</v>
      </c>
      <c r="C39" s="1291">
        <f>SUM(C26:C38)</f>
        <v>815989004</v>
      </c>
      <c r="D39" s="265"/>
    </row>
    <row r="40" spans="1:4" x14ac:dyDescent="0.25">
      <c r="A40" s="1107" t="s">
        <v>983</v>
      </c>
      <c r="B40" s="1111" t="s">
        <v>415</v>
      </c>
      <c r="C40" s="1294"/>
    </row>
    <row r="41" spans="1:4" x14ac:dyDescent="0.25">
      <c r="A41" s="1102" t="s">
        <v>984</v>
      </c>
      <c r="B41" s="1100" t="s">
        <v>416</v>
      </c>
      <c r="C41" s="1293"/>
    </row>
    <row r="42" spans="1:4" ht="30" x14ac:dyDescent="0.25">
      <c r="A42" s="1102" t="s">
        <v>985</v>
      </c>
      <c r="B42" s="1100" t="s">
        <v>6</v>
      </c>
      <c r="C42" s="1293"/>
    </row>
    <row r="43" spans="1:4" x14ac:dyDescent="0.25">
      <c r="A43" s="1433" t="s">
        <v>986</v>
      </c>
      <c r="B43" s="1041" t="s">
        <v>826</v>
      </c>
      <c r="C43" s="1289">
        <v>477000</v>
      </c>
    </row>
    <row r="44" spans="1:4" x14ac:dyDescent="0.25">
      <c r="A44" s="1102" t="s">
        <v>987</v>
      </c>
      <c r="B44" s="1100" t="s">
        <v>713</v>
      </c>
      <c r="C44" s="1289">
        <v>4366771</v>
      </c>
    </row>
    <row r="45" spans="1:4" x14ac:dyDescent="0.25">
      <c r="A45" s="1102" t="s">
        <v>988</v>
      </c>
      <c r="B45" s="1041" t="s">
        <v>822</v>
      </c>
      <c r="C45" s="1293"/>
    </row>
    <row r="46" spans="1:4" x14ac:dyDescent="0.25">
      <c r="A46" s="1102" t="s">
        <v>991</v>
      </c>
      <c r="B46" s="1041" t="s">
        <v>827</v>
      </c>
      <c r="C46" s="1287">
        <f>16435638+5649340</f>
        <v>22084978</v>
      </c>
    </row>
    <row r="47" spans="1:4" ht="16.5" thickBot="1" x14ac:dyDescent="0.3">
      <c r="A47" s="1223" t="s">
        <v>1010</v>
      </c>
      <c r="B47" s="1221" t="s">
        <v>1011</v>
      </c>
      <c r="C47" s="1295">
        <v>12622000</v>
      </c>
    </row>
    <row r="48" spans="1:4" ht="20.25" customHeight="1" thickBot="1" x14ac:dyDescent="0.3">
      <c r="A48" s="1224" t="s">
        <v>1012</v>
      </c>
      <c r="B48" s="1109" t="s">
        <v>1013</v>
      </c>
      <c r="C48" s="1296">
        <f>SUM(C40:C47)</f>
        <v>39550749</v>
      </c>
    </row>
    <row r="49" spans="1:5" ht="16.5" thickBot="1" x14ac:dyDescent="0.3">
      <c r="A49" s="1105"/>
      <c r="B49" s="1106" t="s">
        <v>54</v>
      </c>
      <c r="C49" s="1185">
        <f>C19+C25+C39+C48</f>
        <v>1360213776</v>
      </c>
      <c r="E49" s="713"/>
    </row>
    <row r="51" spans="1:5" x14ac:dyDescent="0.25">
      <c r="B51" s="246"/>
    </row>
    <row r="52" spans="1:5" x14ac:dyDescent="0.25">
      <c r="B52" s="246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F31"/>
  <sheetViews>
    <sheetView zoomScale="130" zoomScaleNormal="130" workbookViewId="0">
      <selection sqref="A1:D1"/>
    </sheetView>
  </sheetViews>
  <sheetFormatPr defaultRowHeight="12.75" x14ac:dyDescent="0.2"/>
  <cols>
    <col min="1" max="1" width="6.6640625" style="1005" customWidth="1"/>
    <col min="2" max="2" width="43.33203125" style="1005" customWidth="1"/>
    <col min="3" max="3" width="31.1640625" style="1005" customWidth="1"/>
    <col min="4" max="4" width="14.83203125" style="1033" customWidth="1"/>
    <col min="5" max="16384" width="9.33203125" style="1005"/>
  </cols>
  <sheetData>
    <row r="1" spans="1:6" x14ac:dyDescent="0.2">
      <c r="A1" s="1491" t="str">
        <f>CONCATENATE("27. melléklet"," ",ALAPADATOK!A7," ",ALAPADATOK!B7," ",ALAPADATOK!C7," ",ALAPADATOK!D7," ",ALAPADATOK!E7," ",ALAPADATOK!F7," ",ALAPADATOK!G7," ",ALAPADATOK!H7)</f>
        <v>27. melléklet a 21 / 2020. ( IX.25. ) önkormányzati rendelethez</v>
      </c>
      <c r="B1" s="1491"/>
      <c r="C1" s="1491"/>
      <c r="D1" s="1491"/>
    </row>
    <row r="3" spans="1:6" ht="45" customHeight="1" x14ac:dyDescent="0.25">
      <c r="A3" s="1545" t="s">
        <v>828</v>
      </c>
      <c r="B3" s="1545"/>
      <c r="C3" s="1545"/>
      <c r="D3" s="1545"/>
    </row>
    <row r="4" spans="1:6" ht="17.25" customHeight="1" x14ac:dyDescent="0.25">
      <c r="A4" s="1237"/>
      <c r="B4" s="1237"/>
      <c r="C4" s="1237"/>
      <c r="D4" s="714"/>
    </row>
    <row r="5" spans="1:6" ht="13.5" thickBot="1" x14ac:dyDescent="0.25">
      <c r="A5" s="78"/>
      <c r="B5" s="78"/>
      <c r="C5" s="1546" t="s">
        <v>557</v>
      </c>
      <c r="D5" s="1546"/>
    </row>
    <row r="6" spans="1:6" ht="42.75" customHeight="1" thickBot="1" x14ac:dyDescent="0.25">
      <c r="A6" s="718" t="s">
        <v>72</v>
      </c>
      <c r="B6" s="719" t="s">
        <v>122</v>
      </c>
      <c r="C6" s="719" t="s">
        <v>123</v>
      </c>
      <c r="D6" s="720" t="s">
        <v>17</v>
      </c>
    </row>
    <row r="7" spans="1:6" ht="15.95" customHeight="1" x14ac:dyDescent="0.2">
      <c r="A7" s="716" t="s">
        <v>21</v>
      </c>
      <c r="B7" s="717" t="s">
        <v>418</v>
      </c>
      <c r="C7" s="248" t="s">
        <v>419</v>
      </c>
      <c r="D7" s="1039">
        <v>6000000</v>
      </c>
      <c r="E7" s="1114"/>
      <c r="F7" s="1114"/>
    </row>
    <row r="8" spans="1:6" ht="15.95" customHeight="1" x14ac:dyDescent="0.2">
      <c r="A8" s="1012" t="s">
        <v>22</v>
      </c>
      <c r="B8" s="1021" t="s">
        <v>420</v>
      </c>
      <c r="C8" s="24" t="s">
        <v>419</v>
      </c>
      <c r="D8" s="38">
        <v>2500000</v>
      </c>
      <c r="E8" s="1114"/>
      <c r="F8" s="1114"/>
    </row>
    <row r="9" spans="1:6" ht="15.95" customHeight="1" x14ac:dyDescent="0.2">
      <c r="A9" s="1012" t="s">
        <v>23</v>
      </c>
      <c r="B9" s="1021" t="s">
        <v>421</v>
      </c>
      <c r="C9" s="24" t="s">
        <v>419</v>
      </c>
      <c r="D9" s="38">
        <v>1000000</v>
      </c>
      <c r="E9" s="1114"/>
      <c r="F9" s="1114"/>
    </row>
    <row r="10" spans="1:6" ht="15.95" customHeight="1" x14ac:dyDescent="0.2">
      <c r="A10" s="1012" t="s">
        <v>24</v>
      </c>
      <c r="B10" s="1021" t="s">
        <v>422</v>
      </c>
      <c r="C10" s="1007" t="s">
        <v>419</v>
      </c>
      <c r="D10" s="38">
        <f>5000000</f>
        <v>5000000</v>
      </c>
      <c r="E10" s="1114"/>
      <c r="F10" s="1114"/>
    </row>
    <row r="11" spans="1:6" ht="15.95" customHeight="1" x14ac:dyDescent="0.2">
      <c r="A11" s="716" t="s">
        <v>25</v>
      </c>
      <c r="B11" s="1021" t="s">
        <v>423</v>
      </c>
      <c r="C11" s="248" t="s">
        <v>419</v>
      </c>
      <c r="D11" s="38">
        <f>500000</f>
        <v>500000</v>
      </c>
      <c r="E11" s="1114"/>
      <c r="F11" s="1114"/>
    </row>
    <row r="12" spans="1:6" ht="15.95" customHeight="1" x14ac:dyDescent="0.2">
      <c r="A12" s="1012" t="s">
        <v>26</v>
      </c>
      <c r="B12" s="1021" t="s">
        <v>424</v>
      </c>
      <c r="C12" s="1007" t="s">
        <v>419</v>
      </c>
      <c r="D12" s="38">
        <v>1000000</v>
      </c>
      <c r="E12" s="1114"/>
      <c r="F12" s="1114"/>
    </row>
    <row r="13" spans="1:6" ht="15.95" customHeight="1" x14ac:dyDescent="0.2">
      <c r="A13" s="1012" t="s">
        <v>27</v>
      </c>
      <c r="B13" s="1021" t="s">
        <v>1042</v>
      </c>
      <c r="C13" s="247" t="s">
        <v>419</v>
      </c>
      <c r="D13" s="38">
        <v>1000000</v>
      </c>
      <c r="E13" s="1114"/>
      <c r="F13" s="1114"/>
    </row>
    <row r="14" spans="1:6" ht="15.95" customHeight="1" x14ac:dyDescent="0.2">
      <c r="A14" s="1012" t="s">
        <v>28</v>
      </c>
      <c r="B14" s="1021" t="s">
        <v>715</v>
      </c>
      <c r="C14" s="1007" t="s">
        <v>419</v>
      </c>
      <c r="D14" s="38">
        <v>6299183</v>
      </c>
      <c r="E14" s="1114"/>
      <c r="F14" s="1114"/>
    </row>
    <row r="15" spans="1:6" ht="15.95" customHeight="1" x14ac:dyDescent="0.2">
      <c r="A15" s="716" t="s">
        <v>29</v>
      </c>
      <c r="B15" s="1021" t="s">
        <v>716</v>
      </c>
      <c r="C15" s="1007" t="s">
        <v>419</v>
      </c>
      <c r="D15" s="38">
        <v>2777597</v>
      </c>
      <c r="E15" s="1114"/>
      <c r="F15" s="1114"/>
    </row>
    <row r="16" spans="1:6" ht="15.95" customHeight="1" x14ac:dyDescent="0.2">
      <c r="A16" s="1012" t="s">
        <v>30</v>
      </c>
      <c r="B16" s="1021" t="s">
        <v>929</v>
      </c>
      <c r="C16" s="1007" t="s">
        <v>419</v>
      </c>
      <c r="D16" s="38">
        <v>5327836</v>
      </c>
      <c r="E16" s="1114"/>
      <c r="F16" s="1114"/>
    </row>
    <row r="17" spans="1:6" ht="15.95" customHeight="1" x14ac:dyDescent="0.2">
      <c r="A17" s="1012" t="s">
        <v>31</v>
      </c>
      <c r="B17" s="1021" t="s">
        <v>930</v>
      </c>
      <c r="C17" s="1007" t="s">
        <v>419</v>
      </c>
      <c r="D17" s="38">
        <v>2953846</v>
      </c>
      <c r="E17" s="1114"/>
      <c r="F17" s="1114"/>
    </row>
    <row r="18" spans="1:6" ht="15.95" customHeight="1" x14ac:dyDescent="0.2">
      <c r="A18" s="1012" t="s">
        <v>32</v>
      </c>
      <c r="B18" s="1021" t="s">
        <v>715</v>
      </c>
      <c r="C18" s="1007" t="s">
        <v>425</v>
      </c>
      <c r="D18" s="38">
        <v>990092</v>
      </c>
      <c r="E18" s="1114"/>
      <c r="F18" s="1114"/>
    </row>
    <row r="19" spans="1:6" ht="15.95" customHeight="1" x14ac:dyDescent="0.2">
      <c r="A19" s="716" t="s">
        <v>33</v>
      </c>
      <c r="B19" s="1021" t="s">
        <v>716</v>
      </c>
      <c r="C19" s="1007" t="s">
        <v>425</v>
      </c>
      <c r="D19" s="38">
        <v>3076817</v>
      </c>
      <c r="E19" s="1114"/>
      <c r="F19" s="1114"/>
    </row>
    <row r="20" spans="1:6" ht="15.95" customHeight="1" x14ac:dyDescent="0.2">
      <c r="A20" s="1012" t="s">
        <v>34</v>
      </c>
      <c r="B20" s="1021" t="s">
        <v>929</v>
      </c>
      <c r="C20" s="1007" t="s">
        <v>425</v>
      </c>
      <c r="D20" s="38">
        <v>999592</v>
      </c>
      <c r="E20" s="1114"/>
      <c r="F20" s="1114"/>
    </row>
    <row r="21" spans="1:6" ht="15.95" customHeight="1" x14ac:dyDescent="0.2">
      <c r="A21" s="1012" t="s">
        <v>35</v>
      </c>
      <c r="B21" s="1423" t="s">
        <v>930</v>
      </c>
      <c r="C21" s="1424" t="s">
        <v>425</v>
      </c>
      <c r="D21" s="1425">
        <f>2835398-1023179</f>
        <v>1812219</v>
      </c>
      <c r="E21" s="1114"/>
      <c r="F21" s="1114"/>
    </row>
    <row r="22" spans="1:6" ht="15.95" customHeight="1" x14ac:dyDescent="0.2">
      <c r="A22" s="1012" t="s">
        <v>36</v>
      </c>
      <c r="B22" s="1021" t="s">
        <v>559</v>
      </c>
      <c r="C22" s="1007" t="s">
        <v>419</v>
      </c>
      <c r="D22" s="38">
        <v>200000</v>
      </c>
    </row>
    <row r="23" spans="1:6" ht="15.95" customHeight="1" x14ac:dyDescent="0.2">
      <c r="A23" s="716" t="s">
        <v>37</v>
      </c>
      <c r="B23" s="1021" t="s">
        <v>573</v>
      </c>
      <c r="C23" s="1007" t="s">
        <v>419</v>
      </c>
      <c r="D23" s="38">
        <v>4730000</v>
      </c>
    </row>
    <row r="24" spans="1:6" ht="15.95" customHeight="1" x14ac:dyDescent="0.2">
      <c r="A24" s="1012" t="s">
        <v>38</v>
      </c>
      <c r="B24" s="1021" t="s">
        <v>591</v>
      </c>
      <c r="C24" s="1007" t="s">
        <v>419</v>
      </c>
      <c r="D24" s="38">
        <f>86508996+18000000</f>
        <v>104508996</v>
      </c>
    </row>
    <row r="25" spans="1:6" ht="15.95" customHeight="1" x14ac:dyDescent="0.2">
      <c r="A25" s="1012" t="s">
        <v>39</v>
      </c>
      <c r="B25" s="1021" t="s">
        <v>595</v>
      </c>
      <c r="C25" s="1007" t="s">
        <v>419</v>
      </c>
      <c r="D25" s="38">
        <v>1000000</v>
      </c>
    </row>
    <row r="26" spans="1:6" ht="15.95" customHeight="1" x14ac:dyDescent="0.2">
      <c r="A26" s="1012" t="s">
        <v>40</v>
      </c>
      <c r="B26" s="1021" t="s">
        <v>592</v>
      </c>
      <c r="C26" s="1007" t="s">
        <v>419</v>
      </c>
      <c r="D26" s="38">
        <v>526000</v>
      </c>
    </row>
    <row r="27" spans="1:6" ht="15.95" customHeight="1" x14ac:dyDescent="0.2">
      <c r="A27" s="716" t="s">
        <v>41</v>
      </c>
      <c r="B27" s="1021" t="s">
        <v>717</v>
      </c>
      <c r="C27" s="1007" t="s">
        <v>419</v>
      </c>
      <c r="D27" s="38">
        <v>65012000</v>
      </c>
    </row>
    <row r="28" spans="1:6" ht="15.95" customHeight="1" x14ac:dyDescent="0.2">
      <c r="A28" s="716" t="s">
        <v>42</v>
      </c>
      <c r="B28" s="1021" t="s">
        <v>1014</v>
      </c>
      <c r="C28" s="1007" t="s">
        <v>419</v>
      </c>
      <c r="D28" s="38">
        <v>1620969</v>
      </c>
    </row>
    <row r="29" spans="1:6" ht="15.95" customHeight="1" x14ac:dyDescent="0.2">
      <c r="A29" s="1367" t="s">
        <v>43</v>
      </c>
      <c r="B29" s="1368" t="s">
        <v>1033</v>
      </c>
      <c r="C29" s="24" t="s">
        <v>419</v>
      </c>
      <c r="D29" s="1366">
        <v>986190</v>
      </c>
    </row>
    <row r="30" spans="1:6" ht="15.95" customHeight="1" thickBot="1" x14ac:dyDescent="0.25">
      <c r="A30" s="1367" t="s">
        <v>44</v>
      </c>
      <c r="B30" s="1368" t="s">
        <v>1034</v>
      </c>
      <c r="C30" s="24" t="s">
        <v>419</v>
      </c>
      <c r="D30" s="1369">
        <v>935000</v>
      </c>
    </row>
    <row r="31" spans="1:6" ht="15.95" customHeight="1" thickBot="1" x14ac:dyDescent="0.25">
      <c r="A31" s="1547" t="s">
        <v>54</v>
      </c>
      <c r="B31" s="1548"/>
      <c r="C31" s="79"/>
      <c r="D31" s="715">
        <f>SUM(D7:D30)</f>
        <v>220756337</v>
      </c>
    </row>
  </sheetData>
  <mergeCells count="4">
    <mergeCell ref="A1:D1"/>
    <mergeCell ref="A3:D3"/>
    <mergeCell ref="C5:D5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pageSetUpPr fitToPage="1"/>
  </sheetPr>
  <dimension ref="A1:GL69"/>
  <sheetViews>
    <sheetView tabSelected="1" view="pageBreakPreview" zoomScale="85" zoomScaleNormal="100" zoomScaleSheetLayoutView="85" zoomScalePageLayoutView="85" workbookViewId="0">
      <selection activeCell="A3" sqref="A3:O3"/>
    </sheetView>
  </sheetViews>
  <sheetFormatPr defaultColWidth="10.6640625" defaultRowHeight="12.75" x14ac:dyDescent="0.2"/>
  <cols>
    <col min="1" max="1" width="10.6640625" style="1080"/>
    <col min="2" max="2" width="42.33203125" style="1080" customWidth="1"/>
    <col min="3" max="3" width="13" style="323" bestFit="1" customWidth="1"/>
    <col min="4" max="5" width="11.1640625" style="323" bestFit="1" customWidth="1"/>
    <col min="6" max="7" width="11.83203125" style="323" bestFit="1" customWidth="1"/>
    <col min="8" max="8" width="13.6640625" style="757" bestFit="1" customWidth="1"/>
    <col min="9" max="9" width="1.1640625" style="324" customWidth="1"/>
    <col min="10" max="10" width="12.6640625" style="1080" bestFit="1" customWidth="1"/>
    <col min="11" max="11" width="11.83203125" style="1080" bestFit="1" customWidth="1"/>
    <col min="12" max="12" width="13.33203125" style="1080" bestFit="1" customWidth="1"/>
    <col min="13" max="14" width="11.83203125" style="1080" bestFit="1" customWidth="1"/>
    <col min="15" max="15" width="15.1640625" style="325" bestFit="1" customWidth="1"/>
    <col min="16" max="16" width="15.1640625" style="1080" customWidth="1"/>
    <col min="17" max="16384" width="10.6640625" style="1080"/>
  </cols>
  <sheetData>
    <row r="1" spans="1:194" x14ac:dyDescent="0.2">
      <c r="A1" s="1570" t="str">
        <f>CONCATENATE("28. melléklet"," ",ALAPADATOK!A7," ",ALAPADATOK!B7," ",ALAPADATOK!C7," ",ALAPADATOK!D7," ",ALAPADATOK!E7," ",ALAPADATOK!F7," ",ALAPADATOK!G7," ",ALAPADATOK!H7)</f>
        <v>28. melléklet a 21 / 2020. ( IX.25. ) önkormányzati rendelethez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570"/>
      <c r="N1" s="1570"/>
      <c r="O1" s="1570"/>
    </row>
    <row r="2" spans="1:194" ht="12.75" customHeight="1" x14ac:dyDescent="0.2">
      <c r="B2" s="326"/>
      <c r="F2" s="327"/>
      <c r="J2" s="326"/>
      <c r="K2" s="1571" t="s">
        <v>1028</v>
      </c>
      <c r="L2" s="1571"/>
      <c r="M2" s="1571"/>
      <c r="N2" s="1571"/>
      <c r="O2" s="1571"/>
    </row>
    <row r="3" spans="1:194" ht="17.25" customHeight="1" x14ac:dyDescent="0.35">
      <c r="A3" s="1572" t="s">
        <v>829</v>
      </c>
      <c r="B3" s="1572"/>
      <c r="C3" s="1572"/>
      <c r="D3" s="1572"/>
      <c r="E3" s="1572"/>
      <c r="F3" s="1572"/>
      <c r="G3" s="1572"/>
      <c r="H3" s="1572"/>
      <c r="I3" s="1572"/>
      <c r="J3" s="1572"/>
      <c r="K3" s="1572"/>
      <c r="L3" s="1572"/>
      <c r="M3" s="1572"/>
      <c r="N3" s="1572"/>
      <c r="O3" s="1572"/>
      <c r="P3" s="1091"/>
    </row>
    <row r="4" spans="1:194" ht="19.5" x14ac:dyDescent="0.35">
      <c r="A4" s="1573" t="s">
        <v>426</v>
      </c>
      <c r="B4" s="1573"/>
      <c r="C4" s="1573"/>
      <c r="D4" s="1573"/>
      <c r="E4" s="1573"/>
      <c r="F4" s="1573"/>
      <c r="G4" s="1573"/>
      <c r="H4" s="1573"/>
      <c r="I4" s="1573"/>
      <c r="J4" s="1573"/>
      <c r="K4" s="1573"/>
      <c r="L4" s="1573"/>
      <c r="M4" s="1573"/>
      <c r="N4" s="1573"/>
      <c r="O4" s="1573"/>
      <c r="P4" s="1091"/>
    </row>
    <row r="5" spans="1:194" ht="0.75" customHeight="1" thickBot="1" x14ac:dyDescent="0.35">
      <c r="B5" s="332"/>
      <c r="C5" s="329"/>
      <c r="D5" s="329"/>
      <c r="E5" s="329"/>
      <c r="F5" s="329"/>
      <c r="G5" s="329"/>
      <c r="H5" s="758"/>
      <c r="I5" s="330"/>
      <c r="J5" s="331"/>
      <c r="K5" s="331"/>
      <c r="L5" s="331"/>
      <c r="M5" s="331"/>
      <c r="N5" s="331"/>
      <c r="O5" s="328" t="s">
        <v>381</v>
      </c>
      <c r="P5" s="1091"/>
    </row>
    <row r="6" spans="1:194" ht="15.75" x14ac:dyDescent="0.25">
      <c r="A6" s="1574" t="s">
        <v>718</v>
      </c>
      <c r="B6" s="1577" t="s">
        <v>166</v>
      </c>
      <c r="C6" s="1580" t="s">
        <v>427</v>
      </c>
      <c r="D6" s="1581"/>
      <c r="E6" s="1581"/>
      <c r="F6" s="1581"/>
      <c r="G6" s="1581"/>
      <c r="H6" s="1582"/>
      <c r="I6" s="333"/>
      <c r="J6" s="1580" t="s">
        <v>428</v>
      </c>
      <c r="K6" s="1581"/>
      <c r="L6" s="1581"/>
      <c r="M6" s="1581"/>
      <c r="N6" s="1581"/>
      <c r="O6" s="1582"/>
      <c r="P6" s="1091"/>
    </row>
    <row r="7" spans="1:194" x14ac:dyDescent="0.2">
      <c r="A7" s="1575"/>
      <c r="B7" s="1578"/>
      <c r="C7" s="334" t="s">
        <v>429</v>
      </c>
      <c r="D7" s="335" t="s">
        <v>394</v>
      </c>
      <c r="E7" s="335" t="s">
        <v>439</v>
      </c>
      <c r="F7" s="335" t="s">
        <v>430</v>
      </c>
      <c r="G7" s="335" t="s">
        <v>541</v>
      </c>
      <c r="H7" s="759" t="s">
        <v>654</v>
      </c>
      <c r="I7" s="337"/>
      <c r="J7" s="334" t="s">
        <v>429</v>
      </c>
      <c r="K7" s="335" t="s">
        <v>394</v>
      </c>
      <c r="L7" s="335" t="s">
        <v>442</v>
      </c>
      <c r="M7" s="335" t="s">
        <v>124</v>
      </c>
      <c r="N7" s="335" t="s">
        <v>440</v>
      </c>
      <c r="O7" s="336" t="s">
        <v>655</v>
      </c>
      <c r="P7" s="1091"/>
    </row>
    <row r="8" spans="1:194" ht="13.5" thickBot="1" x14ac:dyDescent="0.25">
      <c r="A8" s="1576"/>
      <c r="B8" s="1579"/>
      <c r="C8" s="370" t="s">
        <v>431</v>
      </c>
      <c r="D8" s="371" t="s">
        <v>431</v>
      </c>
      <c r="E8" s="371" t="s">
        <v>431</v>
      </c>
      <c r="F8" s="371" t="s">
        <v>432</v>
      </c>
      <c r="G8" s="371"/>
      <c r="H8" s="760" t="s">
        <v>433</v>
      </c>
      <c r="I8" s="745"/>
      <c r="J8" s="370" t="s">
        <v>434</v>
      </c>
      <c r="K8" s="371" t="s">
        <v>400</v>
      </c>
      <c r="L8" s="371" t="s">
        <v>396</v>
      </c>
      <c r="M8" s="371"/>
      <c r="N8" s="371"/>
      <c r="O8" s="372" t="s">
        <v>435</v>
      </c>
      <c r="P8" s="1091"/>
    </row>
    <row r="9" spans="1:194" ht="14.25" thickBot="1" x14ac:dyDescent="0.3">
      <c r="A9" s="1551" t="s">
        <v>719</v>
      </c>
      <c r="B9" s="1552"/>
      <c r="C9" s="1553"/>
      <c r="D9" s="1553"/>
      <c r="E9" s="1553"/>
      <c r="F9" s="1553"/>
      <c r="G9" s="1553"/>
      <c r="H9" s="1553"/>
      <c r="I9" s="1553"/>
      <c r="J9" s="1553"/>
      <c r="K9" s="1553"/>
      <c r="L9" s="1553"/>
      <c r="M9" s="1553"/>
      <c r="N9" s="1553"/>
      <c r="O9" s="1554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</row>
    <row r="10" spans="1:194" ht="38.25" x14ac:dyDescent="0.2">
      <c r="A10" s="736" t="s">
        <v>720</v>
      </c>
      <c r="B10" s="737" t="s">
        <v>726</v>
      </c>
      <c r="C10" s="728">
        <f>127000</f>
        <v>127000</v>
      </c>
      <c r="D10" s="725"/>
      <c r="E10" s="725"/>
      <c r="F10" s="725"/>
      <c r="G10" s="725"/>
      <c r="H10" s="338">
        <f t="shared" ref="H10:H15" si="0">SUM(C10:G10)</f>
        <v>127000</v>
      </c>
      <c r="I10" s="1426"/>
      <c r="J10" s="723">
        <f>31040542-347250-638940</f>
        <v>30054352</v>
      </c>
      <c r="K10" s="722">
        <v>2072640</v>
      </c>
      <c r="L10" s="722"/>
      <c r="M10" s="722"/>
      <c r="N10" s="722"/>
      <c r="O10" s="1094">
        <f t="shared" ref="O10:O15" si="1">SUM(J10:N10)</f>
        <v>32126992</v>
      </c>
      <c r="P10" s="1091"/>
    </row>
    <row r="11" spans="1:194" x14ac:dyDescent="0.2">
      <c r="A11" s="738" t="s">
        <v>721</v>
      </c>
      <c r="B11" s="739" t="s">
        <v>727</v>
      </c>
      <c r="C11" s="1081"/>
      <c r="D11" s="1082"/>
      <c r="E11" s="1082"/>
      <c r="F11" s="1082"/>
      <c r="G11" s="1082"/>
      <c r="H11" s="1094">
        <f t="shared" si="0"/>
        <v>0</v>
      </c>
      <c r="I11" s="1426"/>
      <c r="J11" s="1084">
        <v>1000000</v>
      </c>
      <c r="K11" s="1082"/>
      <c r="L11" s="1082"/>
      <c r="M11" s="1082"/>
      <c r="N11" s="1082"/>
      <c r="O11" s="1094">
        <f t="shared" si="1"/>
        <v>1000000</v>
      </c>
      <c r="P11" s="1091"/>
    </row>
    <row r="12" spans="1:194" ht="25.5" x14ac:dyDescent="0.2">
      <c r="A12" s="738" t="s">
        <v>722</v>
      </c>
      <c r="B12" s="739" t="s">
        <v>728</v>
      </c>
      <c r="C12" s="1081">
        <f>36271956+565200+152604+956791</f>
        <v>37946551</v>
      </c>
      <c r="D12" s="1082">
        <f>44304508</f>
        <v>44304508</v>
      </c>
      <c r="E12" s="1082"/>
      <c r="F12" s="1082"/>
      <c r="G12" s="1082"/>
      <c r="H12" s="1085">
        <f t="shared" si="0"/>
        <v>82251059</v>
      </c>
      <c r="I12" s="766"/>
      <c r="J12" s="1178">
        <f>30612954+565200+152604+956791+17328417+318946+388095</f>
        <v>50323007</v>
      </c>
      <c r="K12" s="1082">
        <f>199637534+594360</f>
        <v>200231894</v>
      </c>
      <c r="L12" s="1082"/>
      <c r="M12" s="1082"/>
      <c r="N12" s="1082"/>
      <c r="O12" s="1094">
        <f t="shared" si="1"/>
        <v>250554901</v>
      </c>
      <c r="P12" s="1091"/>
    </row>
    <row r="13" spans="1:194" ht="25.5" x14ac:dyDescent="0.2">
      <c r="A13" s="738" t="s">
        <v>723</v>
      </c>
      <c r="B13" s="739" t="s">
        <v>443</v>
      </c>
      <c r="C13" s="1081">
        <f>1560000+675000-47244-12756+34000</f>
        <v>2209000</v>
      </c>
      <c r="D13" s="342"/>
      <c r="E13" s="1082"/>
      <c r="F13" s="1082"/>
      <c r="G13" s="1082"/>
      <c r="H13" s="1085">
        <f t="shared" si="0"/>
        <v>2209000</v>
      </c>
      <c r="I13" s="1427" t="e">
        <f>SUM(#REF!)</f>
        <v>#REF!</v>
      </c>
      <c r="J13" s="1084">
        <f>7396164+87795+23705-36461-415012</f>
        <v>7056191</v>
      </c>
      <c r="K13" s="1082">
        <v>300000</v>
      </c>
      <c r="L13" s="1082"/>
      <c r="M13" s="1082"/>
      <c r="N13" s="1082"/>
      <c r="O13" s="1094">
        <f t="shared" si="1"/>
        <v>7356191</v>
      </c>
      <c r="P13" s="1091"/>
    </row>
    <row r="14" spans="1:194" ht="25.5" x14ac:dyDescent="0.2">
      <c r="A14" s="738" t="s">
        <v>724</v>
      </c>
      <c r="B14" s="739" t="s">
        <v>729</v>
      </c>
      <c r="C14" s="1081">
        <f>1503038688+33216359+12622000+27629700+45672254-62000-27567700+477000+50111619+4495800</f>
        <v>1649633720</v>
      </c>
      <c r="D14" s="343"/>
      <c r="E14" s="1082"/>
      <c r="F14" s="343"/>
      <c r="G14" s="343"/>
      <c r="H14" s="1085">
        <f t="shared" si="0"/>
        <v>1649633720</v>
      </c>
      <c r="I14" s="1426"/>
      <c r="J14" s="1084">
        <f>45672254+792176+18509+3737</f>
        <v>46486676</v>
      </c>
      <c r="K14" s="1082"/>
      <c r="L14" s="343"/>
      <c r="M14" s="343"/>
      <c r="N14" s="343"/>
      <c r="O14" s="1094">
        <f t="shared" si="1"/>
        <v>46486676</v>
      </c>
      <c r="P14" s="1091"/>
    </row>
    <row r="15" spans="1:194" ht="13.5" thickBot="1" x14ac:dyDescent="0.25">
      <c r="A15" s="740" t="s">
        <v>725</v>
      </c>
      <c r="B15" s="1095" t="s">
        <v>441</v>
      </c>
      <c r="C15" s="729"/>
      <c r="D15" s="763"/>
      <c r="E15" s="727"/>
      <c r="F15" s="727"/>
      <c r="G15" s="727">
        <f>933393998+8179828-3268740</f>
        <v>938305086</v>
      </c>
      <c r="H15" s="761">
        <f t="shared" si="0"/>
        <v>938305086</v>
      </c>
      <c r="I15" s="1426"/>
      <c r="J15" s="1089">
        <v>526000</v>
      </c>
      <c r="K15" s="1087"/>
      <c r="L15" s="483">
        <v>1512687489</v>
      </c>
      <c r="M15" s="1087"/>
      <c r="N15" s="1087"/>
      <c r="O15" s="1094">
        <f t="shared" si="1"/>
        <v>1513213489</v>
      </c>
      <c r="P15" s="1091"/>
    </row>
    <row r="16" spans="1:194" ht="14.25" thickBot="1" x14ac:dyDescent="0.3">
      <c r="A16" s="1555" t="s">
        <v>730</v>
      </c>
      <c r="B16" s="1556"/>
      <c r="C16" s="1553"/>
      <c r="D16" s="1553"/>
      <c r="E16" s="1553"/>
      <c r="F16" s="1553"/>
      <c r="G16" s="1553"/>
      <c r="H16" s="1553"/>
      <c r="I16" s="1553"/>
      <c r="J16" s="1553"/>
      <c r="K16" s="1553"/>
      <c r="L16" s="1553"/>
      <c r="M16" s="1553"/>
      <c r="N16" s="1553"/>
      <c r="O16" s="1554"/>
      <c r="P16" s="1091"/>
    </row>
    <row r="17" spans="1:16" s="1091" customFormat="1" ht="26.25" thickBot="1" x14ac:dyDescent="0.25">
      <c r="A17" s="755" t="s">
        <v>731</v>
      </c>
      <c r="B17" s="756" t="s">
        <v>732</v>
      </c>
      <c r="C17" s="748"/>
      <c r="D17" s="746"/>
      <c r="E17" s="746"/>
      <c r="F17" s="746"/>
      <c r="G17" s="746"/>
      <c r="H17" s="747">
        <f>SUM(C17:G17)</f>
        <v>0</v>
      </c>
      <c r="I17" s="753"/>
      <c r="J17" s="749">
        <f>2000</f>
        <v>2000</v>
      </c>
      <c r="K17" s="746"/>
      <c r="L17" s="746"/>
      <c r="M17" s="746"/>
      <c r="N17" s="746"/>
      <c r="O17" s="1094">
        <f>SUM(J17:N17)</f>
        <v>2000</v>
      </c>
    </row>
    <row r="18" spans="1:16" s="1091" customFormat="1" ht="14.25" thickBot="1" x14ac:dyDescent="0.3">
      <c r="A18" s="1557" t="s">
        <v>769</v>
      </c>
      <c r="B18" s="1558" t="s">
        <v>769</v>
      </c>
      <c r="C18" s="1552" t="s">
        <v>769</v>
      </c>
      <c r="D18" s="1552" t="s">
        <v>769</v>
      </c>
      <c r="E18" s="1552" t="s">
        <v>769</v>
      </c>
      <c r="F18" s="1552" t="s">
        <v>769</v>
      </c>
      <c r="G18" s="1552" t="s">
        <v>769</v>
      </c>
      <c r="H18" s="1552" t="s">
        <v>769</v>
      </c>
      <c r="I18" s="1553" t="s">
        <v>769</v>
      </c>
      <c r="J18" s="1552" t="s">
        <v>769</v>
      </c>
      <c r="K18" s="1552" t="s">
        <v>769</v>
      </c>
      <c r="L18" s="1552" t="s">
        <v>769</v>
      </c>
      <c r="M18" s="1552" t="s">
        <v>769</v>
      </c>
      <c r="N18" s="1552" t="s">
        <v>769</v>
      </c>
      <c r="O18" s="1559" t="s">
        <v>769</v>
      </c>
    </row>
    <row r="19" spans="1:16" s="1091" customFormat="1" x14ac:dyDescent="0.2">
      <c r="A19" s="730" t="s">
        <v>770</v>
      </c>
      <c r="B19" s="731" t="s">
        <v>771</v>
      </c>
      <c r="C19" s="728"/>
      <c r="D19" s="725"/>
      <c r="E19" s="725"/>
      <c r="F19" s="725"/>
      <c r="G19" s="725"/>
      <c r="H19" s="338">
        <f t="shared" ref="H19:H25" si="2">SUM(C19:G19)</f>
        <v>0</v>
      </c>
      <c r="I19" s="1090"/>
      <c r="J19" s="724">
        <v>46431577</v>
      </c>
      <c r="K19" s="725">
        <v>10000000</v>
      </c>
      <c r="L19" s="725"/>
      <c r="M19" s="725"/>
      <c r="N19" s="725"/>
      <c r="O19" s="338">
        <f t="shared" ref="O19:O25" si="3">SUM(J19:N19)</f>
        <v>56431577</v>
      </c>
    </row>
    <row r="20" spans="1:16" s="1091" customFormat="1" ht="25.5" x14ac:dyDescent="0.2">
      <c r="A20" s="732" t="s">
        <v>772</v>
      </c>
      <c r="B20" s="733" t="s">
        <v>773</v>
      </c>
      <c r="C20" s="1081">
        <v>3150000</v>
      </c>
      <c r="D20" s="1082"/>
      <c r="E20" s="1082"/>
      <c r="F20" s="1082"/>
      <c r="G20" s="1082"/>
      <c r="H20" s="1085">
        <f t="shared" si="2"/>
        <v>3150000</v>
      </c>
      <c r="I20" s="1090"/>
      <c r="J20" s="1084">
        <f>2528061</f>
        <v>2528061</v>
      </c>
      <c r="K20" s="1082"/>
      <c r="L20" s="1082"/>
      <c r="M20" s="1082"/>
      <c r="N20" s="1082"/>
      <c r="O20" s="1085">
        <f t="shared" si="3"/>
        <v>2528061</v>
      </c>
    </row>
    <row r="21" spans="1:16" s="1091" customFormat="1" x14ac:dyDescent="0.2">
      <c r="A21" s="732" t="s">
        <v>774</v>
      </c>
      <c r="B21" s="733" t="s">
        <v>775</v>
      </c>
      <c r="C21" s="1081"/>
      <c r="D21" s="1082"/>
      <c r="E21" s="1082"/>
      <c r="F21" s="1082"/>
      <c r="G21" s="1082"/>
      <c r="H21" s="1085">
        <f t="shared" si="2"/>
        <v>0</v>
      </c>
      <c r="I21" s="1090"/>
      <c r="J21" s="1178">
        <f>6840212-649147-3071183</f>
        <v>3119882</v>
      </c>
      <c r="K21" s="1063">
        <f>30209788-2000000+109147-13000000-438817</f>
        <v>14880118</v>
      </c>
      <c r="L21" s="1082"/>
      <c r="M21" s="1082"/>
      <c r="N21" s="1082"/>
      <c r="O21" s="1085">
        <f t="shared" si="3"/>
        <v>18000000</v>
      </c>
    </row>
    <row r="22" spans="1:16" s="1091" customFormat="1" ht="25.5" x14ac:dyDescent="0.2">
      <c r="A22" s="732" t="s">
        <v>776</v>
      </c>
      <c r="B22" s="733" t="s">
        <v>777</v>
      </c>
      <c r="C22" s="1081"/>
      <c r="D22" s="1082"/>
      <c r="E22" s="1082"/>
      <c r="F22" s="1082"/>
      <c r="G22" s="1082"/>
      <c r="H22" s="1085">
        <f t="shared" si="2"/>
        <v>0</v>
      </c>
      <c r="I22" s="1090"/>
      <c r="J22" s="1084">
        <f>402897+6604733</f>
        <v>7007630</v>
      </c>
      <c r="K22" s="1082">
        <f>92092353+2000000</f>
        <v>94092353</v>
      </c>
      <c r="L22" s="1082"/>
      <c r="M22" s="1082"/>
      <c r="N22" s="1082"/>
      <c r="O22" s="1085">
        <f t="shared" si="3"/>
        <v>101099983</v>
      </c>
    </row>
    <row r="23" spans="1:16" s="1091" customFormat="1" ht="25.5" x14ac:dyDescent="0.2">
      <c r="A23" s="1225" t="s">
        <v>1015</v>
      </c>
      <c r="B23" s="1226" t="s">
        <v>1016</v>
      </c>
      <c r="C23" s="1227"/>
      <c r="D23" s="1082">
        <v>6000000</v>
      </c>
      <c r="E23" s="1228"/>
      <c r="F23" s="1228"/>
      <c r="G23" s="1063"/>
      <c r="H23" s="1085">
        <f>SUM(C23:G23)</f>
        <v>6000000</v>
      </c>
      <c r="I23" s="1180"/>
      <c r="J23" s="1178"/>
      <c r="K23" s="1082">
        <v>6000000</v>
      </c>
      <c r="L23" s="1063"/>
      <c r="M23" s="1063"/>
      <c r="N23" s="1063"/>
      <c r="O23" s="1085">
        <f t="shared" si="3"/>
        <v>6000000</v>
      </c>
    </row>
    <row r="24" spans="1:16" s="1091" customFormat="1" ht="25.5" x14ac:dyDescent="0.2">
      <c r="A24" s="732" t="s">
        <v>778</v>
      </c>
      <c r="B24" s="733" t="s">
        <v>779</v>
      </c>
      <c r="C24" s="1081"/>
      <c r="D24" s="1082"/>
      <c r="E24" s="1082"/>
      <c r="F24" s="1082"/>
      <c r="G24" s="1082"/>
      <c r="H24" s="1085">
        <f t="shared" si="2"/>
        <v>0</v>
      </c>
      <c r="I24" s="1090"/>
      <c r="J24" s="1084">
        <f>3163512+488</f>
        <v>3164000</v>
      </c>
      <c r="K24" s="1082">
        <f>5016896+233091-59267</f>
        <v>5190720</v>
      </c>
      <c r="L24" s="1082"/>
      <c r="M24" s="1082"/>
      <c r="N24" s="1082"/>
      <c r="O24" s="1085">
        <f t="shared" si="3"/>
        <v>8354720</v>
      </c>
    </row>
    <row r="25" spans="1:16" s="1091" customFormat="1" ht="26.25" thickBot="1" x14ac:dyDescent="0.25">
      <c r="A25" s="734" t="s">
        <v>780</v>
      </c>
      <c r="B25" s="735" t="s">
        <v>781</v>
      </c>
      <c r="C25" s="729"/>
      <c r="D25" s="727"/>
      <c r="E25" s="727"/>
      <c r="F25" s="727"/>
      <c r="G25" s="727"/>
      <c r="H25" s="761">
        <f t="shared" si="2"/>
        <v>0</v>
      </c>
      <c r="I25" s="1090"/>
      <c r="J25" s="754">
        <v>723900</v>
      </c>
      <c r="K25" s="727">
        <v>1016000</v>
      </c>
      <c r="L25" s="727"/>
      <c r="M25" s="727"/>
      <c r="N25" s="727"/>
      <c r="O25" s="761">
        <f t="shared" si="3"/>
        <v>1739900</v>
      </c>
    </row>
    <row r="26" spans="1:16" ht="14.25" thickBot="1" x14ac:dyDescent="0.3">
      <c r="A26" s="1557" t="s">
        <v>733</v>
      </c>
      <c r="B26" s="1558"/>
      <c r="C26" s="1558"/>
      <c r="D26" s="1558"/>
      <c r="E26" s="1558"/>
      <c r="F26" s="1558"/>
      <c r="G26" s="1558"/>
      <c r="H26" s="1558"/>
      <c r="I26" s="1553"/>
      <c r="J26" s="1558"/>
      <c r="K26" s="1558"/>
      <c r="L26" s="1558"/>
      <c r="M26" s="1558"/>
      <c r="N26" s="1558"/>
      <c r="O26" s="1560"/>
      <c r="P26" s="1091"/>
    </row>
    <row r="27" spans="1:16" ht="25.5" x14ac:dyDescent="0.2">
      <c r="A27" s="1064" t="s">
        <v>734</v>
      </c>
      <c r="B27" s="1065" t="s">
        <v>735</v>
      </c>
      <c r="C27" s="725">
        <v>507601</v>
      </c>
      <c r="D27" s="741"/>
      <c r="E27" s="741"/>
      <c r="F27" s="741"/>
      <c r="G27" s="741"/>
      <c r="H27" s="338">
        <f>SUM(C27:G27)</f>
        <v>507601</v>
      </c>
      <c r="I27" s="742"/>
      <c r="J27" s="724">
        <v>15896113</v>
      </c>
      <c r="K27" s="741"/>
      <c r="L27" s="741"/>
      <c r="M27" s="741"/>
      <c r="N27" s="741"/>
      <c r="O27" s="338">
        <f>SUM(J27:N27)</f>
        <v>15896113</v>
      </c>
      <c r="P27" s="1091"/>
    </row>
    <row r="28" spans="1:16" ht="25.5" x14ac:dyDescent="0.2">
      <c r="A28" s="1066" t="s">
        <v>736</v>
      </c>
      <c r="B28" s="1062" t="s">
        <v>446</v>
      </c>
      <c r="C28" s="1082"/>
      <c r="D28" s="1082"/>
      <c r="E28" s="1082"/>
      <c r="F28" s="1082"/>
      <c r="G28" s="1082"/>
      <c r="H28" s="1085">
        <f>SUM(C28:G28)</f>
        <v>0</v>
      </c>
      <c r="I28" s="344"/>
      <c r="J28" s="345">
        <v>835000</v>
      </c>
      <c r="K28" s="343"/>
      <c r="L28" s="343"/>
      <c r="M28" s="343"/>
      <c r="N28" s="343"/>
      <c r="O28" s="1085">
        <f>SUM(J28:N28)</f>
        <v>835000</v>
      </c>
      <c r="P28" s="1091"/>
    </row>
    <row r="29" spans="1:16" ht="25.5" x14ac:dyDescent="0.2">
      <c r="A29" s="1066" t="s">
        <v>737</v>
      </c>
      <c r="B29" s="1062" t="s">
        <v>738</v>
      </c>
      <c r="C29" s="1082">
        <f>900000</f>
        <v>900000</v>
      </c>
      <c r="D29" s="343"/>
      <c r="E29" s="1063"/>
      <c r="F29" s="343"/>
      <c r="G29" s="343"/>
      <c r="H29" s="1085">
        <f>SUM(C29:G29)</f>
        <v>900000</v>
      </c>
      <c r="I29" s="344"/>
      <c r="J29" s="1061"/>
      <c r="K29" s="1082">
        <v>359410</v>
      </c>
      <c r="L29" s="343"/>
      <c r="M29" s="343"/>
      <c r="N29" s="343"/>
      <c r="O29" s="1085">
        <f>SUM(J29:N29)</f>
        <v>359410</v>
      </c>
      <c r="P29" s="1091"/>
    </row>
    <row r="30" spans="1:16" ht="26.25" thickBot="1" x14ac:dyDescent="0.25">
      <c r="A30" s="1067" t="s">
        <v>948</v>
      </c>
      <c r="B30" s="1068" t="s">
        <v>947</v>
      </c>
      <c r="C30" s="727">
        <v>16392698</v>
      </c>
      <c r="D30" s="743">
        <v>2634996</v>
      </c>
      <c r="E30" s="726"/>
      <c r="F30" s="743"/>
      <c r="G30" s="743"/>
      <c r="H30" s="1085">
        <f>SUM(C30:G30)</f>
        <v>19027694</v>
      </c>
      <c r="I30" s="744"/>
      <c r="J30" s="1075">
        <v>16392698</v>
      </c>
      <c r="K30" s="727">
        <v>2634996</v>
      </c>
      <c r="L30" s="743"/>
      <c r="M30" s="743"/>
      <c r="N30" s="743"/>
      <c r="O30" s="1085">
        <f>SUM(J30:N30)</f>
        <v>19027694</v>
      </c>
      <c r="P30" s="1091"/>
    </row>
    <row r="31" spans="1:16" ht="14.25" thickBot="1" x14ac:dyDescent="0.3">
      <c r="A31" s="1561" t="s">
        <v>744</v>
      </c>
      <c r="B31" s="1562"/>
      <c r="C31" s="1563"/>
      <c r="D31" s="1563"/>
      <c r="E31" s="1563"/>
      <c r="F31" s="1563"/>
      <c r="G31" s="1563"/>
      <c r="H31" s="1563"/>
      <c r="I31" s="1563"/>
      <c r="J31" s="1563"/>
      <c r="K31" s="1563"/>
      <c r="L31" s="1563"/>
      <c r="M31" s="1563"/>
      <c r="N31" s="1563"/>
      <c r="O31" s="1564"/>
      <c r="P31" s="1091"/>
    </row>
    <row r="32" spans="1:16" ht="25.5" x14ac:dyDescent="0.2">
      <c r="A32" s="1064" t="s">
        <v>949</v>
      </c>
      <c r="B32" s="1069" t="s">
        <v>950</v>
      </c>
      <c r="C32" s="1428">
        <f>36497760+243600-13262610</f>
        <v>23478750</v>
      </c>
      <c r="D32" s="1181">
        <f>24124550-2533650</f>
        <v>21590900</v>
      </c>
      <c r="E32" s="728"/>
      <c r="F32" s="725"/>
      <c r="G32" s="725"/>
      <c r="H32" s="338">
        <f>SUM(C32:G32)</f>
        <v>45069650</v>
      </c>
      <c r="I32" s="344"/>
      <c r="J32" s="1428">
        <f>64017704+780000+243600-780000-4704803-1270297-2465446-4957064+135000</f>
        <v>50998694</v>
      </c>
      <c r="K32" s="1181">
        <f>505446492+780000-780000-1995000-538650</f>
        <v>502912842</v>
      </c>
      <c r="L32" s="725"/>
      <c r="M32" s="725"/>
      <c r="N32" s="725"/>
      <c r="O32" s="338">
        <f>SUM(J32:N32)</f>
        <v>553911536</v>
      </c>
      <c r="P32" s="1091"/>
    </row>
    <row r="33" spans="1:16" x14ac:dyDescent="0.2">
      <c r="A33" s="1066" t="s">
        <v>739</v>
      </c>
      <c r="B33" s="1070" t="s">
        <v>436</v>
      </c>
      <c r="C33" s="723"/>
      <c r="D33" s="722"/>
      <c r="E33" s="721"/>
      <c r="F33" s="722"/>
      <c r="G33" s="722"/>
      <c r="H33" s="1094">
        <f>SUM(C33:G33)</f>
        <v>0</v>
      </c>
      <c r="I33" s="344"/>
      <c r="J33" s="723">
        <f>27408638+101600</f>
        <v>27510238</v>
      </c>
      <c r="K33" s="722">
        <v>381000</v>
      </c>
      <c r="L33" s="722"/>
      <c r="M33" s="722"/>
      <c r="N33" s="722"/>
      <c r="O33" s="1094">
        <f>SUM(J33:N33)</f>
        <v>27891238</v>
      </c>
      <c r="P33" s="1091"/>
    </row>
    <row r="34" spans="1:16" x14ac:dyDescent="0.2">
      <c r="A34" s="1066" t="s">
        <v>740</v>
      </c>
      <c r="B34" s="1070" t="s">
        <v>741</v>
      </c>
      <c r="C34" s="1072"/>
      <c r="D34" s="1082"/>
      <c r="E34" s="1082"/>
      <c r="F34" s="1082"/>
      <c r="G34" s="1082"/>
      <c r="H34" s="1085">
        <f>SUM(C34:G34)</f>
        <v>0</v>
      </c>
      <c r="I34" s="344"/>
      <c r="J34" s="1084">
        <f>190500+15489215</f>
        <v>15679715</v>
      </c>
      <c r="K34" s="1082">
        <v>1000000</v>
      </c>
      <c r="L34" s="1082"/>
      <c r="M34" s="1082"/>
      <c r="N34" s="1082"/>
      <c r="O34" s="1094">
        <f>SUM(J34:N34)</f>
        <v>16679715</v>
      </c>
      <c r="P34" s="1091"/>
    </row>
    <row r="35" spans="1:16" ht="26.25" thickBot="1" x14ac:dyDescent="0.25">
      <c r="A35" s="1067" t="s">
        <v>742</v>
      </c>
      <c r="B35" s="1071" t="s">
        <v>743</v>
      </c>
      <c r="C35" s="754">
        <f>6393254+1350000+200000+3626117</f>
        <v>11569371</v>
      </c>
      <c r="D35" s="727"/>
      <c r="E35" s="727">
        <v>8000000</v>
      </c>
      <c r="F35" s="727"/>
      <c r="G35" s="727"/>
      <c r="H35" s="761">
        <f>SUM(C35:G35)</f>
        <v>19569371</v>
      </c>
      <c r="I35" s="767"/>
      <c r="J35" s="1370">
        <f>49736618+22713471+386400+67620+3626117+208000+36088-520000-236220-63780-360000-97200+5376+216</f>
        <v>75502706</v>
      </c>
      <c r="K35" s="727">
        <f>40233999+400000</f>
        <v>40633999</v>
      </c>
      <c r="L35" s="727"/>
      <c r="M35" s="727"/>
      <c r="N35" s="727"/>
      <c r="O35" s="1073">
        <f>SUM(J35:N35)</f>
        <v>116136705</v>
      </c>
      <c r="P35" s="1091"/>
    </row>
    <row r="36" spans="1:16" ht="15.75" thickBot="1" x14ac:dyDescent="0.3">
      <c r="A36" s="1565" t="s">
        <v>745</v>
      </c>
      <c r="B36" s="1566"/>
      <c r="C36" s="1566"/>
      <c r="D36" s="1566"/>
      <c r="E36" s="1566"/>
      <c r="F36" s="1566"/>
      <c r="G36" s="1566"/>
      <c r="H36" s="1566"/>
      <c r="I36" s="1566"/>
      <c r="J36" s="1566"/>
      <c r="K36" s="1566"/>
      <c r="L36" s="1566"/>
      <c r="M36" s="1566"/>
      <c r="N36" s="1566"/>
      <c r="O36" s="1567"/>
      <c r="P36" s="1091"/>
    </row>
    <row r="37" spans="1:16" x14ac:dyDescent="0.2">
      <c r="A37" s="1229" t="s">
        <v>1017</v>
      </c>
      <c r="B37" s="1230" t="s">
        <v>1018</v>
      </c>
      <c r="C37" s="728">
        <v>2768669</v>
      </c>
      <c r="D37" s="1184"/>
      <c r="E37" s="1184"/>
      <c r="F37" s="1184"/>
      <c r="G37" s="1184"/>
      <c r="H37" s="338">
        <f t="shared" ref="H37:H43" si="4">SUM(C37:G37)</f>
        <v>2768669</v>
      </c>
      <c r="I37" s="1183"/>
      <c r="J37" s="1429">
        <f>2768669+36420206+520000+236220+63780+80000</f>
        <v>40088875</v>
      </c>
      <c r="K37" s="725">
        <f>3149606+850394-2400000</f>
        <v>1600000</v>
      </c>
      <c r="L37" s="1181"/>
      <c r="M37" s="1181"/>
      <c r="N37" s="1181"/>
      <c r="O37" s="338">
        <f t="shared" ref="O37:O43" si="5">SUM(J37:N37)</f>
        <v>41688875</v>
      </c>
      <c r="P37" s="1091"/>
    </row>
    <row r="38" spans="1:16" x14ac:dyDescent="0.2">
      <c r="A38" s="1231" t="s">
        <v>746</v>
      </c>
      <c r="B38" s="1232" t="s">
        <v>1</v>
      </c>
      <c r="C38" s="1081"/>
      <c r="D38" s="1081">
        <v>5200000</v>
      </c>
      <c r="E38" s="1081"/>
      <c r="F38" s="1081"/>
      <c r="G38" s="1081"/>
      <c r="H38" s="1085">
        <f>SUM(C38:G38)</f>
        <v>5200000</v>
      </c>
      <c r="I38" s="346"/>
      <c r="J38" s="765">
        <v>45600000</v>
      </c>
      <c r="K38" s="1082">
        <v>5200000</v>
      </c>
      <c r="L38" s="1082"/>
      <c r="M38" s="1082"/>
      <c r="N38" s="1082"/>
      <c r="O38" s="1094">
        <f>SUM(J38:N38)</f>
        <v>50800000</v>
      </c>
      <c r="P38" s="1091"/>
    </row>
    <row r="39" spans="1:16" x14ac:dyDescent="0.2">
      <c r="A39" s="1231" t="s">
        <v>747</v>
      </c>
      <c r="B39" s="1232" t="s">
        <v>3</v>
      </c>
      <c r="C39" s="1081"/>
      <c r="D39" s="1082"/>
      <c r="E39" s="1082"/>
      <c r="F39" s="1082"/>
      <c r="G39" s="1082"/>
      <c r="H39" s="1085">
        <f t="shared" si="4"/>
        <v>0</v>
      </c>
      <c r="I39" s="344"/>
      <c r="J39" s="1084">
        <v>3600000</v>
      </c>
      <c r="K39" s="1082"/>
      <c r="L39" s="1082"/>
      <c r="M39" s="1082"/>
      <c r="N39" s="1082"/>
      <c r="O39" s="1094">
        <f t="shared" si="5"/>
        <v>3600000</v>
      </c>
      <c r="P39" s="1091"/>
    </row>
    <row r="40" spans="1:16" x14ac:dyDescent="0.2">
      <c r="A40" s="1231" t="s">
        <v>956</v>
      </c>
      <c r="B40" s="1232" t="s">
        <v>955</v>
      </c>
      <c r="C40" s="1081"/>
      <c r="D40" s="1082"/>
      <c r="E40" s="1082"/>
      <c r="F40" s="1082"/>
      <c r="G40" s="1082"/>
      <c r="H40" s="1085">
        <f>SUM(C40:G40)</f>
        <v>0</v>
      </c>
      <c r="I40" s="1083"/>
      <c r="J40" s="1084">
        <v>18000000</v>
      </c>
      <c r="K40" s="1082"/>
      <c r="L40" s="1082"/>
      <c r="M40" s="1082"/>
      <c r="N40" s="1082"/>
      <c r="O40" s="1094">
        <f>SUM(J40:N40)</f>
        <v>18000000</v>
      </c>
      <c r="P40" s="1091"/>
    </row>
    <row r="41" spans="1:16" ht="25.5" x14ac:dyDescent="0.2">
      <c r="A41" s="1231" t="s">
        <v>748</v>
      </c>
      <c r="B41" s="1232" t="s">
        <v>750</v>
      </c>
      <c r="C41" s="1081"/>
      <c r="D41" s="1082"/>
      <c r="E41" s="1082"/>
      <c r="F41" s="1082"/>
      <c r="G41" s="1082"/>
      <c r="H41" s="1085">
        <f t="shared" si="4"/>
        <v>0</v>
      </c>
      <c r="I41" s="1083"/>
      <c r="J41" s="1084"/>
      <c r="K41" s="1082"/>
      <c r="L41" s="1082"/>
      <c r="M41" s="1082"/>
      <c r="N41" s="1082"/>
      <c r="O41" s="1094">
        <f t="shared" si="5"/>
        <v>0</v>
      </c>
      <c r="P41" s="1091"/>
    </row>
    <row r="42" spans="1:16" x14ac:dyDescent="0.2">
      <c r="A42" s="1231" t="s">
        <v>1019</v>
      </c>
      <c r="B42" s="1232" t="s">
        <v>1020</v>
      </c>
      <c r="C42" s="1081"/>
      <c r="D42" s="1063"/>
      <c r="E42" s="1063"/>
      <c r="F42" s="1063"/>
      <c r="G42" s="1063"/>
      <c r="H42" s="1085">
        <f>SUM(C42:G42)</f>
        <v>0</v>
      </c>
      <c r="I42" s="1182"/>
      <c r="J42" s="1084">
        <f>4700000+1269000</f>
        <v>5969000</v>
      </c>
      <c r="K42" s="1082">
        <f>100000+27000</f>
        <v>127000</v>
      </c>
      <c r="L42" s="1063"/>
      <c r="M42" s="1063"/>
      <c r="N42" s="1063"/>
      <c r="O42" s="1094">
        <f>SUM(J42:N42)</f>
        <v>6096000</v>
      </c>
      <c r="P42" s="1091"/>
    </row>
    <row r="43" spans="1:16" ht="26.25" thickBot="1" x14ac:dyDescent="0.25">
      <c r="A43" s="1097" t="s">
        <v>749</v>
      </c>
      <c r="B43" s="1095" t="s">
        <v>751</v>
      </c>
      <c r="C43" s="729">
        <f>94488+25512</f>
        <v>120000</v>
      </c>
      <c r="D43" s="727"/>
      <c r="E43" s="727"/>
      <c r="F43" s="727"/>
      <c r="G43" s="727"/>
      <c r="H43" s="761">
        <f t="shared" si="4"/>
        <v>120000</v>
      </c>
      <c r="I43" s="744"/>
      <c r="J43" s="754">
        <v>325512</v>
      </c>
      <c r="K43" s="727">
        <v>94488</v>
      </c>
      <c r="L43" s="727"/>
      <c r="M43" s="727"/>
      <c r="N43" s="727"/>
      <c r="O43" s="1073">
        <f t="shared" si="5"/>
        <v>420000</v>
      </c>
      <c r="P43" s="1091"/>
    </row>
    <row r="44" spans="1:16" ht="14.25" thickBot="1" x14ac:dyDescent="0.3">
      <c r="A44" s="1557" t="s">
        <v>752</v>
      </c>
      <c r="B44" s="1558"/>
      <c r="C44" s="1553"/>
      <c r="D44" s="1553"/>
      <c r="E44" s="1553"/>
      <c r="F44" s="1553"/>
      <c r="G44" s="1553"/>
      <c r="H44" s="1553"/>
      <c r="I44" s="1553"/>
      <c r="J44" s="1553"/>
      <c r="K44" s="1553"/>
      <c r="L44" s="1553"/>
      <c r="M44" s="1553"/>
      <c r="N44" s="1553"/>
      <c r="O44" s="1554"/>
      <c r="P44" s="1091"/>
    </row>
    <row r="45" spans="1:16" x14ac:dyDescent="0.2">
      <c r="A45" s="752" t="s">
        <v>753</v>
      </c>
      <c r="B45" s="737" t="s">
        <v>650</v>
      </c>
      <c r="C45" s="748">
        <f>635000</f>
        <v>635000</v>
      </c>
      <c r="D45" s="746"/>
      <c r="E45" s="746"/>
      <c r="F45" s="746"/>
      <c r="G45" s="746"/>
      <c r="H45" s="1094">
        <f>SUM(C45:G45)</f>
        <v>635000</v>
      </c>
      <c r="I45" s="344"/>
      <c r="J45" s="749">
        <f>6601335+60674</f>
        <v>6662009</v>
      </c>
      <c r="K45" s="746"/>
      <c r="L45" s="746"/>
      <c r="M45" s="746"/>
      <c r="N45" s="746"/>
      <c r="O45" s="1094">
        <f>SUM(J45:N45)</f>
        <v>6662009</v>
      </c>
      <c r="P45" s="1091"/>
    </row>
    <row r="46" spans="1:16" s="488" customFormat="1" x14ac:dyDescent="0.2">
      <c r="A46" s="1096" t="s">
        <v>754</v>
      </c>
      <c r="B46" s="739" t="s">
        <v>437</v>
      </c>
      <c r="C46" s="1086">
        <f>400000</f>
        <v>400000</v>
      </c>
      <c r="D46" s="764"/>
      <c r="E46" s="764"/>
      <c r="F46" s="764"/>
      <c r="G46" s="764"/>
      <c r="H46" s="1085">
        <f>SUM(C46:G46)</f>
        <v>400000</v>
      </c>
      <c r="I46" s="587"/>
      <c r="J46" s="1089">
        <f>407200+34558462+1620969+347250+638940</f>
        <v>37572821</v>
      </c>
      <c r="K46" s="483">
        <f>7901899-1023179</f>
        <v>6878720</v>
      </c>
      <c r="L46" s="1087"/>
      <c r="M46" s="1087"/>
      <c r="N46" s="1087"/>
      <c r="O46" s="1094">
        <f>SUM(J46:N46)</f>
        <v>44451541</v>
      </c>
    </row>
    <row r="47" spans="1:16" s="488" customFormat="1" ht="39" thickBot="1" x14ac:dyDescent="0.25">
      <c r="A47" s="1097" t="s">
        <v>755</v>
      </c>
      <c r="B47" s="1095" t="s">
        <v>756</v>
      </c>
      <c r="C47" s="1086">
        <v>62436432</v>
      </c>
      <c r="D47" s="1087">
        <v>10218088</v>
      </c>
      <c r="E47" s="764"/>
      <c r="F47" s="764"/>
      <c r="G47" s="764"/>
      <c r="H47" s="1088">
        <f>SUM(C47:G47)</f>
        <v>72654520</v>
      </c>
      <c r="I47" s="587"/>
      <c r="J47" s="1089">
        <f>9234401+65012000</f>
        <v>74246401</v>
      </c>
      <c r="K47" s="1087">
        <f>17650043+1000000+1524000</f>
        <v>20174043</v>
      </c>
      <c r="L47" s="1087"/>
      <c r="M47" s="1087"/>
      <c r="N47" s="1087"/>
      <c r="O47" s="1094">
        <f>SUM(J47:N47)</f>
        <v>94420444</v>
      </c>
    </row>
    <row r="48" spans="1:16" s="488" customFormat="1" ht="14.25" thickBot="1" x14ac:dyDescent="0.3">
      <c r="A48" s="1557" t="s">
        <v>1036</v>
      </c>
      <c r="B48" s="1558"/>
      <c r="C48" s="1553"/>
      <c r="D48" s="1553"/>
      <c r="E48" s="1553"/>
      <c r="F48" s="1553"/>
      <c r="G48" s="1553"/>
      <c r="H48" s="1553"/>
      <c r="I48" s="1553"/>
      <c r="J48" s="1553"/>
      <c r="K48" s="1553"/>
      <c r="L48" s="1553"/>
      <c r="M48" s="1553"/>
      <c r="N48" s="1553"/>
      <c r="O48" s="1554"/>
    </row>
    <row r="49" spans="1:16" s="488" customFormat="1" ht="13.5" thickBot="1" x14ac:dyDescent="0.25">
      <c r="A49" s="752" t="s">
        <v>1037</v>
      </c>
      <c r="B49" s="737" t="s">
        <v>1038</v>
      </c>
      <c r="C49" s="748"/>
      <c r="D49" s="746"/>
      <c r="E49" s="746"/>
      <c r="F49" s="746"/>
      <c r="G49" s="746"/>
      <c r="H49" s="1094">
        <f>SUM(C49:G49)</f>
        <v>0</v>
      </c>
      <c r="I49" s="344"/>
      <c r="J49" s="1371">
        <v>457200</v>
      </c>
      <c r="K49" s="746"/>
      <c r="L49" s="746"/>
      <c r="M49" s="746"/>
      <c r="N49" s="746"/>
      <c r="O49" s="1094">
        <f>SUM(J49:N49)</f>
        <v>457200</v>
      </c>
    </row>
    <row r="50" spans="1:16" ht="14.25" thickBot="1" x14ac:dyDescent="0.3">
      <c r="A50" s="1557" t="s">
        <v>757</v>
      </c>
      <c r="B50" s="1558"/>
      <c r="C50" s="1553"/>
      <c r="D50" s="1553"/>
      <c r="E50" s="1553"/>
      <c r="F50" s="1553"/>
      <c r="G50" s="1553"/>
      <c r="H50" s="1553"/>
      <c r="I50" s="1553"/>
      <c r="J50" s="1553"/>
      <c r="K50" s="1553"/>
      <c r="L50" s="1553"/>
      <c r="M50" s="1553"/>
      <c r="N50" s="1553"/>
      <c r="O50" s="1554"/>
      <c r="P50" s="1091"/>
    </row>
    <row r="51" spans="1:16" x14ac:dyDescent="0.2">
      <c r="A51" s="752" t="s">
        <v>758</v>
      </c>
      <c r="B51" s="737" t="s">
        <v>560</v>
      </c>
      <c r="C51" s="748"/>
      <c r="D51" s="746"/>
      <c r="E51" s="746"/>
      <c r="F51" s="746"/>
      <c r="G51" s="746"/>
      <c r="H51" s="1094">
        <f t="shared" ref="H51:H56" si="6">SUM(C51:G51)</f>
        <v>0</v>
      </c>
      <c r="I51" s="344"/>
      <c r="J51" s="749">
        <v>300000</v>
      </c>
      <c r="K51" s="746"/>
      <c r="L51" s="746"/>
      <c r="M51" s="746"/>
      <c r="N51" s="746"/>
      <c r="O51" s="1094">
        <f t="shared" ref="O51:O56" si="7">SUM(J51:N51)</f>
        <v>300000</v>
      </c>
      <c r="P51" s="1091"/>
    </row>
    <row r="52" spans="1:16" x14ac:dyDescent="0.2">
      <c r="A52" s="1096" t="s">
        <v>759</v>
      </c>
      <c r="B52" s="739" t="s">
        <v>543</v>
      </c>
      <c r="C52" s="1086"/>
      <c r="D52" s="1087"/>
      <c r="E52" s="1087"/>
      <c r="F52" s="1087"/>
      <c r="G52" s="1087"/>
      <c r="H52" s="1085">
        <f t="shared" si="6"/>
        <v>0</v>
      </c>
      <c r="I52" s="344"/>
      <c r="J52" s="1089">
        <v>54468561</v>
      </c>
      <c r="K52" s="1087"/>
      <c r="L52" s="1087"/>
      <c r="M52" s="1087"/>
      <c r="N52" s="1087"/>
      <c r="O52" s="1094">
        <f t="shared" si="7"/>
        <v>54468561</v>
      </c>
      <c r="P52" s="1091"/>
    </row>
    <row r="53" spans="1:16" x14ac:dyDescent="0.2">
      <c r="A53" s="1096" t="s">
        <v>951</v>
      </c>
      <c r="B53" s="739" t="s">
        <v>952</v>
      </c>
      <c r="C53" s="1086"/>
      <c r="D53" s="1087"/>
      <c r="E53" s="1087"/>
      <c r="F53" s="1087"/>
      <c r="G53" s="1087"/>
      <c r="H53" s="1085">
        <f t="shared" si="6"/>
        <v>0</v>
      </c>
      <c r="I53" s="344"/>
      <c r="J53" s="588">
        <v>270951</v>
      </c>
      <c r="K53" s="1087">
        <v>403860</v>
      </c>
      <c r="L53" s="1087"/>
      <c r="M53" s="1087"/>
      <c r="N53" s="1087"/>
      <c r="O53" s="1094">
        <f t="shared" si="7"/>
        <v>674811</v>
      </c>
      <c r="P53" s="1091"/>
    </row>
    <row r="54" spans="1:16" ht="25.5" x14ac:dyDescent="0.2">
      <c r="A54" s="1096" t="s">
        <v>760</v>
      </c>
      <c r="B54" s="739" t="s">
        <v>761</v>
      </c>
      <c r="C54" s="1430">
        <f>300000+254000</f>
        <v>554000</v>
      </c>
      <c r="D54" s="1087"/>
      <c r="E54" s="1087"/>
      <c r="F54" s="1087"/>
      <c r="G54" s="1087"/>
      <c r="H54" s="1085">
        <f t="shared" si="6"/>
        <v>554000</v>
      </c>
      <c r="I54" s="344"/>
      <c r="J54" s="1179">
        <f>2417600+254000</f>
        <v>2671600</v>
      </c>
      <c r="K54" s="1087">
        <v>2540000</v>
      </c>
      <c r="L54" s="1087"/>
      <c r="M54" s="1087"/>
      <c r="N54" s="1087"/>
      <c r="O54" s="1094">
        <f t="shared" si="7"/>
        <v>5211600</v>
      </c>
      <c r="P54" s="1091"/>
    </row>
    <row r="55" spans="1:16" ht="26.25" thickBot="1" x14ac:dyDescent="0.25">
      <c r="A55" s="1097" t="s">
        <v>762</v>
      </c>
      <c r="B55" s="1095" t="s">
        <v>763</v>
      </c>
      <c r="C55" s="1086">
        <v>500000</v>
      </c>
      <c r="D55" s="1087"/>
      <c r="E55" s="1087"/>
      <c r="F55" s="1087"/>
      <c r="G55" s="1087"/>
      <c r="H55" s="1088">
        <f t="shared" si="6"/>
        <v>500000</v>
      </c>
      <c r="I55" s="344"/>
      <c r="J55" s="1089">
        <f>61300000+526000-526000</f>
        <v>61300000</v>
      </c>
      <c r="K55" s="1087"/>
      <c r="L55" s="1087"/>
      <c r="M55" s="1087"/>
      <c r="N55" s="1087"/>
      <c r="O55" s="1094">
        <f t="shared" si="7"/>
        <v>61300000</v>
      </c>
      <c r="P55" s="1091"/>
    </row>
    <row r="56" spans="1:16" ht="26.25" thickBot="1" x14ac:dyDescent="0.25">
      <c r="A56" s="1097" t="s">
        <v>953</v>
      </c>
      <c r="B56" s="1095" t="s">
        <v>954</v>
      </c>
      <c r="C56" s="1086"/>
      <c r="D56" s="1087"/>
      <c r="E56" s="1087"/>
      <c r="F56" s="1087"/>
      <c r="G56" s="1087"/>
      <c r="H56" s="1088">
        <f t="shared" si="6"/>
        <v>0</v>
      </c>
      <c r="I56" s="1074"/>
      <c r="J56" s="1089">
        <f>243100+691900</f>
        <v>935000</v>
      </c>
      <c r="K56" s="1087">
        <f>691900-691900</f>
        <v>0</v>
      </c>
      <c r="L56" s="1087"/>
      <c r="M56" s="1087"/>
      <c r="N56" s="1087"/>
      <c r="O56" s="1094">
        <f t="shared" si="7"/>
        <v>935000</v>
      </c>
      <c r="P56" s="1091"/>
    </row>
    <row r="57" spans="1:16" ht="14.25" thickBot="1" x14ac:dyDescent="0.3">
      <c r="A57" s="1557" t="s">
        <v>764</v>
      </c>
      <c r="B57" s="1558"/>
      <c r="C57" s="1553"/>
      <c r="D57" s="1553"/>
      <c r="E57" s="1553"/>
      <c r="F57" s="1553"/>
      <c r="G57" s="1553"/>
      <c r="H57" s="1553"/>
      <c r="I57" s="1553"/>
      <c r="J57" s="1553"/>
      <c r="K57" s="1553"/>
      <c r="L57" s="1553"/>
      <c r="M57" s="1553"/>
      <c r="N57" s="1553"/>
      <c r="O57" s="1554"/>
      <c r="P57" s="1091"/>
    </row>
    <row r="58" spans="1:16" ht="25.5" x14ac:dyDescent="0.2">
      <c r="A58" s="752" t="s">
        <v>765</v>
      </c>
      <c r="B58" s="737" t="s">
        <v>766</v>
      </c>
      <c r="C58" s="750"/>
      <c r="D58" s="746"/>
      <c r="E58" s="746">
        <f>530000000-35000000</f>
        <v>495000000</v>
      </c>
      <c r="F58" s="746"/>
      <c r="G58" s="746"/>
      <c r="H58" s="1094">
        <f>SUM(C58:G58)</f>
        <v>495000000</v>
      </c>
      <c r="I58" s="344"/>
      <c r="J58" s="749"/>
      <c r="K58" s="746"/>
      <c r="L58" s="751"/>
      <c r="M58" s="746"/>
      <c r="N58" s="746"/>
      <c r="O58" s="1094">
        <f>SUM(J58:N58)</f>
        <v>0</v>
      </c>
      <c r="P58" s="1091"/>
    </row>
    <row r="59" spans="1:16" ht="26.25" thickBot="1" x14ac:dyDescent="0.25">
      <c r="A59" s="1097" t="s">
        <v>767</v>
      </c>
      <c r="B59" s="1095" t="s">
        <v>768</v>
      </c>
      <c r="C59" s="347"/>
      <c r="D59" s="1087"/>
      <c r="E59" s="1087"/>
      <c r="F59" s="483">
        <f>700000000+44951899-2540000+11503705-3834990-16510000</f>
        <v>733570614</v>
      </c>
      <c r="G59" s="1087"/>
      <c r="H59" s="1085">
        <f>SUM(C59:G59)</f>
        <v>733570614</v>
      </c>
      <c r="I59" s="344"/>
      <c r="J59" s="1179">
        <f>12952927+115837-33711-38350-24077-190500</f>
        <v>12782126</v>
      </c>
      <c r="K59" s="483"/>
      <c r="L59" s="1087"/>
      <c r="M59" s="1087">
        <v>726038434</v>
      </c>
      <c r="N59" s="483">
        <f>141941068+12273414</f>
        <v>154214482</v>
      </c>
      <c r="O59" s="1085">
        <f>SUM(J59:N59)</f>
        <v>893035042</v>
      </c>
      <c r="P59" s="1091"/>
    </row>
    <row r="60" spans="1:16" ht="13.5" thickBot="1" x14ac:dyDescent="0.25">
      <c r="A60" s="1549" t="s">
        <v>54</v>
      </c>
      <c r="B60" s="1550"/>
      <c r="C60" s="349">
        <f t="shared" ref="C60:H60" si="8">SUM(C10:C59)</f>
        <v>1813328792</v>
      </c>
      <c r="D60" s="349">
        <f t="shared" si="8"/>
        <v>89948492</v>
      </c>
      <c r="E60" s="349">
        <f t="shared" si="8"/>
        <v>503000000</v>
      </c>
      <c r="F60" s="349">
        <f t="shared" si="8"/>
        <v>733570614</v>
      </c>
      <c r="G60" s="349">
        <f t="shared" si="8"/>
        <v>938305086</v>
      </c>
      <c r="H60" s="762">
        <f t="shared" si="8"/>
        <v>4078152984</v>
      </c>
      <c r="I60" s="348" t="e">
        <f>SUM(I9:I13,I15:I28,I35:I37,I41:I52,I53:I59)</f>
        <v>#REF!</v>
      </c>
      <c r="J60" s="349">
        <f t="shared" ref="J60:O60" si="9">SUM(J10:J59)</f>
        <v>766488496</v>
      </c>
      <c r="K60" s="349">
        <f t="shared" si="9"/>
        <v>918724083</v>
      </c>
      <c r="L60" s="349">
        <f t="shared" si="9"/>
        <v>1512687489</v>
      </c>
      <c r="M60" s="349">
        <f t="shared" si="9"/>
        <v>726038434</v>
      </c>
      <c r="N60" s="349">
        <f t="shared" si="9"/>
        <v>154214482</v>
      </c>
      <c r="O60" s="349">
        <f t="shared" si="9"/>
        <v>4078152984</v>
      </c>
      <c r="P60" s="489">
        <f>O60-H60</f>
        <v>0</v>
      </c>
    </row>
    <row r="61" spans="1:16" ht="13.5" thickBot="1" x14ac:dyDescent="0.25">
      <c r="A61" s="1568" t="s">
        <v>438</v>
      </c>
      <c r="B61" s="1569"/>
      <c r="C61" s="350"/>
      <c r="D61" s="351"/>
      <c r="E61" s="351"/>
      <c r="F61" s="351"/>
      <c r="G61" s="351"/>
      <c r="H61" s="1085"/>
      <c r="I61" s="341"/>
      <c r="J61" s="352"/>
      <c r="K61" s="1082"/>
      <c r="L61" s="1082">
        <f>SUM(L58:L59,L51:L55,L45:L47,L37:L43,L33:L35,L27:L29,L17,L10:L15)</f>
        <v>1512687489</v>
      </c>
      <c r="M61" s="351"/>
      <c r="N61" s="351"/>
      <c r="O61" s="340">
        <f>SUM(J61:N61)</f>
        <v>1512687489</v>
      </c>
      <c r="P61" s="489"/>
    </row>
    <row r="62" spans="1:16" ht="13.5" thickBot="1" x14ac:dyDescent="0.25">
      <c r="A62" s="1549" t="s">
        <v>66</v>
      </c>
      <c r="B62" s="1550"/>
      <c r="C62" s="353">
        <f>C60-C61</f>
        <v>1813328792</v>
      </c>
      <c r="D62" s="354">
        <f t="shared" ref="D62:N62" si="10">D60-D61</f>
        <v>89948492</v>
      </c>
      <c r="E62" s="354">
        <f t="shared" si="10"/>
        <v>503000000</v>
      </c>
      <c r="F62" s="354">
        <f t="shared" si="10"/>
        <v>733570614</v>
      </c>
      <c r="G62" s="354">
        <f t="shared" si="10"/>
        <v>938305086</v>
      </c>
      <c r="H62" s="763">
        <f t="shared" si="10"/>
        <v>4078152984</v>
      </c>
      <c r="I62" s="355" t="e">
        <f t="shared" si="10"/>
        <v>#REF!</v>
      </c>
      <c r="J62" s="353">
        <f t="shared" si="10"/>
        <v>766488496</v>
      </c>
      <c r="K62" s="354">
        <f t="shared" si="10"/>
        <v>918724083</v>
      </c>
      <c r="L62" s="354">
        <f t="shared" si="10"/>
        <v>0</v>
      </c>
      <c r="M62" s="354">
        <f t="shared" si="10"/>
        <v>726038434</v>
      </c>
      <c r="N62" s="354">
        <f t="shared" si="10"/>
        <v>154214482</v>
      </c>
      <c r="O62" s="356">
        <f>O60-O61</f>
        <v>2565465495</v>
      </c>
      <c r="P62" s="489"/>
    </row>
    <row r="63" spans="1:16" x14ac:dyDescent="0.2">
      <c r="B63" s="357"/>
      <c r="C63" s="1090">
        <f>C62-C64</f>
        <v>0</v>
      </c>
      <c r="D63" s="1090">
        <f t="shared" ref="D63:N63" si="11">D62-D64</f>
        <v>0</v>
      </c>
      <c r="E63" s="1090">
        <f t="shared" si="11"/>
        <v>0</v>
      </c>
      <c r="F63" s="1090">
        <f t="shared" si="11"/>
        <v>0</v>
      </c>
      <c r="G63" s="1090">
        <f t="shared" si="11"/>
        <v>0</v>
      </c>
      <c r="H63" s="1090">
        <f t="shared" si="11"/>
        <v>0</v>
      </c>
      <c r="I63" s="1090" t="e">
        <f t="shared" si="11"/>
        <v>#REF!</v>
      </c>
      <c r="J63" s="1090">
        <f t="shared" si="11"/>
        <v>0</v>
      </c>
      <c r="K63" s="1090">
        <f t="shared" si="11"/>
        <v>0</v>
      </c>
      <c r="L63" s="1090">
        <f>L61-L64</f>
        <v>0</v>
      </c>
      <c r="M63" s="1090">
        <f t="shared" si="11"/>
        <v>0</v>
      </c>
      <c r="N63" s="1090">
        <f t="shared" si="11"/>
        <v>0</v>
      </c>
      <c r="O63" s="1090">
        <f>O60-O64</f>
        <v>0</v>
      </c>
    </row>
    <row r="64" spans="1:16" x14ac:dyDescent="0.2">
      <c r="B64" s="357"/>
      <c r="C64" s="1090">
        <f>'9.1. sz. mell.'!C9+'9.1. sz. mell.'!C18+'9.1. sz. mell.'!C40+'9.1. sz. mell.'!C58+'9.1. sz. mell.'!C81</f>
        <v>1813328792</v>
      </c>
      <c r="D64" s="1090">
        <f>'9.1. sz. mell.'!C25+'9.1. sz. mell.'!C52+'9.1. sz. mell.'!C63</f>
        <v>89948492</v>
      </c>
      <c r="E64" s="1090">
        <f>'9.1. sz. mell.'!C32</f>
        <v>503000000</v>
      </c>
      <c r="F64" s="1090">
        <f>'9.1. sz. mell.'!C69</f>
        <v>733570614</v>
      </c>
      <c r="G64" s="1090">
        <f>'9.1. sz. mell.'!C78</f>
        <v>938305086</v>
      </c>
      <c r="H64" s="766">
        <f>SUM(C64:G64)</f>
        <v>4078152984</v>
      </c>
      <c r="I64" s="358"/>
      <c r="J64" s="1090">
        <f>'9.1. sz. mell.'!C96-'9.1. sz. mell.'!C114+'9.1. sz. mell.'!C143</f>
        <v>766488496</v>
      </c>
      <c r="K64" s="1090">
        <f>'9.1. sz. mell.'!C117</f>
        <v>918724083</v>
      </c>
      <c r="L64" s="360">
        <f>'10.sz.m. int.összesítő'!C16</f>
        <v>1512687489</v>
      </c>
      <c r="M64" s="359">
        <f>'9.1. sz. mell.'!C132</f>
        <v>726038434</v>
      </c>
      <c r="N64" s="359">
        <f>'9.1. sz. mell.'!C114</f>
        <v>154214482</v>
      </c>
      <c r="O64" s="358">
        <f>SUM(J64:N64)</f>
        <v>4078152984</v>
      </c>
    </row>
    <row r="65" spans="2:15" x14ac:dyDescent="0.2">
      <c r="B65" s="357"/>
      <c r="C65" s="1090"/>
      <c r="D65" s="1090"/>
      <c r="E65" s="1090"/>
      <c r="F65" s="1090"/>
      <c r="G65" s="1090"/>
      <c r="H65" s="766"/>
      <c r="I65" s="358"/>
      <c r="J65" s="362"/>
      <c r="K65" s="1090"/>
      <c r="L65" s="361"/>
      <c r="M65" s="1090"/>
      <c r="N65" s="1090"/>
      <c r="O65" s="358"/>
    </row>
    <row r="66" spans="2:15" x14ac:dyDescent="0.2">
      <c r="B66" s="357"/>
      <c r="C66" s="1090"/>
      <c r="D66" s="1090"/>
      <c r="E66" s="1090"/>
      <c r="F66" s="1090"/>
      <c r="G66" s="1090"/>
      <c r="H66" s="766"/>
      <c r="I66" s="358"/>
      <c r="J66" s="1090"/>
      <c r="K66" s="1090"/>
      <c r="L66" s="361"/>
      <c r="M66" s="1090"/>
      <c r="N66" s="1090"/>
      <c r="O66" s="358"/>
    </row>
    <row r="67" spans="2:15" x14ac:dyDescent="0.2">
      <c r="B67" s="357"/>
      <c r="C67" s="1090"/>
      <c r="D67" s="1090"/>
      <c r="E67" s="1090"/>
      <c r="F67" s="1090"/>
      <c r="G67" s="1090"/>
      <c r="H67" s="766"/>
      <c r="I67" s="358"/>
      <c r="J67" s="1090"/>
      <c r="K67" s="1090"/>
      <c r="L67" s="361"/>
      <c r="M67" s="1090"/>
      <c r="N67" s="1090"/>
      <c r="O67" s="358"/>
    </row>
    <row r="68" spans="2:15" x14ac:dyDescent="0.2">
      <c r="B68" s="357"/>
      <c r="C68" s="1090"/>
      <c r="D68" s="1090"/>
      <c r="E68" s="1090"/>
      <c r="F68" s="1090"/>
      <c r="G68" s="1090"/>
      <c r="H68" s="766"/>
      <c r="I68" s="358"/>
      <c r="J68" s="1090"/>
      <c r="K68" s="1090"/>
      <c r="L68" s="361"/>
      <c r="M68" s="1090"/>
      <c r="N68" s="1090"/>
      <c r="O68" s="358"/>
    </row>
    <row r="69" spans="2:15" x14ac:dyDescent="0.2">
      <c r="B69" s="357"/>
      <c r="C69" s="1090"/>
      <c r="D69" s="1090"/>
      <c r="E69" s="1090"/>
      <c r="F69" s="1090"/>
      <c r="G69" s="1090"/>
      <c r="H69" s="766"/>
      <c r="I69" s="358"/>
      <c r="J69" s="1090"/>
      <c r="K69" s="1090"/>
      <c r="L69" s="361"/>
      <c r="M69" s="1090"/>
      <c r="N69" s="1090"/>
      <c r="O69" s="358"/>
    </row>
  </sheetData>
  <mergeCells count="21">
    <mergeCell ref="A1:O1"/>
    <mergeCell ref="K2:O2"/>
    <mergeCell ref="A3:O3"/>
    <mergeCell ref="A4:O4"/>
    <mergeCell ref="A6:A8"/>
    <mergeCell ref="B6:B8"/>
    <mergeCell ref="C6:H6"/>
    <mergeCell ref="J6:O6"/>
    <mergeCell ref="A62:B62"/>
    <mergeCell ref="A9:O9"/>
    <mergeCell ref="A16:O16"/>
    <mergeCell ref="A18:O18"/>
    <mergeCell ref="A26:O26"/>
    <mergeCell ref="A31:O31"/>
    <mergeCell ref="A36:O36"/>
    <mergeCell ref="A44:O44"/>
    <mergeCell ref="A50:O50"/>
    <mergeCell ref="A57:O57"/>
    <mergeCell ref="A60:B60"/>
    <mergeCell ref="A61:B61"/>
    <mergeCell ref="A48:O48"/>
  </mergeCells>
  <printOptions horizontalCentered="1"/>
  <pageMargins left="0.7" right="0.7" top="0.75" bottom="0.75" header="0.3" footer="0.3"/>
  <pageSetup paperSize="9" scale="42" orientation="landscape" r:id="rId1"/>
  <headerFooter alignWithMargins="0"/>
  <rowBreaks count="1" manualBreakCount="1">
    <brk id="35" max="14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3"/>
  <dimension ref="A1:K52"/>
  <sheetViews>
    <sheetView workbookViewId="0">
      <selection activeCell="E13" sqref="E13"/>
    </sheetView>
  </sheetViews>
  <sheetFormatPr defaultRowHeight="15.75" x14ac:dyDescent="0.25"/>
  <cols>
    <col min="1" max="1" width="9" style="1076" customWidth="1"/>
    <col min="2" max="2" width="66.33203125" style="1076" bestFit="1" customWidth="1"/>
    <col min="3" max="3" width="15.5" style="1077" hidden="1" customWidth="1"/>
    <col min="4" max="6" width="15.5" style="1076" customWidth="1"/>
    <col min="7" max="16384" width="9.33203125" style="1078"/>
  </cols>
  <sheetData>
    <row r="1" spans="1:6" x14ac:dyDescent="0.25">
      <c r="A1" s="1448" t="str">
        <f>CONCATENATE("8. számú tájékoztató tábla ",[2]ALAPADATOK!A7," ",[2]ALAPADATOK!B7," ",[2]ALAPADATOK!C7," ",[2]ALAPADATOK!D7," ",[2]ALAPADATOK!E7," ",[2]ALAPADATOK!F7," ",[2]ALAPADATOK!G7," ",[2]ALAPADATOK!H7)</f>
        <v>8. számú tájékoztató tábla a 14. / 2020. ( V.28. ) önkormányzati rendelethez</v>
      </c>
      <c r="B1" s="1448"/>
      <c r="C1" s="1448"/>
      <c r="D1" s="1448"/>
      <c r="E1" s="1448"/>
      <c r="F1" s="1448"/>
    </row>
    <row r="3" spans="1:6" ht="35.25" customHeight="1" x14ac:dyDescent="0.25">
      <c r="A3" s="1583" t="s">
        <v>830</v>
      </c>
      <c r="B3" s="1583"/>
      <c r="C3" s="1583"/>
      <c r="D3" s="1583"/>
      <c r="E3" s="1583"/>
      <c r="F3" s="1583"/>
    </row>
    <row r="5" spans="1:6" ht="15.95" customHeight="1" x14ac:dyDescent="0.25">
      <c r="A5" s="1445" t="s">
        <v>18</v>
      </c>
      <c r="B5" s="1445"/>
      <c r="C5" s="1445"/>
      <c r="D5" s="1445"/>
      <c r="E5" s="1445"/>
      <c r="F5" s="1078"/>
    </row>
    <row r="6" spans="1:6" ht="15.95" customHeight="1" thickBot="1" x14ac:dyDescent="0.3">
      <c r="A6" s="1444" t="s">
        <v>129</v>
      </c>
      <c r="B6" s="1444"/>
      <c r="D6" s="1233"/>
      <c r="E6" s="126"/>
      <c r="F6" s="126" t="s">
        <v>564</v>
      </c>
    </row>
    <row r="7" spans="1:6" ht="38.1" customHeight="1" thickBot="1" x14ac:dyDescent="0.3">
      <c r="A7" s="20" t="s">
        <v>72</v>
      </c>
      <c r="B7" s="472" t="s">
        <v>20</v>
      </c>
      <c r="C7" s="553" t="s">
        <v>638</v>
      </c>
      <c r="D7" s="553" t="s">
        <v>639</v>
      </c>
      <c r="E7" s="553" t="s">
        <v>657</v>
      </c>
      <c r="F7" s="553" t="s">
        <v>831</v>
      </c>
    </row>
    <row r="8" spans="1:6" s="191" customFormat="1" ht="12" customHeight="1" thickBot="1" x14ac:dyDescent="0.25">
      <c r="A8" s="25" t="s">
        <v>447</v>
      </c>
      <c r="B8" s="306" t="s">
        <v>448</v>
      </c>
      <c r="C8" s="554" t="s">
        <v>449</v>
      </c>
      <c r="D8" s="186" t="s">
        <v>449</v>
      </c>
      <c r="E8" s="565" t="s">
        <v>499</v>
      </c>
      <c r="F8" s="565" t="s">
        <v>500</v>
      </c>
    </row>
    <row r="9" spans="1:6" s="192" customFormat="1" ht="12" customHeight="1" thickBot="1" x14ac:dyDescent="0.25">
      <c r="A9" s="17" t="s">
        <v>21</v>
      </c>
      <c r="B9" s="454" t="s">
        <v>640</v>
      </c>
      <c r="C9" s="555">
        <v>1350000000</v>
      </c>
      <c r="D9" s="555">
        <v>1450000000</v>
      </c>
      <c r="E9" s="555">
        <v>1460000000</v>
      </c>
      <c r="F9" s="555">
        <v>1470000000</v>
      </c>
    </row>
    <row r="10" spans="1:6" s="192" customFormat="1" ht="12" customHeight="1" thickBot="1" x14ac:dyDescent="0.25">
      <c r="A10" s="17" t="s">
        <v>22</v>
      </c>
      <c r="B10" s="457" t="s">
        <v>324</v>
      </c>
      <c r="C10" s="555">
        <v>181000000</v>
      </c>
      <c r="D10" s="555">
        <v>200000000</v>
      </c>
      <c r="E10" s="555">
        <v>200000000</v>
      </c>
      <c r="F10" s="555">
        <v>200000000</v>
      </c>
    </row>
    <row r="11" spans="1:6" s="192" customFormat="1" ht="12" customHeight="1" thickBot="1" x14ac:dyDescent="0.25">
      <c r="A11" s="17" t="s">
        <v>23</v>
      </c>
      <c r="B11" s="454" t="s">
        <v>331</v>
      </c>
      <c r="C11" s="555">
        <v>300000000</v>
      </c>
      <c r="D11" s="555">
        <v>50000000</v>
      </c>
      <c r="E11" s="555">
        <v>60000000</v>
      </c>
      <c r="F11" s="555">
        <v>70000000</v>
      </c>
    </row>
    <row r="12" spans="1:6" s="192" customFormat="1" ht="12" customHeight="1" thickBot="1" x14ac:dyDescent="0.25">
      <c r="A12" s="17" t="s">
        <v>139</v>
      </c>
      <c r="B12" s="454" t="s">
        <v>783</v>
      </c>
      <c r="C12" s="556">
        <f>SUM(C17:C19)+C13</f>
        <v>353500000</v>
      </c>
      <c r="D12" s="556">
        <f>D13+D16+D17+D18+D19</f>
        <v>541000000</v>
      </c>
      <c r="E12" s="556">
        <f>E13+E16+E17+E18+E19</f>
        <v>562000000</v>
      </c>
      <c r="F12" s="556">
        <f>F13+F16+F17+F18+F19</f>
        <v>582000000</v>
      </c>
    </row>
    <row r="13" spans="1:6" s="192" customFormat="1" ht="12" customHeight="1" x14ac:dyDescent="0.2">
      <c r="A13" s="12" t="s">
        <v>211</v>
      </c>
      <c r="B13" s="296" t="s">
        <v>782</v>
      </c>
      <c r="C13" s="557">
        <f>SUM(C14:C16)</f>
        <v>310000000</v>
      </c>
      <c r="D13" s="557">
        <f>D14+D15</f>
        <v>490000000</v>
      </c>
      <c r="E13" s="557">
        <f>E14+E15</f>
        <v>510000000</v>
      </c>
      <c r="F13" s="557">
        <f>F14+F15</f>
        <v>530000000</v>
      </c>
    </row>
    <row r="14" spans="1:6" s="192" customFormat="1" ht="12" customHeight="1" x14ac:dyDescent="0.2">
      <c r="A14" s="11" t="s">
        <v>214</v>
      </c>
      <c r="B14" s="297" t="s">
        <v>217</v>
      </c>
      <c r="C14" s="558">
        <v>78000000</v>
      </c>
      <c r="D14" s="558">
        <v>90000000</v>
      </c>
      <c r="E14" s="558">
        <v>90000000</v>
      </c>
      <c r="F14" s="558">
        <v>90000000</v>
      </c>
    </row>
    <row r="15" spans="1:6" s="192" customFormat="1" ht="12" customHeight="1" x14ac:dyDescent="0.2">
      <c r="A15" s="11" t="s">
        <v>215</v>
      </c>
      <c r="B15" s="672" t="s">
        <v>651</v>
      </c>
      <c r="C15" s="558">
        <v>232000000</v>
      </c>
      <c r="D15" s="558">
        <v>400000000</v>
      </c>
      <c r="E15" s="558">
        <v>420000000</v>
      </c>
      <c r="F15" s="558">
        <v>440000000</v>
      </c>
    </row>
    <row r="16" spans="1:6" s="192" customFormat="1" ht="12" customHeight="1" x14ac:dyDescent="0.2">
      <c r="A16" s="11" t="s">
        <v>216</v>
      </c>
      <c r="B16" s="297" t="s">
        <v>538</v>
      </c>
      <c r="C16" s="559"/>
      <c r="D16" s="559"/>
      <c r="E16" s="559"/>
      <c r="F16" s="559"/>
    </row>
    <row r="17" spans="1:11" s="192" customFormat="1" ht="12" customHeight="1" x14ac:dyDescent="0.2">
      <c r="A17" s="11" t="s">
        <v>540</v>
      </c>
      <c r="B17" s="297" t="s">
        <v>218</v>
      </c>
      <c r="C17" s="558">
        <v>28000000</v>
      </c>
      <c r="D17" s="558">
        <v>35000000</v>
      </c>
      <c r="E17" s="558">
        <v>35000000</v>
      </c>
      <c r="F17" s="558">
        <v>35000000</v>
      </c>
    </row>
    <row r="18" spans="1:11" s="192" customFormat="1" ht="12" customHeight="1" x14ac:dyDescent="0.2">
      <c r="A18" s="11" t="s">
        <v>550</v>
      </c>
      <c r="B18" s="297" t="s">
        <v>219</v>
      </c>
      <c r="C18" s="558">
        <v>4500000</v>
      </c>
      <c r="D18" s="558"/>
      <c r="E18" s="558"/>
      <c r="F18" s="558"/>
    </row>
    <row r="19" spans="1:11" s="192" customFormat="1" ht="12" customHeight="1" thickBot="1" x14ac:dyDescent="0.25">
      <c r="A19" s="13" t="s">
        <v>551</v>
      </c>
      <c r="B19" s="298" t="s">
        <v>220</v>
      </c>
      <c r="C19" s="560">
        <v>11000000</v>
      </c>
      <c r="D19" s="560">
        <v>16000000</v>
      </c>
      <c r="E19" s="560">
        <v>17000000</v>
      </c>
      <c r="F19" s="560">
        <v>17000000</v>
      </c>
    </row>
    <row r="20" spans="1:11" s="192" customFormat="1" ht="12" customHeight="1" thickBot="1" x14ac:dyDescent="0.25">
      <c r="A20" s="17" t="s">
        <v>25</v>
      </c>
      <c r="B20" s="454" t="s">
        <v>641</v>
      </c>
      <c r="C20" s="555">
        <v>440000000</v>
      </c>
      <c r="D20" s="555">
        <v>340000000</v>
      </c>
      <c r="E20" s="555">
        <v>340000000</v>
      </c>
      <c r="F20" s="555">
        <v>350000000</v>
      </c>
    </row>
    <row r="21" spans="1:11" s="192" customFormat="1" ht="12" customHeight="1" thickBot="1" x14ac:dyDescent="0.25">
      <c r="A21" s="17" t="s">
        <v>26</v>
      </c>
      <c r="B21" s="454" t="s">
        <v>12</v>
      </c>
      <c r="C21" s="555">
        <v>6000000</v>
      </c>
      <c r="D21" s="555">
        <v>10000000</v>
      </c>
      <c r="E21" s="555">
        <v>10000000</v>
      </c>
      <c r="F21" s="555">
        <v>10000000</v>
      </c>
    </row>
    <row r="22" spans="1:11" s="192" customFormat="1" ht="12" customHeight="1" thickBot="1" x14ac:dyDescent="0.25">
      <c r="A22" s="17" t="s">
        <v>146</v>
      </c>
      <c r="B22" s="454" t="s">
        <v>642</v>
      </c>
      <c r="C22" s="555">
        <v>2000000</v>
      </c>
      <c r="D22" s="555">
        <v>800000</v>
      </c>
      <c r="E22" s="555">
        <v>700000</v>
      </c>
      <c r="F22" s="555">
        <v>500000</v>
      </c>
    </row>
    <row r="23" spans="1:11" s="192" customFormat="1" ht="12" customHeight="1" thickBot="1" x14ac:dyDescent="0.25">
      <c r="A23" s="17" t="s">
        <v>28</v>
      </c>
      <c r="B23" s="457" t="s">
        <v>643</v>
      </c>
      <c r="C23" s="555"/>
      <c r="D23" s="555"/>
      <c r="E23" s="555"/>
      <c r="F23" s="555"/>
    </row>
    <row r="24" spans="1:11" s="192" customFormat="1" ht="12" customHeight="1" thickBot="1" x14ac:dyDescent="0.25">
      <c r="A24" s="17" t="s">
        <v>29</v>
      </c>
      <c r="B24" s="454" t="s">
        <v>253</v>
      </c>
      <c r="C24" s="556">
        <f>+C9+C10+C11+C12+C20+C21+C22+C23</f>
        <v>2632500000</v>
      </c>
      <c r="D24" s="556">
        <f>SUM(D9:D12)+SUM(D20:D23)</f>
        <v>2591800000</v>
      </c>
      <c r="E24" s="556">
        <f>SUM(E9:E12)+SUM(E20:E23)</f>
        <v>2632700000</v>
      </c>
      <c r="F24" s="556">
        <f>SUM(F9:F12)+SUM(F20:F23)</f>
        <v>2682500000</v>
      </c>
      <c r="H24" s="768"/>
      <c r="I24" s="768"/>
      <c r="J24" s="768"/>
      <c r="K24" s="768"/>
    </row>
    <row r="25" spans="1:11" s="192" customFormat="1" ht="12" customHeight="1" thickBot="1" x14ac:dyDescent="0.25">
      <c r="A25" s="17" t="s">
        <v>30</v>
      </c>
      <c r="B25" s="454" t="s">
        <v>644</v>
      </c>
      <c r="C25" s="1092">
        <v>400000000</v>
      </c>
      <c r="D25" s="1092">
        <v>1500000000</v>
      </c>
      <c r="E25" s="1092">
        <v>1500000000</v>
      </c>
      <c r="F25" s="1092">
        <v>1500000000</v>
      </c>
      <c r="H25" s="768"/>
      <c r="I25" s="768"/>
      <c r="J25" s="768"/>
      <c r="K25" s="768"/>
    </row>
    <row r="26" spans="1:11" s="192" customFormat="1" ht="12" customHeight="1" thickBot="1" x14ac:dyDescent="0.25">
      <c r="A26" s="17" t="s">
        <v>31</v>
      </c>
      <c r="B26" s="454" t="s">
        <v>645</v>
      </c>
      <c r="C26" s="556">
        <f>+C24+C25</f>
        <v>3032500000</v>
      </c>
      <c r="D26" s="556">
        <f>D24+D25</f>
        <v>4091800000</v>
      </c>
      <c r="E26" s="556">
        <f>E24+E25</f>
        <v>4132700000</v>
      </c>
      <c r="F26" s="556">
        <f>F24+F25</f>
        <v>4182500000</v>
      </c>
      <c r="H26" s="768"/>
      <c r="I26" s="768"/>
      <c r="J26" s="768"/>
      <c r="K26" s="768"/>
    </row>
    <row r="27" spans="1:11" s="192" customFormat="1" ht="12" customHeight="1" x14ac:dyDescent="0.2">
      <c r="A27" s="288"/>
      <c r="B27" s="289"/>
      <c r="C27" s="561"/>
      <c r="D27" s="562"/>
      <c r="E27" s="563"/>
      <c r="F27" s="563"/>
      <c r="H27" s="768"/>
      <c r="I27" s="768"/>
      <c r="J27" s="769"/>
      <c r="K27" s="768"/>
    </row>
    <row r="28" spans="1:11" s="192" customFormat="1" ht="12" customHeight="1" x14ac:dyDescent="0.2">
      <c r="A28" s="1445" t="s">
        <v>49</v>
      </c>
      <c r="B28" s="1445"/>
      <c r="C28" s="1445"/>
      <c r="D28" s="1445"/>
      <c r="E28" s="1445"/>
      <c r="H28" s="768"/>
      <c r="I28" s="768"/>
      <c r="J28" s="768"/>
      <c r="K28" s="768"/>
    </row>
    <row r="29" spans="1:11" s="192" customFormat="1" ht="12" customHeight="1" thickBot="1" x14ac:dyDescent="0.25">
      <c r="A29" s="1446" t="s">
        <v>130</v>
      </c>
      <c r="B29" s="1446"/>
      <c r="C29" s="1077"/>
      <c r="D29" s="1233"/>
      <c r="E29" s="126"/>
      <c r="F29" s="126" t="str">
        <f>F6</f>
        <v>Forintban!</v>
      </c>
      <c r="H29" s="768"/>
      <c r="I29" s="768"/>
      <c r="J29" s="768"/>
      <c r="K29" s="768"/>
    </row>
    <row r="30" spans="1:11" s="192" customFormat="1" ht="24" customHeight="1" thickBot="1" x14ac:dyDescent="0.25">
      <c r="A30" s="20" t="s">
        <v>19</v>
      </c>
      <c r="B30" s="21" t="s">
        <v>50</v>
      </c>
      <c r="C30" s="21" t="str">
        <f>+C7</f>
        <v>2019. évi</v>
      </c>
      <c r="D30" s="21" t="str">
        <f>+D7</f>
        <v>2021. évi</v>
      </c>
      <c r="E30" s="564" t="str">
        <f>+E7</f>
        <v>2022. évi</v>
      </c>
      <c r="F30" s="564" t="str">
        <f>+F7</f>
        <v>2023. évi</v>
      </c>
      <c r="H30" s="768"/>
      <c r="I30" s="768"/>
      <c r="J30" s="768"/>
      <c r="K30" s="768"/>
    </row>
    <row r="31" spans="1:11" s="192" customFormat="1" ht="12" customHeight="1" thickBot="1" x14ac:dyDescent="0.25">
      <c r="A31" s="185" t="s">
        <v>447</v>
      </c>
      <c r="B31" s="186" t="s">
        <v>448</v>
      </c>
      <c r="C31" s="186" t="s">
        <v>449</v>
      </c>
      <c r="D31" s="186" t="s">
        <v>449</v>
      </c>
      <c r="E31" s="565" t="s">
        <v>499</v>
      </c>
      <c r="F31" s="565" t="s">
        <v>500</v>
      </c>
    </row>
    <row r="32" spans="1:11" s="192" customFormat="1" ht="15" customHeight="1" thickBot="1" x14ac:dyDescent="0.25">
      <c r="A32" s="17" t="s">
        <v>21</v>
      </c>
      <c r="B32" s="22" t="s">
        <v>646</v>
      </c>
      <c r="C32" s="566">
        <v>2420500000</v>
      </c>
      <c r="D32" s="566">
        <v>2800000000</v>
      </c>
      <c r="E32" s="566">
        <v>2850000000</v>
      </c>
      <c r="F32" s="566">
        <v>2900000000</v>
      </c>
    </row>
    <row r="33" spans="1:7" ht="12" customHeight="1" thickBot="1" x14ac:dyDescent="0.3">
      <c r="A33" s="257" t="s">
        <v>22</v>
      </c>
      <c r="B33" s="567" t="s">
        <v>647</v>
      </c>
      <c r="C33" s="568">
        <f>+C34+C35+C36</f>
        <v>457000000</v>
      </c>
      <c r="D33" s="568">
        <f>D34+D35+D36</f>
        <v>591800000</v>
      </c>
      <c r="E33" s="568">
        <f>E34+E35+E36</f>
        <v>582700000</v>
      </c>
      <c r="F33" s="568">
        <f>F34+F35+F36</f>
        <v>582500000</v>
      </c>
    </row>
    <row r="34" spans="1:7" ht="12" customHeight="1" x14ac:dyDescent="0.25">
      <c r="A34" s="12" t="s">
        <v>106</v>
      </c>
      <c r="B34" s="5" t="s">
        <v>173</v>
      </c>
      <c r="C34" s="569">
        <v>145000000</v>
      </c>
      <c r="D34" s="569">
        <v>385000000</v>
      </c>
      <c r="E34" s="569">
        <v>400000000</v>
      </c>
      <c r="F34" s="569">
        <v>400000000</v>
      </c>
    </row>
    <row r="35" spans="1:7" ht="12" customHeight="1" x14ac:dyDescent="0.25">
      <c r="A35" s="12" t="s">
        <v>107</v>
      </c>
      <c r="B35" s="9" t="s">
        <v>153</v>
      </c>
      <c r="C35" s="570">
        <v>292000000</v>
      </c>
      <c r="D35" s="570">
        <f>100000000-3200000+100000000</f>
        <v>196800000</v>
      </c>
      <c r="E35" s="570">
        <f>100000000-4300000+77000000</f>
        <v>172700000</v>
      </c>
      <c r="F35" s="570">
        <v>172500000</v>
      </c>
    </row>
    <row r="36" spans="1:7" ht="12" customHeight="1" thickBot="1" x14ac:dyDescent="0.3">
      <c r="A36" s="12" t="s">
        <v>108</v>
      </c>
      <c r="B36" s="114" t="s">
        <v>175</v>
      </c>
      <c r="C36" s="570">
        <v>20000000</v>
      </c>
      <c r="D36" s="570">
        <v>10000000</v>
      </c>
      <c r="E36" s="570">
        <v>10000000</v>
      </c>
      <c r="F36" s="570">
        <v>10000000</v>
      </c>
    </row>
    <row r="37" spans="1:7" ht="12" customHeight="1" thickBot="1" x14ac:dyDescent="0.3">
      <c r="A37" s="17" t="s">
        <v>23</v>
      </c>
      <c r="B37" s="57" t="s">
        <v>471</v>
      </c>
      <c r="C37" s="571">
        <f>+C32+C33</f>
        <v>2877500000</v>
      </c>
      <c r="D37" s="571">
        <f>D32+D33</f>
        <v>3391800000</v>
      </c>
      <c r="E37" s="571">
        <f>E32+E33</f>
        <v>3432700000</v>
      </c>
      <c r="F37" s="571">
        <f>F32+F33</f>
        <v>3482500000</v>
      </c>
    </row>
    <row r="38" spans="1:7" ht="15" customHeight="1" thickBot="1" x14ac:dyDescent="0.3">
      <c r="A38" s="17" t="s">
        <v>24</v>
      </c>
      <c r="B38" s="57" t="s">
        <v>648</v>
      </c>
      <c r="C38" s="1093">
        <v>155000000</v>
      </c>
      <c r="D38" s="1093">
        <v>700000000</v>
      </c>
      <c r="E38" s="1093">
        <v>700000000</v>
      </c>
      <c r="F38" s="1093">
        <v>700000000</v>
      </c>
    </row>
    <row r="39" spans="1:7" s="192" customFormat="1" ht="12.95" customHeight="1" thickBot="1" x14ac:dyDescent="0.25">
      <c r="A39" s="115" t="s">
        <v>25</v>
      </c>
      <c r="B39" s="178" t="s">
        <v>649</v>
      </c>
      <c r="C39" s="572">
        <f>+C37+C38</f>
        <v>3032500000</v>
      </c>
      <c r="D39" s="572">
        <f>D37+D38</f>
        <v>4091800000</v>
      </c>
      <c r="E39" s="572">
        <f>E37+E38</f>
        <v>4132700000</v>
      </c>
      <c r="F39" s="572">
        <f>F37+F38</f>
        <v>4182500000</v>
      </c>
    </row>
    <row r="40" spans="1:7" x14ac:dyDescent="0.25">
      <c r="C40" s="1076"/>
      <c r="D40" s="673">
        <f>D26-D39</f>
        <v>0</v>
      </c>
      <c r="E40" s="673">
        <f>E26-E39</f>
        <v>0</v>
      </c>
      <c r="F40" s="673">
        <f>F26-F39</f>
        <v>0</v>
      </c>
    </row>
    <row r="41" spans="1:7" x14ac:dyDescent="0.25">
      <c r="C41" s="1076"/>
    </row>
    <row r="42" spans="1:7" x14ac:dyDescent="0.25">
      <c r="C42" s="1076"/>
    </row>
    <row r="43" spans="1:7" ht="16.5" customHeight="1" x14ac:dyDescent="0.25">
      <c r="C43" s="1076"/>
    </row>
    <row r="44" spans="1:7" x14ac:dyDescent="0.25">
      <c r="C44" s="1076"/>
    </row>
    <row r="45" spans="1:7" x14ac:dyDescent="0.25">
      <c r="C45" s="1076"/>
    </row>
    <row r="46" spans="1:7" s="1076" customFormat="1" x14ac:dyDescent="0.25">
      <c r="G46" s="1078"/>
    </row>
    <row r="47" spans="1:7" s="1076" customFormat="1" x14ac:dyDescent="0.25">
      <c r="G47" s="1078"/>
    </row>
    <row r="48" spans="1:7" s="1076" customFormat="1" x14ac:dyDescent="0.25">
      <c r="G48" s="1078"/>
    </row>
    <row r="49" spans="7:7" s="1076" customFormat="1" x14ac:dyDescent="0.25">
      <c r="G49" s="1078"/>
    </row>
    <row r="50" spans="7:7" s="1076" customFormat="1" x14ac:dyDescent="0.25">
      <c r="G50" s="1078"/>
    </row>
    <row r="51" spans="7:7" s="1076" customFormat="1" x14ac:dyDescent="0.25">
      <c r="G51" s="1078"/>
    </row>
    <row r="52" spans="7:7" s="1076" customFormat="1" x14ac:dyDescent="0.25">
      <c r="G52" s="1078"/>
    </row>
  </sheetData>
  <mergeCells count="6">
    <mergeCell ref="A29:B29"/>
    <mergeCell ref="A1:F1"/>
    <mergeCell ref="A3:F3"/>
    <mergeCell ref="A5:E5"/>
    <mergeCell ref="A6:B6"/>
    <mergeCell ref="A28:E28"/>
  </mergeCells>
  <pageMargins left="0.7" right="0.7" top="0.75" bottom="0.75" header="0.3" footer="0.3"/>
  <pageSetup paperSize="9" scale="80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/>
  <dimension ref="A1:G31"/>
  <sheetViews>
    <sheetView topLeftCell="D7" zoomScaleSheetLayoutView="100" workbookViewId="0">
      <selection activeCell="G19" sqref="G19"/>
    </sheetView>
  </sheetViews>
  <sheetFormatPr defaultColWidth="10.6640625" defaultRowHeight="12.75" x14ac:dyDescent="0.2"/>
  <cols>
    <col min="1" max="2" width="9.33203125" style="692" hidden="1" customWidth="1"/>
    <col min="3" max="3" width="58.1640625" style="692" hidden="1" customWidth="1"/>
    <col min="4" max="4" width="70.1640625" style="692" customWidth="1"/>
    <col min="5" max="5" width="14.33203125" style="692" customWidth="1"/>
    <col min="6" max="6" width="9.6640625" style="692" customWidth="1"/>
    <col min="7" max="7" width="10.6640625" style="692" customWidth="1"/>
    <col min="8" max="16384" width="10.6640625" style="692"/>
  </cols>
  <sheetData>
    <row r="1" spans="4:7" x14ac:dyDescent="0.2">
      <c r="D1" s="1584" t="str">
        <f>CONCATENATE("9. számú tájékoztató tábla ",[2]ALAPADATOK!A7," ",[2]ALAPADATOK!B7," ",[2]ALAPADATOK!C7," ",[2]ALAPADATOK!D7," ",[2]ALAPADATOK!E7," ",[2]ALAPADATOK!F7," ",[2]ALAPADATOK!G7," ",[2]ALAPADATOK!H7)</f>
        <v>9. számú tájékoztató tábla a 14. / 2020. ( V.28. ) önkormányzati rendelethez</v>
      </c>
      <c r="E1" s="1584"/>
      <c r="F1" s="314"/>
      <c r="G1" s="314"/>
    </row>
    <row r="2" spans="4:7" x14ac:dyDescent="0.2">
      <c r="D2" s="314"/>
      <c r="E2" s="1585"/>
      <c r="F2" s="1585"/>
      <c r="G2" s="314"/>
    </row>
    <row r="3" spans="4:7" x14ac:dyDescent="0.2">
      <c r="D3" s="314"/>
      <c r="E3" s="314"/>
      <c r="F3" s="314"/>
      <c r="G3" s="314"/>
    </row>
    <row r="4" spans="4:7" ht="19.5" x14ac:dyDescent="0.35">
      <c r="D4" s="1586" t="s">
        <v>675</v>
      </c>
      <c r="E4" s="1586"/>
      <c r="F4" s="315"/>
      <c r="G4" s="315"/>
    </row>
    <row r="5" spans="4:7" ht="19.5" x14ac:dyDescent="0.35">
      <c r="D5" s="1586"/>
      <c r="E5" s="1586"/>
      <c r="F5" s="315"/>
      <c r="G5" s="315"/>
    </row>
    <row r="6" spans="4:7" x14ac:dyDescent="0.2">
      <c r="D6" s="314"/>
      <c r="E6" s="693"/>
      <c r="F6" s="314"/>
      <c r="G6" s="314"/>
    </row>
    <row r="8" spans="4:7" ht="13.5" thickBot="1" x14ac:dyDescent="0.25"/>
    <row r="9" spans="4:7" ht="12.75" customHeight="1" x14ac:dyDescent="0.2">
      <c r="D9" s="1587" t="s">
        <v>2</v>
      </c>
      <c r="E9" s="1590" t="s">
        <v>841</v>
      </c>
    </row>
    <row r="10" spans="4:7" x14ac:dyDescent="0.2">
      <c r="D10" s="1588"/>
      <c r="E10" s="1591"/>
    </row>
    <row r="11" spans="4:7" ht="13.5" thickBot="1" x14ac:dyDescent="0.25">
      <c r="D11" s="1589"/>
      <c r="E11" s="1592"/>
    </row>
    <row r="12" spans="4:7" x14ac:dyDescent="0.2">
      <c r="D12" s="801" t="s">
        <v>838</v>
      </c>
      <c r="E12" s="1048">
        <v>20.5</v>
      </c>
    </row>
    <row r="13" spans="4:7" x14ac:dyDescent="0.2">
      <c r="D13" s="695" t="s">
        <v>839</v>
      </c>
      <c r="E13" s="1049">
        <v>2</v>
      </c>
    </row>
    <row r="14" spans="4:7" x14ac:dyDescent="0.2">
      <c r="D14" s="694" t="s">
        <v>840</v>
      </c>
      <c r="E14" s="1048">
        <v>22.5</v>
      </c>
    </row>
    <row r="15" spans="4:7" s="316" customFormat="1" x14ac:dyDescent="0.2">
      <c r="D15" s="695" t="s">
        <v>670</v>
      </c>
      <c r="E15" s="1049">
        <v>55</v>
      </c>
    </row>
    <row r="16" spans="4:7" s="316" customFormat="1" x14ac:dyDescent="0.2">
      <c r="D16" s="811" t="s">
        <v>843</v>
      </c>
      <c r="E16" s="1049">
        <v>18.75</v>
      </c>
    </row>
    <row r="17" spans="4:5" s="316" customFormat="1" x14ac:dyDescent="0.2">
      <c r="D17" s="802" t="s">
        <v>844</v>
      </c>
      <c r="E17" s="1050">
        <v>1</v>
      </c>
    </row>
    <row r="18" spans="4:5" s="316" customFormat="1" x14ac:dyDescent="0.2">
      <c r="D18" s="695" t="s">
        <v>671</v>
      </c>
      <c r="E18" s="1051">
        <v>21</v>
      </c>
    </row>
    <row r="19" spans="4:5" s="316" customFormat="1" x14ac:dyDescent="0.2">
      <c r="D19" s="695" t="s">
        <v>835</v>
      </c>
      <c r="E19" s="1049">
        <v>1</v>
      </c>
    </row>
    <row r="20" spans="4:5" s="316" customFormat="1" x14ac:dyDescent="0.2">
      <c r="D20" s="695" t="s">
        <v>672</v>
      </c>
      <c r="E20" s="1051">
        <v>150</v>
      </c>
    </row>
    <row r="21" spans="4:5" s="316" customFormat="1" x14ac:dyDescent="0.2">
      <c r="D21" s="695" t="s">
        <v>846</v>
      </c>
      <c r="E21" s="1051">
        <v>4</v>
      </c>
    </row>
    <row r="22" spans="4:5" s="316" customFormat="1" x14ac:dyDescent="0.2">
      <c r="D22" s="812" t="s">
        <v>847</v>
      </c>
      <c r="E22" s="1051">
        <v>55</v>
      </c>
    </row>
    <row r="23" spans="4:5" s="316" customFormat="1" x14ac:dyDescent="0.2">
      <c r="D23" s="812" t="s">
        <v>848</v>
      </c>
      <c r="E23" s="1051">
        <v>1.5</v>
      </c>
    </row>
    <row r="24" spans="4:5" s="813" customFormat="1" x14ac:dyDescent="0.2">
      <c r="D24" s="814" t="s">
        <v>849</v>
      </c>
      <c r="E24" s="1052">
        <v>8</v>
      </c>
    </row>
    <row r="25" spans="4:5" ht="13.5" thickBot="1" x14ac:dyDescent="0.25">
      <c r="D25" s="696" t="s">
        <v>549</v>
      </c>
      <c r="E25" s="1053">
        <v>48.375</v>
      </c>
    </row>
    <row r="26" spans="4:5" ht="13.5" thickBot="1" x14ac:dyDescent="0.25">
      <c r="D26" s="803" t="s">
        <v>673</v>
      </c>
      <c r="E26" s="1054">
        <f>E12+E13+E15+E16+E17+E18+E19+E20+E21+E22+E23+E24+E25</f>
        <v>386.125</v>
      </c>
    </row>
    <row r="27" spans="4:5" ht="13.5" thickBot="1" x14ac:dyDescent="0.25">
      <c r="D27" s="804" t="s">
        <v>674</v>
      </c>
      <c r="E27" s="1054">
        <f>E12+E15+E18+E20+E25+E16</f>
        <v>313.625</v>
      </c>
    </row>
    <row r="28" spans="4:5" x14ac:dyDescent="0.2">
      <c r="D28" s="805" t="s">
        <v>170</v>
      </c>
      <c r="E28" s="1055">
        <v>5</v>
      </c>
    </row>
    <row r="29" spans="4:5" x14ac:dyDescent="0.2">
      <c r="D29" s="806" t="s">
        <v>832</v>
      </c>
      <c r="E29" s="1056"/>
    </row>
    <row r="30" spans="4:5" ht="13.5" thickBot="1" x14ac:dyDescent="0.25">
      <c r="D30" s="806" t="s">
        <v>833</v>
      </c>
      <c r="E30" s="1057">
        <v>3</v>
      </c>
    </row>
    <row r="31" spans="4:5" ht="13.5" thickBot="1" x14ac:dyDescent="0.25">
      <c r="D31" s="697" t="s">
        <v>834</v>
      </c>
      <c r="E31" s="1058">
        <f>SUM(E27:E30)</f>
        <v>321.625</v>
      </c>
    </row>
  </sheetData>
  <mergeCells count="5">
    <mergeCell ref="D1:E1"/>
    <mergeCell ref="E2:F2"/>
    <mergeCell ref="D4:E5"/>
    <mergeCell ref="D9:D11"/>
    <mergeCell ref="E9:E1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67"/>
  <sheetViews>
    <sheetView zoomScale="115" zoomScaleNormal="115" zoomScaleSheetLayoutView="100" workbookViewId="0">
      <selection activeCell="D98" sqref="D98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180" customWidth="1"/>
    <col min="4" max="16384" width="9.33203125" style="190"/>
  </cols>
  <sheetData>
    <row r="1" spans="1:3" s="849" customFormat="1" x14ac:dyDescent="0.25">
      <c r="A1" s="1448" t="str">
        <f>CONCATENATE("4. melléklet"," ",ALAPADATOK!A7," ",ALAPADATOK!B7," ",ALAPADATOK!C7," ",ALAPADATOK!D7," ",ALAPADATOK!E7," ",ALAPADATOK!F7," ",ALAPADATOK!G7," ",ALAPADATOK!H7)</f>
        <v>4. melléklet a 21 / 2020. ( IX.25. ) önkormányzati rendelethez</v>
      </c>
      <c r="B1" s="1448"/>
      <c r="C1" s="1448"/>
    </row>
    <row r="2" spans="1:3" s="1078" customFormat="1" x14ac:dyDescent="0.25">
      <c r="A2" s="904"/>
      <c r="B2" s="904"/>
      <c r="C2" s="904"/>
    </row>
    <row r="3" spans="1:3" s="849" customFormat="1" x14ac:dyDescent="0.25">
      <c r="A3" s="1441" t="str">
        <f>CONCATENATE(ALAPADATOK!A3)</f>
        <v>Tiszavasvári Város Önkormányzat</v>
      </c>
      <c r="B3" s="1441"/>
      <c r="C3" s="1441"/>
    </row>
    <row r="4" spans="1:3" s="849" customFormat="1" x14ac:dyDescent="0.25">
      <c r="A4" s="1442" t="str">
        <f>CONCATENATE(ALAPADATOK!D7," ÉVI KÖLTSÉGVETÉS")</f>
        <v>2020. ÉVI KÖLTSÉGVETÉS</v>
      </c>
      <c r="B4" s="1442"/>
      <c r="C4" s="1442"/>
    </row>
    <row r="5" spans="1:3" s="849" customFormat="1" x14ac:dyDescent="0.25">
      <c r="A5" s="1442" t="s">
        <v>894</v>
      </c>
      <c r="B5" s="1442"/>
      <c r="C5" s="1442"/>
    </row>
    <row r="6" spans="1:3" s="849" customFormat="1" x14ac:dyDescent="0.25">
      <c r="A6" s="848"/>
      <c r="B6" s="848"/>
      <c r="C6" s="180"/>
    </row>
    <row r="7" spans="1:3" ht="15.95" customHeight="1" x14ac:dyDescent="0.25">
      <c r="A7" s="1445" t="s">
        <v>18</v>
      </c>
      <c r="B7" s="1445"/>
      <c r="C7" s="1445"/>
    </row>
    <row r="8" spans="1:3" ht="15.95" customHeight="1" thickBot="1" x14ac:dyDescent="0.3">
      <c r="A8" s="1444" t="s">
        <v>129</v>
      </c>
      <c r="B8" s="1444"/>
      <c r="C8" s="126" t="s">
        <v>555</v>
      </c>
    </row>
    <row r="9" spans="1:3" ht="38.1" customHeight="1" thickBot="1" x14ac:dyDescent="0.3">
      <c r="A9" s="20" t="s">
        <v>72</v>
      </c>
      <c r="B9" s="21" t="s">
        <v>20</v>
      </c>
      <c r="C9" s="29" t="s">
        <v>787</v>
      </c>
    </row>
    <row r="10" spans="1:3" s="191" customFormat="1" ht="12" customHeight="1" thickBot="1" x14ac:dyDescent="0.25">
      <c r="A10" s="185" t="s">
        <v>447</v>
      </c>
      <c r="B10" s="186" t="s">
        <v>448</v>
      </c>
      <c r="C10" s="187" t="s">
        <v>449</v>
      </c>
    </row>
    <row r="11" spans="1:3" s="192" customFormat="1" ht="12" customHeight="1" thickBot="1" x14ac:dyDescent="0.25">
      <c r="A11" s="17" t="s">
        <v>21</v>
      </c>
      <c r="B11" s="18" t="s">
        <v>195</v>
      </c>
      <c r="C11" s="117">
        <f>+C12+C13+C16+C17+C18+C19</f>
        <v>0</v>
      </c>
    </row>
    <row r="12" spans="1:3" s="192" customFormat="1" ht="12" customHeight="1" x14ac:dyDescent="0.2">
      <c r="A12" s="12" t="s">
        <v>100</v>
      </c>
      <c r="B12" s="193" t="s">
        <v>196</v>
      </c>
      <c r="C12" s="119"/>
    </row>
    <row r="13" spans="1:3" s="192" customFormat="1" ht="12" customHeight="1" x14ac:dyDescent="0.2">
      <c r="A13" s="11" t="s">
        <v>101</v>
      </c>
      <c r="B13" s="194" t="s">
        <v>197</v>
      </c>
      <c r="C13" s="118"/>
    </row>
    <row r="14" spans="1:3" s="192" customFormat="1" ht="12" customHeight="1" x14ac:dyDescent="0.2">
      <c r="A14" s="11" t="s">
        <v>102</v>
      </c>
      <c r="B14" s="194" t="s">
        <v>999</v>
      </c>
      <c r="C14" s="118"/>
    </row>
    <row r="15" spans="1:3" s="192" customFormat="1" ht="12" customHeight="1" x14ac:dyDescent="0.2">
      <c r="A15" s="11" t="s">
        <v>997</v>
      </c>
      <c r="B15" s="194" t="s">
        <v>1000</v>
      </c>
      <c r="C15" s="118"/>
    </row>
    <row r="16" spans="1:3" s="192" customFormat="1" ht="12" customHeight="1" x14ac:dyDescent="0.2">
      <c r="A16" s="11" t="s">
        <v>998</v>
      </c>
      <c r="B16" s="194" t="s">
        <v>1001</v>
      </c>
      <c r="C16" s="118"/>
    </row>
    <row r="17" spans="1:3" s="192" customFormat="1" ht="12" customHeight="1" x14ac:dyDescent="0.2">
      <c r="A17" s="11" t="s">
        <v>103</v>
      </c>
      <c r="B17" s="194" t="s">
        <v>199</v>
      </c>
      <c r="C17" s="118"/>
    </row>
    <row r="18" spans="1:3" s="192" customFormat="1" ht="12" customHeight="1" x14ac:dyDescent="0.2">
      <c r="A18" s="11" t="s">
        <v>126</v>
      </c>
      <c r="B18" s="113" t="s">
        <v>450</v>
      </c>
      <c r="C18" s="118"/>
    </row>
    <row r="19" spans="1:3" s="192" customFormat="1" ht="12" customHeight="1" thickBot="1" x14ac:dyDescent="0.25">
      <c r="A19" s="13" t="s">
        <v>104</v>
      </c>
      <c r="B19" s="114" t="s">
        <v>451</v>
      </c>
      <c r="C19" s="118"/>
    </row>
    <row r="20" spans="1:3" s="192" customFormat="1" ht="12" customHeight="1" thickBot="1" x14ac:dyDescent="0.25">
      <c r="A20" s="17" t="s">
        <v>22</v>
      </c>
      <c r="B20" s="112" t="s">
        <v>200</v>
      </c>
      <c r="C20" s="117">
        <f>+C21+C22+C23+C24+C25</f>
        <v>0</v>
      </c>
    </row>
    <row r="21" spans="1:3" s="192" customFormat="1" ht="12" customHeight="1" x14ac:dyDescent="0.2">
      <c r="A21" s="12" t="s">
        <v>106</v>
      </c>
      <c r="B21" s="193" t="s">
        <v>201</v>
      </c>
      <c r="C21" s="119"/>
    </row>
    <row r="22" spans="1:3" s="192" customFormat="1" ht="12" customHeight="1" x14ac:dyDescent="0.2">
      <c r="A22" s="11" t="s">
        <v>107</v>
      </c>
      <c r="B22" s="194" t="s">
        <v>202</v>
      </c>
      <c r="C22" s="118"/>
    </row>
    <row r="23" spans="1:3" s="192" customFormat="1" ht="12" customHeight="1" x14ac:dyDescent="0.2">
      <c r="A23" s="11" t="s">
        <v>108</v>
      </c>
      <c r="B23" s="194" t="s">
        <v>370</v>
      </c>
      <c r="C23" s="118"/>
    </row>
    <row r="24" spans="1:3" s="192" customFormat="1" ht="12" customHeight="1" x14ac:dyDescent="0.2">
      <c r="A24" s="11" t="s">
        <v>109</v>
      </c>
      <c r="B24" s="194" t="s">
        <v>371</v>
      </c>
      <c r="C24" s="118"/>
    </row>
    <row r="25" spans="1:3" s="192" customFormat="1" ht="12" customHeight="1" x14ac:dyDescent="0.2">
      <c r="A25" s="11" t="s">
        <v>110</v>
      </c>
      <c r="B25" s="194" t="s">
        <v>203</v>
      </c>
      <c r="C25" s="118"/>
    </row>
    <row r="26" spans="1:3" s="192" customFormat="1" ht="12" customHeight="1" thickBot="1" x14ac:dyDescent="0.25">
      <c r="A26" s="13" t="s">
        <v>119</v>
      </c>
      <c r="B26" s="114" t="s">
        <v>204</v>
      </c>
      <c r="C26" s="120"/>
    </row>
    <row r="27" spans="1:3" s="192" customFormat="1" ht="12" customHeight="1" thickBot="1" x14ac:dyDescent="0.25">
      <c r="A27" s="17" t="s">
        <v>23</v>
      </c>
      <c r="B27" s="18" t="s">
        <v>205</v>
      </c>
      <c r="C27" s="117">
        <f>+C28+C29+C30+C31+C32</f>
        <v>0</v>
      </c>
    </row>
    <row r="28" spans="1:3" s="192" customFormat="1" ht="12" customHeight="1" x14ac:dyDescent="0.2">
      <c r="A28" s="12" t="s">
        <v>89</v>
      </c>
      <c r="B28" s="193" t="s">
        <v>206</v>
      </c>
      <c r="C28" s="119"/>
    </row>
    <row r="29" spans="1:3" s="192" customFormat="1" ht="12" customHeight="1" x14ac:dyDescent="0.2">
      <c r="A29" s="11" t="s">
        <v>90</v>
      </c>
      <c r="B29" s="194" t="s">
        <v>207</v>
      </c>
      <c r="C29" s="118"/>
    </row>
    <row r="30" spans="1:3" s="192" customFormat="1" ht="12" customHeight="1" x14ac:dyDescent="0.2">
      <c r="A30" s="11" t="s">
        <v>91</v>
      </c>
      <c r="B30" s="194" t="s">
        <v>372</v>
      </c>
      <c r="C30" s="118"/>
    </row>
    <row r="31" spans="1:3" s="192" customFormat="1" ht="12" customHeight="1" x14ac:dyDescent="0.2">
      <c r="A31" s="11" t="s">
        <v>92</v>
      </c>
      <c r="B31" s="194" t="s">
        <v>373</v>
      </c>
      <c r="C31" s="118"/>
    </row>
    <row r="32" spans="1:3" s="192" customFormat="1" ht="12" customHeight="1" x14ac:dyDescent="0.2">
      <c r="A32" s="11" t="s">
        <v>137</v>
      </c>
      <c r="B32" s="194" t="s">
        <v>208</v>
      </c>
      <c r="C32" s="118"/>
    </row>
    <row r="33" spans="1:3" s="192" customFormat="1" ht="12" customHeight="1" thickBot="1" x14ac:dyDescent="0.25">
      <c r="A33" s="13" t="s">
        <v>138</v>
      </c>
      <c r="B33" s="195" t="s">
        <v>209</v>
      </c>
      <c r="C33" s="120"/>
    </row>
    <row r="34" spans="1:3" s="192" customFormat="1" ht="12" customHeight="1" thickBot="1" x14ac:dyDescent="0.25">
      <c r="A34" s="17" t="s">
        <v>139</v>
      </c>
      <c r="B34" s="18" t="s">
        <v>656</v>
      </c>
      <c r="C34" s="122">
        <f>+C35+C39+C40+C41</f>
        <v>0</v>
      </c>
    </row>
    <row r="35" spans="1:3" s="192" customFormat="1" ht="12" customHeight="1" x14ac:dyDescent="0.2">
      <c r="A35" s="12" t="s">
        <v>211</v>
      </c>
      <c r="B35" s="193" t="s">
        <v>652</v>
      </c>
      <c r="C35" s="188">
        <f>C36+C37</f>
        <v>0</v>
      </c>
    </row>
    <row r="36" spans="1:3" s="192" customFormat="1" ht="12" customHeight="1" x14ac:dyDescent="0.2">
      <c r="A36" s="11" t="s">
        <v>212</v>
      </c>
      <c r="B36" s="194" t="s">
        <v>217</v>
      </c>
      <c r="C36" s="118"/>
    </row>
    <row r="37" spans="1:3" s="192" customFormat="1" ht="12" customHeight="1" x14ac:dyDescent="0.2">
      <c r="A37" s="11" t="s">
        <v>213</v>
      </c>
      <c r="B37" s="251" t="s">
        <v>651</v>
      </c>
      <c r="C37" s="118"/>
    </row>
    <row r="38" spans="1:3" s="192" customFormat="1" ht="12" customHeight="1" x14ac:dyDescent="0.2">
      <c r="A38" s="11" t="s">
        <v>214</v>
      </c>
      <c r="B38" s="194" t="s">
        <v>538</v>
      </c>
      <c r="C38" s="118"/>
    </row>
    <row r="39" spans="1:3" s="192" customFormat="1" ht="12" customHeight="1" x14ac:dyDescent="0.2">
      <c r="A39" s="11" t="s">
        <v>539</v>
      </c>
      <c r="B39" s="194" t="s">
        <v>218</v>
      </c>
      <c r="C39" s="118"/>
    </row>
    <row r="40" spans="1:3" s="192" customFormat="1" ht="12" customHeight="1" x14ac:dyDescent="0.2">
      <c r="A40" s="11" t="s">
        <v>216</v>
      </c>
      <c r="B40" s="194" t="s">
        <v>219</v>
      </c>
      <c r="C40" s="118"/>
    </row>
    <row r="41" spans="1:3" s="192" customFormat="1" ht="12" customHeight="1" thickBot="1" x14ac:dyDescent="0.25">
      <c r="A41" s="13" t="s">
        <v>540</v>
      </c>
      <c r="B41" s="195" t="s">
        <v>220</v>
      </c>
      <c r="C41" s="120"/>
    </row>
    <row r="42" spans="1:3" s="192" customFormat="1" ht="12" customHeight="1" thickBot="1" x14ac:dyDescent="0.25">
      <c r="A42" s="17" t="s">
        <v>25</v>
      </c>
      <c r="B42" s="18" t="s">
        <v>452</v>
      </c>
      <c r="C42" s="117">
        <f>SUM(C43:C53)</f>
        <v>1270959</v>
      </c>
    </row>
    <row r="43" spans="1:3" s="192" customFormat="1" ht="12" customHeight="1" x14ac:dyDescent="0.2">
      <c r="A43" s="12" t="s">
        <v>93</v>
      </c>
      <c r="B43" s="193" t="s">
        <v>223</v>
      </c>
      <c r="C43" s="119"/>
    </row>
    <row r="44" spans="1:3" s="192" customFormat="1" ht="12" customHeight="1" x14ac:dyDescent="0.2">
      <c r="A44" s="11" t="s">
        <v>94</v>
      </c>
      <c r="B44" s="194" t="s">
        <v>224</v>
      </c>
      <c r="C44" s="121">
        <v>1000755</v>
      </c>
    </row>
    <row r="45" spans="1:3" s="192" customFormat="1" ht="12" customHeight="1" x14ac:dyDescent="0.2">
      <c r="A45" s="11" t="s">
        <v>95</v>
      </c>
      <c r="B45" s="194" t="s">
        <v>225</v>
      </c>
      <c r="C45" s="121"/>
    </row>
    <row r="46" spans="1:3" s="192" customFormat="1" ht="12" customHeight="1" x14ac:dyDescent="0.2">
      <c r="A46" s="11" t="s">
        <v>141</v>
      </c>
      <c r="B46" s="194" t="s">
        <v>226</v>
      </c>
      <c r="C46" s="121"/>
    </row>
    <row r="47" spans="1:3" s="192" customFormat="1" ht="12" customHeight="1" x14ac:dyDescent="0.2">
      <c r="A47" s="11" t="s">
        <v>142</v>
      </c>
      <c r="B47" s="194" t="s">
        <v>227</v>
      </c>
      <c r="C47" s="121"/>
    </row>
    <row r="48" spans="1:3" s="192" customFormat="1" ht="12" customHeight="1" x14ac:dyDescent="0.2">
      <c r="A48" s="11" t="s">
        <v>143</v>
      </c>
      <c r="B48" s="194" t="s">
        <v>228</v>
      </c>
      <c r="C48" s="121">
        <v>270204</v>
      </c>
    </row>
    <row r="49" spans="1:3" s="192" customFormat="1" ht="12" customHeight="1" x14ac:dyDescent="0.2">
      <c r="A49" s="11" t="s">
        <v>144</v>
      </c>
      <c r="B49" s="194" t="s">
        <v>229</v>
      </c>
      <c r="C49" s="121"/>
    </row>
    <row r="50" spans="1:3" s="192" customFormat="1" ht="12" customHeight="1" x14ac:dyDescent="0.2">
      <c r="A50" s="11" t="s">
        <v>145</v>
      </c>
      <c r="B50" s="194" t="s">
        <v>544</v>
      </c>
      <c r="C50" s="121"/>
    </row>
    <row r="51" spans="1:3" s="192" customFormat="1" ht="12" customHeight="1" x14ac:dyDescent="0.2">
      <c r="A51" s="11" t="s">
        <v>221</v>
      </c>
      <c r="B51" s="194" t="s">
        <v>231</v>
      </c>
      <c r="C51" s="121"/>
    </row>
    <row r="52" spans="1:3" s="192" customFormat="1" ht="12" customHeight="1" x14ac:dyDescent="0.2">
      <c r="A52" s="13" t="s">
        <v>222</v>
      </c>
      <c r="B52" s="195" t="s">
        <v>453</v>
      </c>
      <c r="C52" s="182"/>
    </row>
    <row r="53" spans="1:3" s="192" customFormat="1" ht="12" customHeight="1" thickBot="1" x14ac:dyDescent="0.25">
      <c r="A53" s="13" t="s">
        <v>454</v>
      </c>
      <c r="B53" s="114" t="s">
        <v>232</v>
      </c>
      <c r="C53" s="182"/>
    </row>
    <row r="54" spans="1:3" s="192" customFormat="1" ht="12" customHeight="1" thickBot="1" x14ac:dyDescent="0.25">
      <c r="A54" s="17" t="s">
        <v>26</v>
      </c>
      <c r="B54" s="18" t="s">
        <v>233</v>
      </c>
      <c r="C54" s="117">
        <f>SUM(C55:C59)</f>
        <v>0</v>
      </c>
    </row>
    <row r="55" spans="1:3" s="192" customFormat="1" ht="12" customHeight="1" x14ac:dyDescent="0.2">
      <c r="A55" s="12" t="s">
        <v>96</v>
      </c>
      <c r="B55" s="193" t="s">
        <v>237</v>
      </c>
      <c r="C55" s="231"/>
    </row>
    <row r="56" spans="1:3" s="192" customFormat="1" ht="12" customHeight="1" x14ac:dyDescent="0.2">
      <c r="A56" s="11" t="s">
        <v>97</v>
      </c>
      <c r="B56" s="194" t="s">
        <v>238</v>
      </c>
      <c r="C56" s="121"/>
    </row>
    <row r="57" spans="1:3" s="192" customFormat="1" ht="12" customHeight="1" x14ac:dyDescent="0.2">
      <c r="A57" s="11" t="s">
        <v>234</v>
      </c>
      <c r="B57" s="194" t="s">
        <v>239</v>
      </c>
      <c r="C57" s="121"/>
    </row>
    <row r="58" spans="1:3" s="192" customFormat="1" ht="12" customHeight="1" x14ac:dyDescent="0.2">
      <c r="A58" s="11" t="s">
        <v>235</v>
      </c>
      <c r="B58" s="194" t="s">
        <v>240</v>
      </c>
      <c r="C58" s="121"/>
    </row>
    <row r="59" spans="1:3" s="192" customFormat="1" ht="12" customHeight="1" thickBot="1" x14ac:dyDescent="0.25">
      <c r="A59" s="13" t="s">
        <v>236</v>
      </c>
      <c r="B59" s="114" t="s">
        <v>241</v>
      </c>
      <c r="C59" s="182"/>
    </row>
    <row r="60" spans="1:3" s="192" customFormat="1" ht="12" customHeight="1" thickBot="1" x14ac:dyDescent="0.25">
      <c r="A60" s="17" t="s">
        <v>146</v>
      </c>
      <c r="B60" s="18" t="s">
        <v>242</v>
      </c>
      <c r="C60" s="117">
        <f>SUM(C61:C63)</f>
        <v>0</v>
      </c>
    </row>
    <row r="61" spans="1:3" s="192" customFormat="1" ht="12" customHeight="1" x14ac:dyDescent="0.2">
      <c r="A61" s="12" t="s">
        <v>98</v>
      </c>
      <c r="B61" s="193" t="s">
        <v>243</v>
      </c>
      <c r="C61" s="119"/>
    </row>
    <row r="62" spans="1:3" s="192" customFormat="1" ht="12" customHeight="1" x14ac:dyDescent="0.2">
      <c r="A62" s="11" t="s">
        <v>99</v>
      </c>
      <c r="B62" s="194" t="s">
        <v>374</v>
      </c>
      <c r="C62" s="118"/>
    </row>
    <row r="63" spans="1:3" s="192" customFormat="1" ht="12" customHeight="1" x14ac:dyDescent="0.2">
      <c r="A63" s="11" t="s">
        <v>246</v>
      </c>
      <c r="B63" s="194" t="s">
        <v>244</v>
      </c>
      <c r="C63" s="118"/>
    </row>
    <row r="64" spans="1:3" s="192" customFormat="1" ht="12" customHeight="1" thickBot="1" x14ac:dyDescent="0.25">
      <c r="A64" s="13" t="s">
        <v>247</v>
      </c>
      <c r="B64" s="114" t="s">
        <v>245</v>
      </c>
      <c r="C64" s="120"/>
    </row>
    <row r="65" spans="1:3" s="192" customFormat="1" ht="12" customHeight="1" thickBot="1" x14ac:dyDescent="0.25">
      <c r="A65" s="17" t="s">
        <v>28</v>
      </c>
      <c r="B65" s="112" t="s">
        <v>248</v>
      </c>
      <c r="C65" s="117">
        <f>SUM(C66:C68)</f>
        <v>0</v>
      </c>
    </row>
    <row r="66" spans="1:3" s="192" customFormat="1" ht="12" customHeight="1" x14ac:dyDescent="0.2">
      <c r="A66" s="12" t="s">
        <v>147</v>
      </c>
      <c r="B66" s="193" t="s">
        <v>250</v>
      </c>
      <c r="C66" s="121"/>
    </row>
    <row r="67" spans="1:3" s="192" customFormat="1" ht="12" customHeight="1" x14ac:dyDescent="0.2">
      <c r="A67" s="11" t="s">
        <v>148</v>
      </c>
      <c r="B67" s="194" t="s">
        <v>375</v>
      </c>
      <c r="C67" s="121"/>
    </row>
    <row r="68" spans="1:3" s="192" customFormat="1" ht="12" customHeight="1" x14ac:dyDescent="0.2">
      <c r="A68" s="11" t="s">
        <v>174</v>
      </c>
      <c r="B68" s="194" t="s">
        <v>251</v>
      </c>
      <c r="C68" s="121"/>
    </row>
    <row r="69" spans="1:3" s="192" customFormat="1" ht="12" customHeight="1" thickBot="1" x14ac:dyDescent="0.25">
      <c r="A69" s="13" t="s">
        <v>249</v>
      </c>
      <c r="B69" s="114" t="s">
        <v>252</v>
      </c>
      <c r="C69" s="121"/>
    </row>
    <row r="70" spans="1:3" s="192" customFormat="1" ht="12" customHeight="1" thickBot="1" x14ac:dyDescent="0.25">
      <c r="A70" s="252" t="s">
        <v>455</v>
      </c>
      <c r="B70" s="18" t="s">
        <v>253</v>
      </c>
      <c r="C70" s="122">
        <f>+C11+C20+C27+C34+C42+C54+C60+C65</f>
        <v>1270959</v>
      </c>
    </row>
    <row r="71" spans="1:3" s="192" customFormat="1" ht="12" customHeight="1" thickBot="1" x14ac:dyDescent="0.25">
      <c r="A71" s="253" t="s">
        <v>254</v>
      </c>
      <c r="B71" s="112" t="s">
        <v>255</v>
      </c>
      <c r="C71" s="117">
        <f>SUM(C72:C74)</f>
        <v>0</v>
      </c>
    </row>
    <row r="72" spans="1:3" s="192" customFormat="1" ht="12" customHeight="1" x14ac:dyDescent="0.2">
      <c r="A72" s="12" t="s">
        <v>286</v>
      </c>
      <c r="B72" s="193" t="s">
        <v>256</v>
      </c>
      <c r="C72" s="121"/>
    </row>
    <row r="73" spans="1:3" s="192" customFormat="1" ht="12" customHeight="1" x14ac:dyDescent="0.2">
      <c r="A73" s="11" t="s">
        <v>295</v>
      </c>
      <c r="B73" s="194" t="s">
        <v>257</v>
      </c>
      <c r="C73" s="121"/>
    </row>
    <row r="74" spans="1:3" s="192" customFormat="1" ht="12" customHeight="1" thickBot="1" x14ac:dyDescent="0.25">
      <c r="A74" s="13" t="s">
        <v>296</v>
      </c>
      <c r="B74" s="254" t="s">
        <v>456</v>
      </c>
      <c r="C74" s="121"/>
    </row>
    <row r="75" spans="1:3" s="192" customFormat="1" ht="12" customHeight="1" thickBot="1" x14ac:dyDescent="0.25">
      <c r="A75" s="253" t="s">
        <v>259</v>
      </c>
      <c r="B75" s="112" t="s">
        <v>260</v>
      </c>
      <c r="C75" s="117">
        <f>SUM(C76:C79)</f>
        <v>0</v>
      </c>
    </row>
    <row r="76" spans="1:3" s="192" customFormat="1" ht="12" customHeight="1" x14ac:dyDescent="0.2">
      <c r="A76" s="12" t="s">
        <v>127</v>
      </c>
      <c r="B76" s="193" t="s">
        <v>261</v>
      </c>
      <c r="C76" s="121"/>
    </row>
    <row r="77" spans="1:3" s="192" customFormat="1" ht="12" customHeight="1" x14ac:dyDescent="0.2">
      <c r="A77" s="11" t="s">
        <v>128</v>
      </c>
      <c r="B77" s="194" t="s">
        <v>262</v>
      </c>
      <c r="C77" s="121"/>
    </row>
    <row r="78" spans="1:3" s="192" customFormat="1" ht="12" customHeight="1" x14ac:dyDescent="0.2">
      <c r="A78" s="11" t="s">
        <v>287</v>
      </c>
      <c r="B78" s="194" t="s">
        <v>263</v>
      </c>
      <c r="C78" s="121"/>
    </row>
    <row r="79" spans="1:3" s="192" customFormat="1" ht="12" customHeight="1" thickBot="1" x14ac:dyDescent="0.25">
      <c r="A79" s="13" t="s">
        <v>288</v>
      </c>
      <c r="B79" s="114" t="s">
        <v>264</v>
      </c>
      <c r="C79" s="121"/>
    </row>
    <row r="80" spans="1:3" s="192" customFormat="1" ht="12" customHeight="1" thickBot="1" x14ac:dyDescent="0.25">
      <c r="A80" s="253" t="s">
        <v>265</v>
      </c>
      <c r="B80" s="112" t="s">
        <v>266</v>
      </c>
      <c r="C80" s="117">
        <f>SUM(C81:C82)</f>
        <v>0</v>
      </c>
    </row>
    <row r="81" spans="1:3" s="192" customFormat="1" ht="12" customHeight="1" x14ac:dyDescent="0.2">
      <c r="A81" s="12" t="s">
        <v>289</v>
      </c>
      <c r="B81" s="193" t="s">
        <v>267</v>
      </c>
      <c r="C81" s="121"/>
    </row>
    <row r="82" spans="1:3" s="192" customFormat="1" ht="12" customHeight="1" thickBot="1" x14ac:dyDescent="0.25">
      <c r="A82" s="13" t="s">
        <v>290</v>
      </c>
      <c r="B82" s="114" t="s">
        <v>268</v>
      </c>
      <c r="C82" s="121"/>
    </row>
    <row r="83" spans="1:3" s="192" customFormat="1" ht="12" customHeight="1" thickBot="1" x14ac:dyDescent="0.25">
      <c r="A83" s="253" t="s">
        <v>269</v>
      </c>
      <c r="B83" s="112" t="s">
        <v>270</v>
      </c>
      <c r="C83" s="117">
        <f>SUM(C84:C86)</f>
        <v>0</v>
      </c>
    </row>
    <row r="84" spans="1:3" s="192" customFormat="1" ht="12" customHeight="1" x14ac:dyDescent="0.2">
      <c r="A84" s="12" t="s">
        <v>291</v>
      </c>
      <c r="B84" s="193" t="s">
        <v>271</v>
      </c>
      <c r="C84" s="121"/>
    </row>
    <row r="85" spans="1:3" s="192" customFormat="1" ht="12" customHeight="1" x14ac:dyDescent="0.2">
      <c r="A85" s="11" t="s">
        <v>292</v>
      </c>
      <c r="B85" s="194" t="s">
        <v>272</v>
      </c>
      <c r="C85" s="121"/>
    </row>
    <row r="86" spans="1:3" s="192" customFormat="1" ht="12" customHeight="1" thickBot="1" x14ac:dyDescent="0.25">
      <c r="A86" s="13" t="s">
        <v>293</v>
      </c>
      <c r="B86" s="114" t="s">
        <v>273</v>
      </c>
      <c r="C86" s="121"/>
    </row>
    <row r="87" spans="1:3" s="192" customFormat="1" ht="12" customHeight="1" thickBot="1" x14ac:dyDescent="0.25">
      <c r="A87" s="253" t="s">
        <v>274</v>
      </c>
      <c r="B87" s="112" t="s">
        <v>294</v>
      </c>
      <c r="C87" s="117">
        <f>SUM(C88:C91)</f>
        <v>0</v>
      </c>
    </row>
    <row r="88" spans="1:3" s="192" customFormat="1" ht="12" customHeight="1" x14ac:dyDescent="0.2">
      <c r="A88" s="197" t="s">
        <v>275</v>
      </c>
      <c r="B88" s="193" t="s">
        <v>276</v>
      </c>
      <c r="C88" s="121"/>
    </row>
    <row r="89" spans="1:3" s="192" customFormat="1" ht="12" customHeight="1" x14ac:dyDescent="0.2">
      <c r="A89" s="198" t="s">
        <v>277</v>
      </c>
      <c r="B89" s="194" t="s">
        <v>278</v>
      </c>
      <c r="C89" s="121"/>
    </row>
    <row r="90" spans="1:3" s="192" customFormat="1" ht="12" customHeight="1" x14ac:dyDescent="0.2">
      <c r="A90" s="198" t="s">
        <v>279</v>
      </c>
      <c r="B90" s="194" t="s">
        <v>280</v>
      </c>
      <c r="C90" s="121"/>
    </row>
    <row r="91" spans="1:3" s="192" customFormat="1" ht="12" customHeight="1" thickBot="1" x14ac:dyDescent="0.25">
      <c r="A91" s="199" t="s">
        <v>281</v>
      </c>
      <c r="B91" s="114" t="s">
        <v>282</v>
      </c>
      <c r="C91" s="121"/>
    </row>
    <row r="92" spans="1:3" s="192" customFormat="1" ht="12" customHeight="1" thickBot="1" x14ac:dyDescent="0.25">
      <c r="A92" s="253" t="s">
        <v>283</v>
      </c>
      <c r="B92" s="112" t="s">
        <v>457</v>
      </c>
      <c r="C92" s="232"/>
    </row>
    <row r="93" spans="1:3" s="192" customFormat="1" ht="13.5" customHeight="1" thickBot="1" x14ac:dyDescent="0.25">
      <c r="A93" s="253" t="s">
        <v>285</v>
      </c>
      <c r="B93" s="112" t="s">
        <v>284</v>
      </c>
      <c r="C93" s="232"/>
    </row>
    <row r="94" spans="1:3" s="192" customFormat="1" ht="15.75" customHeight="1" thickBot="1" x14ac:dyDescent="0.25">
      <c r="A94" s="253" t="s">
        <v>297</v>
      </c>
      <c r="B94" s="200" t="s">
        <v>458</v>
      </c>
      <c r="C94" s="122">
        <f>+C71+C75+C80+C83+C87+C93+C92</f>
        <v>0</v>
      </c>
    </row>
    <row r="95" spans="1:3" s="192" customFormat="1" ht="16.5" customHeight="1" thickBot="1" x14ac:dyDescent="0.25">
      <c r="A95" s="255" t="s">
        <v>459</v>
      </c>
      <c r="B95" s="201" t="s">
        <v>460</v>
      </c>
      <c r="C95" s="122">
        <f>+C70+C94</f>
        <v>1270959</v>
      </c>
    </row>
    <row r="96" spans="1:3" s="192" customFormat="1" ht="83.25" customHeight="1" x14ac:dyDescent="0.2">
      <c r="A96" s="2"/>
      <c r="B96" s="3"/>
      <c r="C96" s="123"/>
    </row>
    <row r="97" spans="1:3" ht="16.5" customHeight="1" x14ac:dyDescent="0.25">
      <c r="A97" s="1445" t="s">
        <v>49</v>
      </c>
      <c r="B97" s="1445"/>
      <c r="C97" s="1445"/>
    </row>
    <row r="98" spans="1:3" s="202" customFormat="1" ht="16.5" customHeight="1" thickBot="1" x14ac:dyDescent="0.3">
      <c r="A98" s="1446" t="s">
        <v>130</v>
      </c>
      <c r="B98" s="1446"/>
      <c r="C98" s="59" t="s">
        <v>555</v>
      </c>
    </row>
    <row r="99" spans="1:3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3" s="191" customFormat="1" ht="12" customHeight="1" thickBot="1" x14ac:dyDescent="0.25">
      <c r="A100" s="25" t="s">
        <v>447</v>
      </c>
      <c r="B100" s="26" t="s">
        <v>448</v>
      </c>
      <c r="C100" s="27" t="s">
        <v>449</v>
      </c>
    </row>
    <row r="101" spans="1:3" ht="12" customHeight="1" thickBot="1" x14ac:dyDescent="0.3">
      <c r="A101" s="19" t="s">
        <v>21</v>
      </c>
      <c r="B101" s="23" t="s">
        <v>498</v>
      </c>
      <c r="C101" s="116">
        <f>C102+C103+C104+C105+C106+C119</f>
        <v>845791</v>
      </c>
    </row>
    <row r="102" spans="1:3" ht="12" customHeight="1" x14ac:dyDescent="0.25">
      <c r="A102" s="14" t="s">
        <v>100</v>
      </c>
      <c r="B102" s="7" t="s">
        <v>51</v>
      </c>
      <c r="C102" s="275">
        <f>333277+15454</f>
        <v>348731</v>
      </c>
    </row>
    <row r="103" spans="1:3" ht="12" customHeight="1" x14ac:dyDescent="0.25">
      <c r="A103" s="11" t="s">
        <v>101</v>
      </c>
      <c r="B103" s="5" t="s">
        <v>149</v>
      </c>
      <c r="C103" s="121">
        <f>58324+2704</f>
        <v>61028</v>
      </c>
    </row>
    <row r="104" spans="1:3" ht="12" customHeight="1" x14ac:dyDescent="0.25">
      <c r="A104" s="11" t="s">
        <v>102</v>
      </c>
      <c r="B104" s="5" t="s">
        <v>125</v>
      </c>
      <c r="C104" s="182">
        <v>436032</v>
      </c>
    </row>
    <row r="105" spans="1:3" ht="12" customHeight="1" x14ac:dyDescent="0.25">
      <c r="A105" s="11" t="s">
        <v>103</v>
      </c>
      <c r="B105" s="8" t="s">
        <v>150</v>
      </c>
      <c r="C105" s="182"/>
    </row>
    <row r="106" spans="1:3" ht="12" customHeight="1" x14ac:dyDescent="0.25">
      <c r="A106" s="11" t="s">
        <v>114</v>
      </c>
      <c r="B106" s="16" t="s">
        <v>151</v>
      </c>
      <c r="C106" s="121">
        <f>SUM(C107:C118)</f>
        <v>0</v>
      </c>
    </row>
    <row r="107" spans="1:3" ht="12" customHeight="1" x14ac:dyDescent="0.25">
      <c r="A107" s="11" t="s">
        <v>104</v>
      </c>
      <c r="B107" s="5" t="s">
        <v>461</v>
      </c>
      <c r="C107" s="271"/>
    </row>
    <row r="108" spans="1:3" ht="12" customHeight="1" x14ac:dyDescent="0.25">
      <c r="A108" s="11" t="s">
        <v>105</v>
      </c>
      <c r="B108" s="63" t="s">
        <v>462</v>
      </c>
      <c r="C108" s="271"/>
    </row>
    <row r="109" spans="1:3" ht="12" customHeight="1" x14ac:dyDescent="0.25">
      <c r="A109" s="11" t="s">
        <v>115</v>
      </c>
      <c r="B109" s="63" t="s">
        <v>463</v>
      </c>
      <c r="C109" s="271"/>
    </row>
    <row r="110" spans="1:3" ht="12" customHeight="1" x14ac:dyDescent="0.25">
      <c r="A110" s="11" t="s">
        <v>116</v>
      </c>
      <c r="B110" s="61" t="s">
        <v>300</v>
      </c>
      <c r="C110" s="271"/>
    </row>
    <row r="111" spans="1:3" ht="12" customHeight="1" x14ac:dyDescent="0.25">
      <c r="A111" s="11" t="s">
        <v>117</v>
      </c>
      <c r="B111" s="62" t="s">
        <v>301</v>
      </c>
      <c r="C111" s="271"/>
    </row>
    <row r="112" spans="1:3" ht="12" customHeight="1" x14ac:dyDescent="0.25">
      <c r="A112" s="11" t="s">
        <v>118</v>
      </c>
      <c r="B112" s="62" t="s">
        <v>302</v>
      </c>
      <c r="C112" s="271"/>
    </row>
    <row r="113" spans="1:3" ht="12" customHeight="1" x14ac:dyDescent="0.25">
      <c r="A113" s="11" t="s">
        <v>120</v>
      </c>
      <c r="B113" s="61" t="s">
        <v>303</v>
      </c>
      <c r="C113" s="271"/>
    </row>
    <row r="114" spans="1:3" ht="12" customHeight="1" x14ac:dyDescent="0.25">
      <c r="A114" s="11" t="s">
        <v>152</v>
      </c>
      <c r="B114" s="61" t="s">
        <v>304</v>
      </c>
      <c r="C114" s="271"/>
    </row>
    <row r="115" spans="1:3" ht="12" customHeight="1" x14ac:dyDescent="0.25">
      <c r="A115" s="11" t="s">
        <v>298</v>
      </c>
      <c r="B115" s="62" t="s">
        <v>305</v>
      </c>
      <c r="C115" s="271"/>
    </row>
    <row r="116" spans="1:3" ht="12" customHeight="1" x14ac:dyDescent="0.25">
      <c r="A116" s="10" t="s">
        <v>299</v>
      </c>
      <c r="B116" s="63" t="s">
        <v>306</v>
      </c>
      <c r="C116" s="271"/>
    </row>
    <row r="117" spans="1:3" ht="12" customHeight="1" x14ac:dyDescent="0.25">
      <c r="A117" s="11" t="s">
        <v>464</v>
      </c>
      <c r="B117" s="63" t="s">
        <v>307</v>
      </c>
      <c r="C117" s="271"/>
    </row>
    <row r="118" spans="1:3" ht="12" customHeight="1" x14ac:dyDescent="0.25">
      <c r="A118" s="13" t="s">
        <v>465</v>
      </c>
      <c r="B118" s="63" t="s">
        <v>308</v>
      </c>
      <c r="C118" s="267"/>
    </row>
    <row r="119" spans="1:3" ht="12" customHeight="1" x14ac:dyDescent="0.25">
      <c r="A119" s="11" t="s">
        <v>466</v>
      </c>
      <c r="B119" s="8" t="s">
        <v>52</v>
      </c>
      <c r="C119" s="121">
        <f>C120+C121</f>
        <v>0</v>
      </c>
    </row>
    <row r="120" spans="1:3" ht="12" customHeight="1" x14ac:dyDescent="0.25">
      <c r="A120" s="11" t="s">
        <v>467</v>
      </c>
      <c r="B120" s="5" t="s">
        <v>468</v>
      </c>
      <c r="C120" s="118"/>
    </row>
    <row r="121" spans="1:3" ht="12" customHeight="1" thickBot="1" x14ac:dyDescent="0.3">
      <c r="A121" s="15" t="s">
        <v>469</v>
      </c>
      <c r="B121" s="256" t="s">
        <v>470</v>
      </c>
      <c r="C121" s="124"/>
    </row>
    <row r="122" spans="1:3" ht="12" customHeight="1" thickBot="1" x14ac:dyDescent="0.3">
      <c r="A122" s="257" t="s">
        <v>22</v>
      </c>
      <c r="B122" s="258" t="s">
        <v>309</v>
      </c>
      <c r="C122" s="259">
        <f>+C123+C125+C127</f>
        <v>0</v>
      </c>
    </row>
    <row r="123" spans="1:3" ht="12" customHeight="1" x14ac:dyDescent="0.25">
      <c r="A123" s="12" t="s">
        <v>106</v>
      </c>
      <c r="B123" s="5" t="s">
        <v>173</v>
      </c>
      <c r="C123" s="231"/>
    </row>
    <row r="124" spans="1:3" ht="12" customHeight="1" x14ac:dyDescent="0.25">
      <c r="A124" s="12" t="s">
        <v>107</v>
      </c>
      <c r="B124" s="9" t="s">
        <v>313</v>
      </c>
      <c r="C124" s="231"/>
    </row>
    <row r="125" spans="1:3" ht="12" customHeight="1" x14ac:dyDescent="0.25">
      <c r="A125" s="12" t="s">
        <v>108</v>
      </c>
      <c r="B125" s="9" t="s">
        <v>153</v>
      </c>
      <c r="C125" s="121"/>
    </row>
    <row r="126" spans="1:3" ht="12" customHeight="1" x14ac:dyDescent="0.25">
      <c r="A126" s="12" t="s">
        <v>109</v>
      </c>
      <c r="B126" s="9" t="s">
        <v>314</v>
      </c>
      <c r="C126" s="267"/>
    </row>
    <row r="127" spans="1:3" ht="12" customHeight="1" x14ac:dyDescent="0.25">
      <c r="A127" s="12" t="s">
        <v>110</v>
      </c>
      <c r="B127" s="114" t="s">
        <v>175</v>
      </c>
      <c r="C127" s="267">
        <f>SUM(C128:C135)</f>
        <v>0</v>
      </c>
    </row>
    <row r="128" spans="1:3" ht="12" customHeight="1" x14ac:dyDescent="0.25">
      <c r="A128" s="12" t="s">
        <v>119</v>
      </c>
      <c r="B128" s="113" t="s">
        <v>376</v>
      </c>
      <c r="C128" s="267"/>
    </row>
    <row r="129" spans="1:3" ht="12" customHeight="1" x14ac:dyDescent="0.25">
      <c r="A129" s="12" t="s">
        <v>121</v>
      </c>
      <c r="B129" s="189" t="s">
        <v>319</v>
      </c>
      <c r="C129" s="267"/>
    </row>
    <row r="130" spans="1:3" x14ac:dyDescent="0.25">
      <c r="A130" s="12" t="s">
        <v>154</v>
      </c>
      <c r="B130" s="62" t="s">
        <v>302</v>
      </c>
      <c r="C130" s="267"/>
    </row>
    <row r="131" spans="1:3" ht="12" customHeight="1" x14ac:dyDescent="0.25">
      <c r="A131" s="12" t="s">
        <v>155</v>
      </c>
      <c r="B131" s="62" t="s">
        <v>318</v>
      </c>
      <c r="C131" s="267"/>
    </row>
    <row r="132" spans="1:3" ht="12" customHeight="1" x14ac:dyDescent="0.25">
      <c r="A132" s="12" t="s">
        <v>156</v>
      </c>
      <c r="B132" s="62" t="s">
        <v>317</v>
      </c>
      <c r="C132" s="267"/>
    </row>
    <row r="133" spans="1:3" ht="12" customHeight="1" x14ac:dyDescent="0.25">
      <c r="A133" s="12" t="s">
        <v>310</v>
      </c>
      <c r="B133" s="62" t="s">
        <v>305</v>
      </c>
      <c r="C133" s="267"/>
    </row>
    <row r="134" spans="1:3" ht="12" customHeight="1" x14ac:dyDescent="0.25">
      <c r="A134" s="12" t="s">
        <v>311</v>
      </c>
      <c r="B134" s="62" t="s">
        <v>316</v>
      </c>
      <c r="C134" s="267"/>
    </row>
    <row r="135" spans="1:3" ht="16.5" thickBot="1" x14ac:dyDescent="0.3">
      <c r="A135" s="10" t="s">
        <v>312</v>
      </c>
      <c r="B135" s="62" t="s">
        <v>315</v>
      </c>
      <c r="C135" s="271"/>
    </row>
    <row r="136" spans="1:3" ht="12" customHeight="1" thickBot="1" x14ac:dyDescent="0.3">
      <c r="A136" s="17" t="s">
        <v>23</v>
      </c>
      <c r="B136" s="57" t="s">
        <v>471</v>
      </c>
      <c r="C136" s="117">
        <f>+C101+C122</f>
        <v>845791</v>
      </c>
    </row>
    <row r="137" spans="1:3" ht="12" customHeight="1" thickBot="1" x14ac:dyDescent="0.3">
      <c r="A137" s="17" t="s">
        <v>24</v>
      </c>
      <c r="B137" s="57" t="s">
        <v>472</v>
      </c>
      <c r="C137" s="117">
        <f>+C138+C139+C140</f>
        <v>0</v>
      </c>
    </row>
    <row r="138" spans="1:3" ht="12" customHeight="1" x14ac:dyDescent="0.25">
      <c r="A138" s="12" t="s">
        <v>211</v>
      </c>
      <c r="B138" s="9" t="s">
        <v>473</v>
      </c>
      <c r="C138" s="106"/>
    </row>
    <row r="139" spans="1:3" ht="12" customHeight="1" x14ac:dyDescent="0.25">
      <c r="A139" s="12" t="s">
        <v>214</v>
      </c>
      <c r="B139" s="9" t="s">
        <v>474</v>
      </c>
      <c r="C139" s="106"/>
    </row>
    <row r="140" spans="1:3" ht="12" customHeight="1" thickBot="1" x14ac:dyDescent="0.3">
      <c r="A140" s="10" t="s">
        <v>215</v>
      </c>
      <c r="B140" s="9" t="s">
        <v>475</v>
      </c>
      <c r="C140" s="106"/>
    </row>
    <row r="141" spans="1:3" ht="12" customHeight="1" thickBot="1" x14ac:dyDescent="0.3">
      <c r="A141" s="17" t="s">
        <v>25</v>
      </c>
      <c r="B141" s="57" t="s">
        <v>476</v>
      </c>
      <c r="C141" s="117">
        <f>SUM(C142:C147)</f>
        <v>0</v>
      </c>
    </row>
    <row r="142" spans="1:3" ht="12" customHeight="1" x14ac:dyDescent="0.25">
      <c r="A142" s="12" t="s">
        <v>93</v>
      </c>
      <c r="B142" s="6" t="s">
        <v>477</v>
      </c>
      <c r="C142" s="106"/>
    </row>
    <row r="143" spans="1:3" ht="12" customHeight="1" x14ac:dyDescent="0.25">
      <c r="A143" s="12" t="s">
        <v>94</v>
      </c>
      <c r="B143" s="6" t="s">
        <v>478</v>
      </c>
      <c r="C143" s="106"/>
    </row>
    <row r="144" spans="1:3" ht="12" customHeight="1" x14ac:dyDescent="0.25">
      <c r="A144" s="12" t="s">
        <v>95</v>
      </c>
      <c r="B144" s="6" t="s">
        <v>479</v>
      </c>
      <c r="C144" s="106"/>
    </row>
    <row r="145" spans="1:3" ht="12" customHeight="1" x14ac:dyDescent="0.25">
      <c r="A145" s="12" t="s">
        <v>141</v>
      </c>
      <c r="B145" s="6" t="s">
        <v>480</v>
      </c>
      <c r="C145" s="106"/>
    </row>
    <row r="146" spans="1:3" ht="12" customHeight="1" x14ac:dyDescent="0.25">
      <c r="A146" s="12" t="s">
        <v>142</v>
      </c>
      <c r="B146" s="6" t="s">
        <v>481</v>
      </c>
      <c r="C146" s="106"/>
    </row>
    <row r="147" spans="1:3" ht="12" customHeight="1" thickBot="1" x14ac:dyDescent="0.3">
      <c r="A147" s="10" t="s">
        <v>143</v>
      </c>
      <c r="B147" s="6" t="s">
        <v>482</v>
      </c>
      <c r="C147" s="106"/>
    </row>
    <row r="148" spans="1:3" ht="12" customHeight="1" thickBot="1" x14ac:dyDescent="0.3">
      <c r="A148" s="17" t="s">
        <v>26</v>
      </c>
      <c r="B148" s="57" t="s">
        <v>483</v>
      </c>
      <c r="C148" s="122">
        <f>+C149+C150+C151+C152</f>
        <v>0</v>
      </c>
    </row>
    <row r="149" spans="1:3" ht="12" customHeight="1" x14ac:dyDescent="0.25">
      <c r="A149" s="12" t="s">
        <v>96</v>
      </c>
      <c r="B149" s="6" t="s">
        <v>320</v>
      </c>
      <c r="C149" s="106"/>
    </row>
    <row r="150" spans="1:3" ht="12" customHeight="1" x14ac:dyDescent="0.25">
      <c r="A150" s="12" t="s">
        <v>97</v>
      </c>
      <c r="B150" s="6" t="s">
        <v>321</v>
      </c>
      <c r="C150" s="106"/>
    </row>
    <row r="151" spans="1:3" ht="12" customHeight="1" x14ac:dyDescent="0.25">
      <c r="A151" s="12" t="s">
        <v>234</v>
      </c>
      <c r="B151" s="6" t="s">
        <v>484</v>
      </c>
      <c r="C151" s="106"/>
    </row>
    <row r="152" spans="1:3" ht="12" customHeight="1" thickBot="1" x14ac:dyDescent="0.3">
      <c r="A152" s="10" t="s">
        <v>235</v>
      </c>
      <c r="B152" s="4" t="s">
        <v>339</v>
      </c>
      <c r="C152" s="106"/>
    </row>
    <row r="153" spans="1:3" ht="12" customHeight="1" thickBot="1" x14ac:dyDescent="0.3">
      <c r="A153" s="17" t="s">
        <v>27</v>
      </c>
      <c r="B153" s="57" t="s">
        <v>485</v>
      </c>
      <c r="C153" s="125">
        <f>SUM(C154:C158)</f>
        <v>0</v>
      </c>
    </row>
    <row r="154" spans="1:3" ht="12" customHeight="1" x14ac:dyDescent="0.25">
      <c r="A154" s="12" t="s">
        <v>98</v>
      </c>
      <c r="B154" s="6" t="s">
        <v>486</v>
      </c>
      <c r="C154" s="106"/>
    </row>
    <row r="155" spans="1:3" ht="12" customHeight="1" x14ac:dyDescent="0.25">
      <c r="A155" s="12" t="s">
        <v>99</v>
      </c>
      <c r="B155" s="6" t="s">
        <v>487</v>
      </c>
      <c r="C155" s="106"/>
    </row>
    <row r="156" spans="1:3" ht="12" customHeight="1" x14ac:dyDescent="0.25">
      <c r="A156" s="12" t="s">
        <v>246</v>
      </c>
      <c r="B156" s="6" t="s">
        <v>488</v>
      </c>
      <c r="C156" s="106"/>
    </row>
    <row r="157" spans="1:3" ht="12" customHeight="1" x14ac:dyDescent="0.25">
      <c r="A157" s="12" t="s">
        <v>247</v>
      </c>
      <c r="B157" s="6" t="s">
        <v>489</v>
      </c>
      <c r="C157" s="106"/>
    </row>
    <row r="158" spans="1:3" ht="12" customHeight="1" thickBot="1" x14ac:dyDescent="0.3">
      <c r="A158" s="12" t="s">
        <v>490</v>
      </c>
      <c r="B158" s="6" t="s">
        <v>491</v>
      </c>
      <c r="C158" s="106"/>
    </row>
    <row r="159" spans="1:3" ht="12" customHeight="1" thickBot="1" x14ac:dyDescent="0.3">
      <c r="A159" s="17" t="s">
        <v>28</v>
      </c>
      <c r="B159" s="57" t="s">
        <v>492</v>
      </c>
      <c r="C159" s="260"/>
    </row>
    <row r="160" spans="1:3" ht="12" customHeight="1" thickBot="1" x14ac:dyDescent="0.3">
      <c r="A160" s="17" t="s">
        <v>29</v>
      </c>
      <c r="B160" s="57" t="s">
        <v>493</v>
      </c>
      <c r="C160" s="260"/>
    </row>
    <row r="161" spans="1:6" ht="15" customHeight="1" thickBot="1" x14ac:dyDescent="0.3">
      <c r="A161" s="17" t="s">
        <v>30</v>
      </c>
      <c r="B161" s="57" t="s">
        <v>494</v>
      </c>
      <c r="C161" s="203">
        <f>+C137+C141+C148+C153+C159+C160</f>
        <v>0</v>
      </c>
      <c r="D161" s="204"/>
      <c r="E161" s="204"/>
      <c r="F161" s="204"/>
    </row>
    <row r="162" spans="1:6" s="192" customFormat="1" ht="12.95" customHeight="1" thickBot="1" x14ac:dyDescent="0.25">
      <c r="A162" s="115" t="s">
        <v>31</v>
      </c>
      <c r="B162" s="178" t="s">
        <v>495</v>
      </c>
      <c r="C162" s="203">
        <f>+C136+C161</f>
        <v>845791</v>
      </c>
    </row>
    <row r="163" spans="1:6" ht="7.5" customHeight="1" x14ac:dyDescent="0.25"/>
    <row r="164" spans="1:6" x14ac:dyDescent="0.25">
      <c r="A164" s="1442" t="s">
        <v>322</v>
      </c>
      <c r="B164" s="1442"/>
      <c r="C164" s="1442"/>
    </row>
    <row r="165" spans="1:6" ht="15" customHeight="1" thickBot="1" x14ac:dyDescent="0.3">
      <c r="A165" s="1444" t="s">
        <v>131</v>
      </c>
      <c r="B165" s="1444"/>
      <c r="C165" s="126" t="s">
        <v>555</v>
      </c>
    </row>
    <row r="166" spans="1:6" ht="13.5" customHeight="1" thickBot="1" x14ac:dyDescent="0.3">
      <c r="A166" s="17">
        <v>1</v>
      </c>
      <c r="B166" s="22" t="s">
        <v>496</v>
      </c>
      <c r="C166" s="117">
        <f>+C70-C136</f>
        <v>425168</v>
      </c>
    </row>
    <row r="167" spans="1:6" ht="32.25" customHeight="1" thickBot="1" x14ac:dyDescent="0.3">
      <c r="A167" s="17" t="s">
        <v>22</v>
      </c>
      <c r="B167" s="22" t="s">
        <v>497</v>
      </c>
      <c r="C167" s="117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zoomScaleSheetLayoutView="100" workbookViewId="0">
      <selection activeCell="F1" sqref="F1:F32"/>
    </sheetView>
  </sheetViews>
  <sheetFormatPr defaultRowHeight="12.75" x14ac:dyDescent="0.2"/>
  <cols>
    <col min="1" max="1" width="6.83203125" style="31" customWidth="1"/>
    <col min="2" max="2" width="55.1640625" style="72" customWidth="1"/>
    <col min="3" max="3" width="16" style="31" bestFit="1" customWidth="1"/>
    <col min="4" max="4" width="55.1640625" style="31" customWidth="1"/>
    <col min="5" max="5" width="16.33203125" style="31" customWidth="1"/>
    <col min="6" max="6" width="4.83203125" style="31" customWidth="1"/>
    <col min="7" max="16384" width="9.33203125" style="31"/>
  </cols>
  <sheetData>
    <row r="1" spans="1:6" ht="39.75" customHeight="1" thickBot="1" x14ac:dyDescent="0.25">
      <c r="A1" s="1453" t="s">
        <v>134</v>
      </c>
      <c r="B1" s="1453"/>
      <c r="C1" s="1453"/>
      <c r="D1" s="1453"/>
      <c r="E1" s="1453"/>
      <c r="F1" s="1449" t="str">
        <f>CONCATENATE("4. melléklet ",ALAPADATOK!A7," ",ALAPADATOK!B7," ",ALAPADATOK!C7," ",ALAPADATOK!D7," ",ALAPADATOK!E7," ",ALAPADATOK!F7," ",ALAPADATOK!G7," ",ALAPADATOK!H7)</f>
        <v>4. melléklet a 21 / 2020. ( IX.25. ) önkormányzati rendelethez</v>
      </c>
    </row>
    <row r="2" spans="1:6" ht="18" customHeight="1" thickBot="1" x14ac:dyDescent="0.25">
      <c r="A2" s="1450" t="s">
        <v>72</v>
      </c>
      <c r="B2" s="593" t="s">
        <v>58</v>
      </c>
      <c r="C2" s="594"/>
      <c r="D2" s="593" t="s">
        <v>59</v>
      </c>
      <c r="E2" s="595"/>
      <c r="F2" s="1449"/>
    </row>
    <row r="3" spans="1:6" s="136" customFormat="1" ht="35.25" customHeight="1" thickBot="1" x14ac:dyDescent="0.25">
      <c r="A3" s="1451"/>
      <c r="B3" s="596" t="s">
        <v>64</v>
      </c>
      <c r="C3" s="597" t="s">
        <v>1021</v>
      </c>
      <c r="D3" s="596" t="s">
        <v>64</v>
      </c>
      <c r="E3" s="598" t="str">
        <f>+C3</f>
        <v>2020.évi előirányzat</v>
      </c>
      <c r="F3" s="1449"/>
    </row>
    <row r="4" spans="1:6" s="141" customFormat="1" ht="12" customHeight="1" thickBot="1" x14ac:dyDescent="0.25">
      <c r="A4" s="137" t="s">
        <v>447</v>
      </c>
      <c r="B4" s="138" t="s">
        <v>448</v>
      </c>
      <c r="C4" s="139" t="s">
        <v>449</v>
      </c>
      <c r="D4" s="138" t="s">
        <v>499</v>
      </c>
      <c r="E4" s="140" t="s">
        <v>500</v>
      </c>
      <c r="F4" s="1449"/>
    </row>
    <row r="5" spans="1:6" ht="12.95" customHeight="1" x14ac:dyDescent="0.2">
      <c r="A5" s="599" t="s">
        <v>21</v>
      </c>
      <c r="B5" s="158" t="s">
        <v>323</v>
      </c>
      <c r="C5" s="576">
        <f>'1.1.sz.mell. '!C11</f>
        <v>1492762052</v>
      </c>
      <c r="D5" s="158" t="s">
        <v>65</v>
      </c>
      <c r="E5" s="35">
        <f>'1.1.sz.mell. '!C102</f>
        <v>1218059814</v>
      </c>
      <c r="F5" s="1449"/>
    </row>
    <row r="6" spans="1:6" ht="12.95" customHeight="1" x14ac:dyDescent="0.2">
      <c r="A6" s="600" t="s">
        <v>22</v>
      </c>
      <c r="B6" s="148" t="s">
        <v>324</v>
      </c>
      <c r="C6" s="36">
        <f>'1.1.sz.mell. '!C20</f>
        <v>337970675</v>
      </c>
      <c r="D6" s="148" t="s">
        <v>149</v>
      </c>
      <c r="E6" s="35">
        <f>'1.1.sz.mell. '!C103</f>
        <v>228887290</v>
      </c>
      <c r="F6" s="1449"/>
    </row>
    <row r="7" spans="1:6" ht="12.95" customHeight="1" x14ac:dyDescent="0.2">
      <c r="A7" s="600" t="s">
        <v>23</v>
      </c>
      <c r="B7" s="148" t="s">
        <v>344</v>
      </c>
      <c r="C7" s="36">
        <f>'1.1.sz.mell. '!C26</f>
        <v>199298890</v>
      </c>
      <c r="D7" s="148" t="s">
        <v>178</v>
      </c>
      <c r="E7" s="35">
        <f>'1.1.sz.mell. '!C104</f>
        <v>922434867</v>
      </c>
      <c r="F7" s="1449"/>
    </row>
    <row r="8" spans="1:6" ht="12.95" customHeight="1" x14ac:dyDescent="0.2">
      <c r="A8" s="600" t="s">
        <v>24</v>
      </c>
      <c r="B8" s="148" t="s">
        <v>140</v>
      </c>
      <c r="C8" s="36">
        <f>'1.1.sz.mell. '!C34</f>
        <v>503000000</v>
      </c>
      <c r="D8" s="148" t="s">
        <v>150</v>
      </c>
      <c r="E8" s="37">
        <f>'1.1.sz.mell. '!C105</f>
        <v>61300000</v>
      </c>
      <c r="F8" s="1449"/>
    </row>
    <row r="9" spans="1:6" ht="12.95" customHeight="1" x14ac:dyDescent="0.2">
      <c r="A9" s="600" t="s">
        <v>25</v>
      </c>
      <c r="B9" s="601" t="s">
        <v>369</v>
      </c>
      <c r="C9" s="36">
        <f>'1.1.sz.mell. '!C42</f>
        <v>339351277</v>
      </c>
      <c r="D9" s="148" t="s">
        <v>151</v>
      </c>
      <c r="E9" s="37">
        <f>'1.1.sz.mell. '!C106</f>
        <v>214672293</v>
      </c>
      <c r="F9" s="1449"/>
    </row>
    <row r="10" spans="1:6" ht="12.95" customHeight="1" x14ac:dyDescent="0.2">
      <c r="A10" s="600" t="s">
        <v>26</v>
      </c>
      <c r="B10" s="148" t="s">
        <v>325</v>
      </c>
      <c r="C10" s="276">
        <f>'1.1.sz.mell. '!C60</f>
        <v>2539075</v>
      </c>
      <c r="D10" s="148" t="s">
        <v>52</v>
      </c>
      <c r="E10" s="37">
        <f>'1.1.sz.mell. '!C119-'2.2.sz.mell .'!E15</f>
        <v>83625652</v>
      </c>
      <c r="F10" s="1449"/>
    </row>
    <row r="11" spans="1:6" ht="12.95" customHeight="1" x14ac:dyDescent="0.2">
      <c r="A11" s="600" t="s">
        <v>27</v>
      </c>
      <c r="B11" s="148" t="s">
        <v>501</v>
      </c>
      <c r="C11" s="36">
        <f>'1.1.sz.mell. '!C64</f>
        <v>0</v>
      </c>
      <c r="D11" s="302"/>
      <c r="E11" s="37"/>
      <c r="F11" s="1449"/>
    </row>
    <row r="12" spans="1:6" ht="12.95" customHeight="1" x14ac:dyDescent="0.2">
      <c r="A12" s="600" t="s">
        <v>28</v>
      </c>
      <c r="B12" s="302"/>
      <c r="C12" s="36"/>
      <c r="D12" s="302"/>
      <c r="E12" s="37"/>
      <c r="F12" s="1449"/>
    </row>
    <row r="13" spans="1:6" ht="12.95" customHeight="1" x14ac:dyDescent="0.2">
      <c r="A13" s="600" t="s">
        <v>29</v>
      </c>
      <c r="B13" s="205"/>
      <c r="C13" s="276"/>
      <c r="D13" s="302"/>
      <c r="E13" s="37"/>
      <c r="F13" s="1449"/>
    </row>
    <row r="14" spans="1:6" ht="12.95" customHeight="1" x14ac:dyDescent="0.2">
      <c r="A14" s="600" t="s">
        <v>30</v>
      </c>
      <c r="B14" s="302"/>
      <c r="C14" s="36"/>
      <c r="D14" s="302"/>
      <c r="E14" s="37"/>
      <c r="F14" s="1449"/>
    </row>
    <row r="15" spans="1:6" ht="12.95" customHeight="1" x14ac:dyDescent="0.2">
      <c r="A15" s="600" t="s">
        <v>31</v>
      </c>
      <c r="B15" s="302"/>
      <c r="C15" s="36"/>
      <c r="D15" s="302"/>
      <c r="E15" s="37"/>
      <c r="F15" s="1449"/>
    </row>
    <row r="16" spans="1:6" ht="12.95" customHeight="1" thickBot="1" x14ac:dyDescent="0.25">
      <c r="A16" s="600" t="s">
        <v>32</v>
      </c>
      <c r="B16" s="602"/>
      <c r="C16" s="437"/>
      <c r="D16" s="302"/>
      <c r="E16" s="481"/>
      <c r="F16" s="1449"/>
    </row>
    <row r="17" spans="1:6" ht="15.95" customHeight="1" thickBot="1" x14ac:dyDescent="0.25">
      <c r="A17" s="146" t="s">
        <v>33</v>
      </c>
      <c r="B17" s="58" t="s">
        <v>502</v>
      </c>
      <c r="C17" s="127">
        <f>SUM(C5:C16)-C7</f>
        <v>2675623079</v>
      </c>
      <c r="D17" s="58" t="s">
        <v>330</v>
      </c>
      <c r="E17" s="131">
        <f>SUM(E5:E16)</f>
        <v>2728979916</v>
      </c>
      <c r="F17" s="1449"/>
    </row>
    <row r="18" spans="1:6" ht="12.95" customHeight="1" x14ac:dyDescent="0.2">
      <c r="A18" s="603" t="s">
        <v>34</v>
      </c>
      <c r="B18" s="147" t="s">
        <v>327</v>
      </c>
      <c r="C18" s="234">
        <f>SUM(C19:C22)</f>
        <v>964635284</v>
      </c>
      <c r="D18" s="148" t="s">
        <v>157</v>
      </c>
      <c r="E18" s="132"/>
      <c r="F18" s="1449"/>
    </row>
    <row r="19" spans="1:6" ht="12.95" customHeight="1" x14ac:dyDescent="0.2">
      <c r="A19" s="600" t="s">
        <v>35</v>
      </c>
      <c r="B19" s="148" t="s">
        <v>171</v>
      </c>
      <c r="C19" s="36">
        <f>'1.1.sz.mell. '!C81</f>
        <v>964635284</v>
      </c>
      <c r="D19" s="148" t="s">
        <v>329</v>
      </c>
      <c r="E19" s="37">
        <f>'1.1.sz.mell. '!C139</f>
        <v>700000000</v>
      </c>
      <c r="F19" s="1449"/>
    </row>
    <row r="20" spans="1:6" ht="12.95" customHeight="1" x14ac:dyDescent="0.2">
      <c r="A20" s="600" t="s">
        <v>36</v>
      </c>
      <c r="B20" s="148" t="s">
        <v>172</v>
      </c>
      <c r="C20" s="36"/>
      <c r="D20" s="148" t="s">
        <v>132</v>
      </c>
      <c r="E20" s="37"/>
      <c r="F20" s="1449"/>
    </row>
    <row r="21" spans="1:6" ht="12.95" customHeight="1" x14ac:dyDescent="0.2">
      <c r="A21" s="600" t="s">
        <v>37</v>
      </c>
      <c r="B21" s="148" t="s">
        <v>176</v>
      </c>
      <c r="C21" s="36"/>
      <c r="D21" s="148" t="s">
        <v>133</v>
      </c>
      <c r="E21" s="37"/>
      <c r="F21" s="1449"/>
    </row>
    <row r="22" spans="1:6" ht="12.95" customHeight="1" x14ac:dyDescent="0.2">
      <c r="A22" s="600" t="s">
        <v>38</v>
      </c>
      <c r="B22" s="148" t="s">
        <v>177</v>
      </c>
      <c r="C22" s="36"/>
      <c r="D22" s="147" t="s">
        <v>179</v>
      </c>
      <c r="E22" s="37"/>
      <c r="F22" s="1449"/>
    </row>
    <row r="23" spans="1:6" ht="12.95" customHeight="1" x14ac:dyDescent="0.2">
      <c r="A23" s="600" t="s">
        <v>39</v>
      </c>
      <c r="B23" s="148" t="s">
        <v>328</v>
      </c>
      <c r="C23" s="149">
        <f>SUM(C24:C25)</f>
        <v>700000000</v>
      </c>
      <c r="D23" s="148" t="s">
        <v>158</v>
      </c>
      <c r="E23" s="37"/>
      <c r="F23" s="1449"/>
    </row>
    <row r="24" spans="1:6" ht="12.95" customHeight="1" x14ac:dyDescent="0.2">
      <c r="A24" s="603" t="s">
        <v>40</v>
      </c>
      <c r="B24" s="147" t="s">
        <v>326</v>
      </c>
      <c r="C24" s="128">
        <f>'1.1.sz.mell. '!C73</f>
        <v>700000000</v>
      </c>
      <c r="D24" s="158" t="s">
        <v>484</v>
      </c>
      <c r="E24" s="132"/>
      <c r="F24" s="1449"/>
    </row>
    <row r="25" spans="1:6" ht="12.95" customHeight="1" x14ac:dyDescent="0.2">
      <c r="A25" s="600" t="s">
        <v>41</v>
      </c>
      <c r="B25" s="148" t="s">
        <v>503</v>
      </c>
      <c r="C25" s="36"/>
      <c r="D25" s="148" t="s">
        <v>492</v>
      </c>
      <c r="E25" s="37"/>
      <c r="F25" s="1449"/>
    </row>
    <row r="26" spans="1:6" ht="12.95" customHeight="1" x14ac:dyDescent="0.2">
      <c r="A26" s="600" t="s">
        <v>42</v>
      </c>
      <c r="B26" s="1146" t="s">
        <v>271</v>
      </c>
      <c r="C26" s="36">
        <f>'1.1.sz.mell. '!C84</f>
        <v>45672254</v>
      </c>
      <c r="D26" s="148" t="s">
        <v>493</v>
      </c>
      <c r="E26" s="37"/>
      <c r="F26" s="1449"/>
    </row>
    <row r="27" spans="1:6" ht="12.95" customHeight="1" thickBot="1" x14ac:dyDescent="0.25">
      <c r="A27" s="603" t="s">
        <v>43</v>
      </c>
      <c r="B27" s="147" t="s">
        <v>284</v>
      </c>
      <c r="C27" s="128"/>
      <c r="D27" s="604" t="s">
        <v>547</v>
      </c>
      <c r="E27" s="132">
        <f>'1.1.sz.mell. '!C150</f>
        <v>45672254</v>
      </c>
      <c r="F27" s="1449"/>
    </row>
    <row r="28" spans="1:6" ht="21.75" customHeight="1" thickBot="1" x14ac:dyDescent="0.25">
      <c r="A28" s="146" t="s">
        <v>44</v>
      </c>
      <c r="B28" s="58" t="s">
        <v>504</v>
      </c>
      <c r="C28" s="127">
        <f>+C18+C23+C26+C27</f>
        <v>1710307538</v>
      </c>
      <c r="D28" s="58" t="s">
        <v>505</v>
      </c>
      <c r="E28" s="131">
        <f>SUM(E18:E27)</f>
        <v>745672254</v>
      </c>
      <c r="F28" s="1449"/>
    </row>
    <row r="29" spans="1:6" ht="13.5" thickBot="1" x14ac:dyDescent="0.25">
      <c r="A29" s="146" t="s">
        <v>45</v>
      </c>
      <c r="B29" s="150" t="s">
        <v>506</v>
      </c>
      <c r="C29" s="307">
        <f>+C17+C28</f>
        <v>4385930617</v>
      </c>
      <c r="D29" s="150" t="s">
        <v>507</v>
      </c>
      <c r="E29" s="307">
        <f>E28+E17</f>
        <v>3474652170</v>
      </c>
      <c r="F29" s="1449"/>
    </row>
    <row r="30" spans="1:6" ht="13.5" thickBot="1" x14ac:dyDescent="0.25">
      <c r="A30" s="146" t="s">
        <v>46</v>
      </c>
      <c r="B30" s="150" t="s">
        <v>135</v>
      </c>
      <c r="C30" s="307">
        <f>IF(C17-E17&lt;0,E17-C17,"-")</f>
        <v>53356837</v>
      </c>
      <c r="D30" s="150" t="s">
        <v>136</v>
      </c>
      <c r="E30" s="307" t="str">
        <f>IF(C17-E17&gt;0,C17-E17,"-")</f>
        <v>-</v>
      </c>
      <c r="F30" s="1449"/>
    </row>
    <row r="31" spans="1:6" s="854" customFormat="1" ht="13.5" thickBot="1" x14ac:dyDescent="0.25">
      <c r="A31" s="146" t="s">
        <v>47</v>
      </c>
      <c r="B31" s="150" t="s">
        <v>1022</v>
      </c>
      <c r="C31" s="307" t="str">
        <f>IF(C28-E28&lt;0,E28-C28,"-")</f>
        <v>-</v>
      </c>
      <c r="D31" s="150" t="s">
        <v>1023</v>
      </c>
      <c r="E31" s="307">
        <f>IF(C28-E28&gt;0,C28-E28,"-")</f>
        <v>964635284</v>
      </c>
      <c r="F31" s="1449"/>
    </row>
    <row r="32" spans="1:6" ht="13.5" thickBot="1" x14ac:dyDescent="0.25">
      <c r="A32" s="146" t="s">
        <v>48</v>
      </c>
      <c r="B32" s="150" t="s">
        <v>180</v>
      </c>
      <c r="C32" s="151" t="str">
        <f>IF(C29-E29&lt;0,E29-C29,"-")</f>
        <v>-</v>
      </c>
      <c r="D32" s="150" t="s">
        <v>181</v>
      </c>
      <c r="E32" s="307">
        <f>IF(C29-E29&gt;0,C29-E29,"-")</f>
        <v>911278447</v>
      </c>
      <c r="F32" s="1449"/>
    </row>
    <row r="33" spans="2:4" ht="18.75" x14ac:dyDescent="0.2">
      <c r="B33" s="1452"/>
      <c r="C33" s="1452"/>
      <c r="D33" s="1452"/>
    </row>
  </sheetData>
  <mergeCells count="4">
    <mergeCell ref="F1:F32"/>
    <mergeCell ref="A2:A3"/>
    <mergeCell ref="B33:D33"/>
    <mergeCell ref="A1:E1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zoomScaleSheetLayoutView="115" workbookViewId="0">
      <selection activeCell="F1" sqref="F1:F33"/>
    </sheetView>
  </sheetViews>
  <sheetFormatPr defaultRowHeight="12.75" x14ac:dyDescent="0.2"/>
  <cols>
    <col min="1" max="1" width="6.83203125" style="31" customWidth="1"/>
    <col min="2" max="2" width="55.1640625" style="72" customWidth="1"/>
    <col min="3" max="3" width="16.33203125" style="31" customWidth="1"/>
    <col min="4" max="4" width="55.1640625" style="31" customWidth="1"/>
    <col min="5" max="5" width="16.33203125" style="31" customWidth="1"/>
    <col min="6" max="6" width="4.83203125" style="31" customWidth="1"/>
    <col min="7" max="16384" width="9.33203125" style="31"/>
  </cols>
  <sheetData>
    <row r="1" spans="1:6" ht="37.5" customHeight="1" thickBot="1" x14ac:dyDescent="0.25">
      <c r="A1" s="1456" t="s">
        <v>574</v>
      </c>
      <c r="B1" s="1456"/>
      <c r="C1" s="1456"/>
      <c r="D1" s="1456"/>
      <c r="E1" s="1456"/>
      <c r="F1" s="1449" t="str">
        <f>CONCATENATE("5. melléklet ",ALAPADATOK!A7," ",ALAPADATOK!B7," ",ALAPADATOK!C7," ",ALAPADATOK!D7," ",ALAPADATOK!E7," ",ALAPADATOK!F7," ",ALAPADATOK!G7," ",ALAPADATOK!H7)</f>
        <v>5. melléklet a 21 / 2020. ( IX.25. ) önkormányzati rendelethez</v>
      </c>
    </row>
    <row r="2" spans="1:6" ht="13.5" thickBot="1" x14ac:dyDescent="0.25">
      <c r="A2" s="1454" t="s">
        <v>72</v>
      </c>
      <c r="B2" s="133" t="s">
        <v>58</v>
      </c>
      <c r="C2" s="134"/>
      <c r="D2" s="133" t="s">
        <v>59</v>
      </c>
      <c r="E2" s="135"/>
      <c r="F2" s="1449"/>
    </row>
    <row r="3" spans="1:6" s="136" customFormat="1" ht="24.75" thickBot="1" x14ac:dyDescent="0.25">
      <c r="A3" s="1455"/>
      <c r="B3" s="73" t="s">
        <v>64</v>
      </c>
      <c r="C3" s="29" t="s">
        <v>787</v>
      </c>
      <c r="D3" s="73" t="s">
        <v>64</v>
      </c>
      <c r="E3" s="29" t="s">
        <v>787</v>
      </c>
      <c r="F3" s="1449"/>
    </row>
    <row r="4" spans="1:6" s="136" customFormat="1" ht="13.5" thickBot="1" x14ac:dyDescent="0.25">
      <c r="A4" s="137" t="s">
        <v>447</v>
      </c>
      <c r="B4" s="138" t="s">
        <v>448</v>
      </c>
      <c r="C4" s="139" t="s">
        <v>449</v>
      </c>
      <c r="D4" s="138" t="s">
        <v>499</v>
      </c>
      <c r="E4" s="140" t="s">
        <v>500</v>
      </c>
      <c r="F4" s="1449"/>
    </row>
    <row r="5" spans="1:6" ht="12.95" customHeight="1" x14ac:dyDescent="0.2">
      <c r="A5" s="142" t="s">
        <v>21</v>
      </c>
      <c r="B5" s="143" t="s">
        <v>331</v>
      </c>
      <c r="C5" s="576">
        <f>'1.1.sz.mell. '!C27</f>
        <v>50457784</v>
      </c>
      <c r="D5" s="158" t="s">
        <v>173</v>
      </c>
      <c r="E5" s="35">
        <f>'1.1.sz.mell. '!C123</f>
        <v>675635643</v>
      </c>
      <c r="F5" s="1449"/>
    </row>
    <row r="6" spans="1:6" ht="12.75" customHeight="1" x14ac:dyDescent="0.2">
      <c r="A6" s="144" t="s">
        <v>22</v>
      </c>
      <c r="B6" s="145" t="s">
        <v>332</v>
      </c>
      <c r="C6" s="36">
        <f>'1.1.sz.mell. '!C33</f>
        <v>35637784</v>
      </c>
      <c r="D6" s="148" t="s">
        <v>337</v>
      </c>
      <c r="E6" s="286">
        <f>'1.1.sz.mell. '!C124</f>
        <v>579035813</v>
      </c>
      <c r="F6" s="1449"/>
    </row>
    <row r="7" spans="1:6" ht="12.95" customHeight="1" x14ac:dyDescent="0.2">
      <c r="A7" s="144" t="s">
        <v>23</v>
      </c>
      <c r="B7" s="145" t="s">
        <v>12</v>
      </c>
      <c r="C7" s="36">
        <f>'1.1.sz.mell. '!C54</f>
        <v>44604508</v>
      </c>
      <c r="D7" s="148" t="s">
        <v>153</v>
      </c>
      <c r="E7" s="286">
        <f>'1.1.sz.mell. '!C125</f>
        <v>266769726</v>
      </c>
      <c r="F7" s="1449"/>
    </row>
    <row r="8" spans="1:6" ht="12.95" customHeight="1" x14ac:dyDescent="0.2">
      <c r="A8" s="144" t="s">
        <v>24</v>
      </c>
      <c r="B8" s="145" t="s">
        <v>333</v>
      </c>
      <c r="C8" s="36">
        <f>'1.1.sz.mell. '!C65</f>
        <v>6000000</v>
      </c>
      <c r="D8" s="148" t="s">
        <v>338</v>
      </c>
      <c r="E8" s="286">
        <f>'1.1.sz.mell. '!C126</f>
        <v>92353398</v>
      </c>
      <c r="F8" s="1449"/>
    </row>
    <row r="9" spans="1:6" ht="12.75" customHeight="1" x14ac:dyDescent="0.2">
      <c r="A9" s="144" t="s">
        <v>25</v>
      </c>
      <c r="B9" s="145" t="s">
        <v>334</v>
      </c>
      <c r="C9" s="36"/>
      <c r="D9" s="148" t="s">
        <v>175</v>
      </c>
      <c r="E9" s="37">
        <f>'1.1.sz.mell. '!C127</f>
        <v>6878720</v>
      </c>
      <c r="F9" s="1449"/>
    </row>
    <row r="10" spans="1:6" ht="12.95" customHeight="1" x14ac:dyDescent="0.2">
      <c r="A10" s="144" t="s">
        <v>26</v>
      </c>
      <c r="B10" s="145" t="s">
        <v>335</v>
      </c>
      <c r="C10" s="276"/>
      <c r="D10" s="261"/>
      <c r="E10" s="37"/>
      <c r="F10" s="1449"/>
    </row>
    <row r="11" spans="1:6" ht="12.95" customHeight="1" x14ac:dyDescent="0.2">
      <c r="A11" s="144" t="s">
        <v>27</v>
      </c>
      <c r="B11" s="30"/>
      <c r="C11" s="36"/>
      <c r="D11" s="261"/>
      <c r="E11" s="37"/>
      <c r="F11" s="1449"/>
    </row>
    <row r="12" spans="1:6" ht="12.95" customHeight="1" x14ac:dyDescent="0.2">
      <c r="A12" s="144" t="s">
        <v>28</v>
      </c>
      <c r="B12" s="30"/>
      <c r="C12" s="36"/>
      <c r="D12" s="261"/>
      <c r="E12" s="37"/>
      <c r="F12" s="1449"/>
    </row>
    <row r="13" spans="1:6" ht="12.95" customHeight="1" x14ac:dyDescent="0.2">
      <c r="A13" s="144" t="s">
        <v>29</v>
      </c>
      <c r="B13" s="262"/>
      <c r="C13" s="276"/>
      <c r="D13" s="261"/>
      <c r="E13" s="37"/>
      <c r="F13" s="1449"/>
    </row>
    <row r="14" spans="1:6" x14ac:dyDescent="0.2">
      <c r="A14" s="144" t="s">
        <v>30</v>
      </c>
      <c r="B14" s="30"/>
      <c r="C14" s="276"/>
      <c r="D14" s="261"/>
      <c r="E14" s="37"/>
      <c r="F14" s="1449"/>
    </row>
    <row r="15" spans="1:6" ht="12.95" customHeight="1" thickBot="1" x14ac:dyDescent="0.25">
      <c r="A15" s="181" t="s">
        <v>31</v>
      </c>
      <c r="B15" s="206"/>
      <c r="C15" s="303"/>
      <c r="D15" s="147" t="s">
        <v>52</v>
      </c>
      <c r="E15" s="132">
        <v>70588830</v>
      </c>
      <c r="F15" s="1449"/>
    </row>
    <row r="16" spans="1:6" ht="15.95" customHeight="1" thickBot="1" x14ac:dyDescent="0.25">
      <c r="A16" s="146" t="s">
        <v>32</v>
      </c>
      <c r="B16" s="58" t="s">
        <v>345</v>
      </c>
      <c r="C16" s="127">
        <f>+C5+C7+C8+C10+C11+C12+C13+C14+C15</f>
        <v>101062292</v>
      </c>
      <c r="D16" s="58" t="s">
        <v>346</v>
      </c>
      <c r="E16" s="131">
        <f>+E5+E7+E9+E10+E11+E12+E13+E14+E15</f>
        <v>1019872919</v>
      </c>
      <c r="F16" s="1449"/>
    </row>
    <row r="17" spans="1:6" ht="12.95" customHeight="1" x14ac:dyDescent="0.2">
      <c r="A17" s="142" t="s">
        <v>33</v>
      </c>
      <c r="B17" s="154" t="s">
        <v>193</v>
      </c>
      <c r="C17" s="161">
        <f>+C18+C19+C20+C21+C22</f>
        <v>0</v>
      </c>
      <c r="D17" s="148" t="s">
        <v>157</v>
      </c>
      <c r="E17" s="35"/>
      <c r="F17" s="1449"/>
    </row>
    <row r="18" spans="1:6" ht="12.95" customHeight="1" x14ac:dyDescent="0.2">
      <c r="A18" s="144" t="s">
        <v>34</v>
      </c>
      <c r="B18" s="155" t="s">
        <v>182</v>
      </c>
      <c r="C18" s="36"/>
      <c r="D18" s="148" t="s">
        <v>160</v>
      </c>
      <c r="E18" s="37">
        <f>SUM(E19:E20)</f>
        <v>26038434</v>
      </c>
      <c r="F18" s="1449"/>
    </row>
    <row r="19" spans="1:6" ht="12.95" customHeight="1" x14ac:dyDescent="0.2">
      <c r="A19" s="142" t="s">
        <v>35</v>
      </c>
      <c r="B19" s="155" t="s">
        <v>183</v>
      </c>
      <c r="C19" s="36"/>
      <c r="D19" s="701" t="s">
        <v>132</v>
      </c>
      <c r="E19" s="37"/>
      <c r="F19" s="1449"/>
    </row>
    <row r="20" spans="1:6" ht="12.95" customHeight="1" x14ac:dyDescent="0.2">
      <c r="A20" s="144" t="s">
        <v>36</v>
      </c>
      <c r="B20" s="155" t="s">
        <v>184</v>
      </c>
      <c r="C20" s="36"/>
      <c r="D20" s="701" t="s">
        <v>133</v>
      </c>
      <c r="E20" s="37">
        <f>'1.1.sz.mell. '!C138</f>
        <v>26038434</v>
      </c>
      <c r="F20" s="1449"/>
    </row>
    <row r="21" spans="1:6" ht="12.95" customHeight="1" x14ac:dyDescent="0.2">
      <c r="A21" s="142" t="s">
        <v>37</v>
      </c>
      <c r="B21" s="155" t="s">
        <v>185</v>
      </c>
      <c r="C21" s="36"/>
      <c r="D21" s="147" t="s">
        <v>179</v>
      </c>
      <c r="E21" s="37"/>
      <c r="F21" s="1449"/>
    </row>
    <row r="22" spans="1:6" ht="12.95" customHeight="1" x14ac:dyDescent="0.2">
      <c r="A22" s="144" t="s">
        <v>38</v>
      </c>
      <c r="B22" s="156" t="s">
        <v>186</v>
      </c>
      <c r="C22" s="36"/>
      <c r="D22" s="148" t="s">
        <v>161</v>
      </c>
      <c r="E22" s="37"/>
      <c r="F22" s="1449"/>
    </row>
    <row r="23" spans="1:6" ht="12.95" customHeight="1" x14ac:dyDescent="0.2">
      <c r="A23" s="142" t="s">
        <v>39</v>
      </c>
      <c r="B23" s="157" t="s">
        <v>187</v>
      </c>
      <c r="C23" s="438">
        <f>+C24+C25+C26+C27+C28</f>
        <v>33570614</v>
      </c>
      <c r="D23" s="158" t="s">
        <v>159</v>
      </c>
      <c r="E23" s="37"/>
      <c r="F23" s="1449"/>
    </row>
    <row r="24" spans="1:6" ht="12.95" customHeight="1" x14ac:dyDescent="0.2">
      <c r="A24" s="144" t="s">
        <v>40</v>
      </c>
      <c r="B24" s="156" t="s">
        <v>188</v>
      </c>
      <c r="C24" s="36">
        <f>'1.1.sz.mell. '!C72</f>
        <v>33570614</v>
      </c>
      <c r="D24" s="158" t="s">
        <v>339</v>
      </c>
      <c r="E24" s="37"/>
      <c r="F24" s="1449"/>
    </row>
    <row r="25" spans="1:6" ht="12.95" customHeight="1" x14ac:dyDescent="0.2">
      <c r="A25" s="142" t="s">
        <v>41</v>
      </c>
      <c r="B25" s="156" t="s">
        <v>189</v>
      </c>
      <c r="C25" s="36"/>
      <c r="D25" s="153"/>
      <c r="E25" s="37"/>
      <c r="F25" s="1449"/>
    </row>
    <row r="26" spans="1:6" ht="12.95" customHeight="1" x14ac:dyDescent="0.2">
      <c r="A26" s="144" t="s">
        <v>42</v>
      </c>
      <c r="B26" s="155" t="s">
        <v>190</v>
      </c>
      <c r="C26" s="36"/>
      <c r="D26" s="153"/>
      <c r="E26" s="37"/>
      <c r="F26" s="1449"/>
    </row>
    <row r="27" spans="1:6" ht="12.95" customHeight="1" x14ac:dyDescent="0.2">
      <c r="A27" s="142" t="s">
        <v>43</v>
      </c>
      <c r="B27" s="159" t="s">
        <v>191</v>
      </c>
      <c r="C27" s="36"/>
      <c r="D27" s="302"/>
      <c r="E27" s="37"/>
      <c r="F27" s="1449"/>
    </row>
    <row r="28" spans="1:6" ht="12.95" customHeight="1" thickBot="1" x14ac:dyDescent="0.25">
      <c r="A28" s="144" t="s">
        <v>44</v>
      </c>
      <c r="B28" s="160" t="s">
        <v>192</v>
      </c>
      <c r="C28" s="36"/>
      <c r="D28" s="153"/>
      <c r="E28" s="37"/>
      <c r="F28" s="1449"/>
    </row>
    <row r="29" spans="1:6" ht="21.75" customHeight="1" thickBot="1" x14ac:dyDescent="0.25">
      <c r="A29" s="146" t="s">
        <v>45</v>
      </c>
      <c r="B29" s="58" t="s">
        <v>336</v>
      </c>
      <c r="C29" s="127">
        <f>+C17+C23</f>
        <v>33570614</v>
      </c>
      <c r="D29" s="58" t="s">
        <v>340</v>
      </c>
      <c r="E29" s="131">
        <f>SUM(E17:E28)-E19-E20</f>
        <v>26038434</v>
      </c>
      <c r="F29" s="1449"/>
    </row>
    <row r="30" spans="1:6" ht="13.5" thickBot="1" x14ac:dyDescent="0.25">
      <c r="A30" s="146" t="s">
        <v>46</v>
      </c>
      <c r="B30" s="150" t="s">
        <v>341</v>
      </c>
      <c r="C30" s="151">
        <f>+C16+C29</f>
        <v>134632906</v>
      </c>
      <c r="D30" s="150" t="s">
        <v>342</v>
      </c>
      <c r="E30" s="151">
        <f>+E16+E29</f>
        <v>1045911353</v>
      </c>
      <c r="F30" s="1449"/>
    </row>
    <row r="31" spans="1:6" ht="13.5" thickBot="1" x14ac:dyDescent="0.25">
      <c r="A31" s="146" t="s">
        <v>47</v>
      </c>
      <c r="B31" s="150" t="s">
        <v>135</v>
      </c>
      <c r="C31" s="151">
        <f>IF(C16-E16&lt;0,E16-C16,"-")</f>
        <v>918810627</v>
      </c>
      <c r="D31" s="150" t="s">
        <v>136</v>
      </c>
      <c r="E31" s="151" t="str">
        <f>IF(C16-E16&gt;0,C16-E16,"-")</f>
        <v>-</v>
      </c>
      <c r="F31" s="1449"/>
    </row>
    <row r="32" spans="1:6" s="854" customFormat="1" ht="13.5" thickBot="1" x14ac:dyDescent="0.25">
      <c r="A32" s="146" t="s">
        <v>48</v>
      </c>
      <c r="B32" s="150" t="s">
        <v>1022</v>
      </c>
      <c r="C32" s="307" t="str">
        <f>IF(C29-E29&lt;0,E29-C29,"-")</f>
        <v>-</v>
      </c>
      <c r="D32" s="150" t="s">
        <v>1023</v>
      </c>
      <c r="E32" s="307">
        <f>IF(C29-E29&gt;0,C29-E29,"-")</f>
        <v>7532180</v>
      </c>
      <c r="F32" s="1449"/>
    </row>
    <row r="33" spans="1:6" ht="13.5" thickBot="1" x14ac:dyDescent="0.25">
      <c r="A33" s="146" t="s">
        <v>1024</v>
      </c>
      <c r="B33" s="150" t="s">
        <v>180</v>
      </c>
      <c r="C33" s="151">
        <f>IF(C30-E30&lt;0,E30-C30,"-")</f>
        <v>911278447</v>
      </c>
      <c r="D33" s="150" t="s">
        <v>181</v>
      </c>
      <c r="E33" s="151" t="str">
        <f>IF(C30-E30&gt;0,C30-E30,"-")</f>
        <v>-</v>
      </c>
      <c r="F33" s="1449"/>
    </row>
    <row r="34" spans="1:6" x14ac:dyDescent="0.2">
      <c r="C34" s="388"/>
      <c r="D34" s="388"/>
      <c r="E34" s="388"/>
    </row>
    <row r="35" spans="1:6" x14ac:dyDescent="0.2">
      <c r="C35" s="388"/>
      <c r="D35" s="388"/>
      <c r="E35" s="388"/>
    </row>
    <row r="36" spans="1:6" x14ac:dyDescent="0.2">
      <c r="C36" s="388"/>
      <c r="D36" s="388"/>
      <c r="E36" s="388"/>
    </row>
    <row r="37" spans="1:6" x14ac:dyDescent="0.2">
      <c r="C37" s="388"/>
      <c r="D37" s="388"/>
      <c r="E37" s="388"/>
    </row>
    <row r="38" spans="1:6" x14ac:dyDescent="0.2">
      <c r="C38" s="388"/>
      <c r="D38" s="388"/>
      <c r="E38" s="388"/>
    </row>
    <row r="39" spans="1:6" x14ac:dyDescent="0.2">
      <c r="C39" s="388"/>
      <c r="D39" s="388"/>
      <c r="E39" s="388"/>
    </row>
  </sheetData>
  <mergeCells count="3">
    <mergeCell ref="F1:F33"/>
    <mergeCell ref="A2:A3"/>
    <mergeCell ref="A1:E1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  <pageSetUpPr fitToPage="1"/>
  </sheetPr>
  <dimension ref="A1:E19"/>
  <sheetViews>
    <sheetView zoomScale="120" zoomScaleNormal="120" workbookViewId="0">
      <selection activeCell="C21" sqref="C21"/>
    </sheetView>
  </sheetViews>
  <sheetFormatPr defaultRowHeight="12.75" x14ac:dyDescent="0.2"/>
  <cols>
    <col min="1" max="1" width="46.33203125" style="853" customWidth="1"/>
    <col min="2" max="2" width="16.83203125" style="853" customWidth="1"/>
    <col min="3" max="3" width="66.1640625" style="853" customWidth="1"/>
    <col min="4" max="4" width="13.83203125" style="853" customWidth="1"/>
    <col min="5" max="5" width="17.6640625" style="853" customWidth="1"/>
    <col min="6" max="16384" width="9.33203125" style="853"/>
  </cols>
  <sheetData>
    <row r="1" spans="1:5" ht="18.75" x14ac:dyDescent="0.3">
      <c r="A1" s="850" t="s">
        <v>896</v>
      </c>
      <c r="E1" s="851" t="s">
        <v>897</v>
      </c>
    </row>
    <row r="3" spans="1:5" x14ac:dyDescent="0.2">
      <c r="A3" s="852"/>
      <c r="B3" s="855"/>
      <c r="C3" s="852"/>
      <c r="D3" s="856"/>
      <c r="E3" s="855"/>
    </row>
    <row r="4" spans="1:5" ht="15.75" x14ac:dyDescent="0.25">
      <c r="A4" s="857" t="str">
        <f>+[1]KV_ÖSSZEFÜGGÉSEK!A5</f>
        <v>2020. évi előirányzat BEVÉTELEK</v>
      </c>
      <c r="B4" s="858"/>
      <c r="C4" s="859"/>
      <c r="D4" s="856"/>
      <c r="E4" s="855"/>
    </row>
    <row r="5" spans="1:5" x14ac:dyDescent="0.2">
      <c r="A5" s="852"/>
      <c r="B5" s="855"/>
      <c r="C5" s="852"/>
      <c r="D5" s="856"/>
      <c r="E5" s="855"/>
    </row>
    <row r="6" spans="1:5" x14ac:dyDescent="0.2">
      <c r="A6" s="852" t="s">
        <v>898</v>
      </c>
      <c r="B6" s="855">
        <f>'1.1.sz.mell. '!C70</f>
        <v>2776685371</v>
      </c>
      <c r="C6" s="852" t="s">
        <v>899</v>
      </c>
      <c r="D6" s="856">
        <f>'2.1.sz.mell '!C17+'2.2.sz.mell .'!C16</f>
        <v>2776685371</v>
      </c>
      <c r="E6" s="855">
        <f t="shared" ref="E6:E15" si="0">+B6-D6</f>
        <v>0</v>
      </c>
    </row>
    <row r="7" spans="1:5" x14ac:dyDescent="0.2">
      <c r="A7" s="852" t="s">
        <v>900</v>
      </c>
      <c r="B7" s="855">
        <f>'1.1.sz.mell. '!C94</f>
        <v>1743878152</v>
      </c>
      <c r="C7" s="852" t="s">
        <v>901</v>
      </c>
      <c r="D7" s="856">
        <f>'2.1.sz.mell '!C28+'2.2.sz.mell .'!C29</f>
        <v>1743878152</v>
      </c>
      <c r="E7" s="855">
        <f t="shared" si="0"/>
        <v>0</v>
      </c>
    </row>
    <row r="8" spans="1:5" x14ac:dyDescent="0.2">
      <c r="A8" s="852" t="s">
        <v>902</v>
      </c>
      <c r="B8" s="855">
        <f>'1.1.sz.mell. '!C95</f>
        <v>4520563523</v>
      </c>
      <c r="C8" s="852" t="s">
        <v>903</v>
      </c>
      <c r="D8" s="856">
        <f>'2.1.sz.mell '!C29+'2.2.sz.mell .'!C30</f>
        <v>4520563523</v>
      </c>
      <c r="E8" s="855">
        <f t="shared" si="0"/>
        <v>0</v>
      </c>
    </row>
    <row r="9" spans="1:5" x14ac:dyDescent="0.2">
      <c r="A9" s="852"/>
      <c r="B9" s="855"/>
      <c r="C9" s="852"/>
      <c r="D9" s="856"/>
      <c r="E9" s="855"/>
    </row>
    <row r="10" spans="1:5" x14ac:dyDescent="0.2">
      <c r="A10" s="852"/>
      <c r="B10" s="855"/>
      <c r="C10" s="852"/>
      <c r="D10" s="856"/>
      <c r="E10" s="855"/>
    </row>
    <row r="11" spans="1:5" ht="15.75" x14ac:dyDescent="0.25">
      <c r="A11" s="857" t="str">
        <f>+[1]KV_ÖSSZEFÜGGÉSEK!A12</f>
        <v>2020. évi előirányzat KIADÁSOK</v>
      </c>
      <c r="B11" s="858"/>
      <c r="C11" s="859"/>
      <c r="D11" s="856"/>
      <c r="E11" s="855"/>
    </row>
    <row r="12" spans="1:5" x14ac:dyDescent="0.2">
      <c r="A12" s="852"/>
      <c r="B12" s="855"/>
      <c r="C12" s="852"/>
      <c r="D12" s="856"/>
      <c r="E12" s="855"/>
    </row>
    <row r="13" spans="1:5" x14ac:dyDescent="0.2">
      <c r="A13" s="852" t="s">
        <v>904</v>
      </c>
      <c r="B13" s="855">
        <f>'1.1.sz.mell. '!C136</f>
        <v>3748852835</v>
      </c>
      <c r="C13" s="852" t="s">
        <v>905</v>
      </c>
      <c r="D13" s="856">
        <f>'2.1.sz.mell '!E17+'2.2.sz.mell .'!E16</f>
        <v>3748852835</v>
      </c>
      <c r="E13" s="855">
        <f t="shared" si="0"/>
        <v>0</v>
      </c>
    </row>
    <row r="14" spans="1:5" x14ac:dyDescent="0.2">
      <c r="A14" s="852" t="s">
        <v>906</v>
      </c>
      <c r="B14" s="855">
        <f>'1.1.sz.mell. '!C161</f>
        <v>771710688</v>
      </c>
      <c r="C14" s="852" t="s">
        <v>907</v>
      </c>
      <c r="D14" s="856">
        <f>'2.1.sz.mell '!E28+'2.2.sz.mell .'!E29</f>
        <v>771710688</v>
      </c>
      <c r="E14" s="855">
        <f t="shared" si="0"/>
        <v>0</v>
      </c>
    </row>
    <row r="15" spans="1:5" x14ac:dyDescent="0.2">
      <c r="A15" s="852" t="s">
        <v>908</v>
      </c>
      <c r="B15" s="855">
        <f>'1.1.sz.mell. '!C162</f>
        <v>4520563523</v>
      </c>
      <c r="C15" s="852" t="s">
        <v>909</v>
      </c>
      <c r="D15" s="856">
        <f>'2.1.sz.mell '!E29+'2.2.sz.mell .'!E30</f>
        <v>4520563523</v>
      </c>
      <c r="E15" s="855">
        <f t="shared" si="0"/>
        <v>0</v>
      </c>
    </row>
    <row r="16" spans="1:5" x14ac:dyDescent="0.2">
      <c r="A16" s="860"/>
      <c r="B16" s="860"/>
      <c r="C16" s="852"/>
      <c r="D16" s="856"/>
      <c r="E16" s="861"/>
    </row>
    <row r="17" spans="1:5" x14ac:dyDescent="0.2">
      <c r="A17" s="860"/>
      <c r="B17" s="860"/>
      <c r="C17" s="860"/>
      <c r="D17" s="860"/>
      <c r="E17" s="860"/>
    </row>
    <row r="18" spans="1:5" x14ac:dyDescent="0.2">
      <c r="A18" s="860"/>
      <c r="B18" s="860"/>
      <c r="C18" s="860"/>
      <c r="D18" s="860"/>
      <c r="E18" s="860"/>
    </row>
    <row r="19" spans="1:5" x14ac:dyDescent="0.2">
      <c r="A19" s="860"/>
      <c r="B19" s="860"/>
      <c r="C19" s="860"/>
      <c r="D19" s="860"/>
      <c r="E19" s="860"/>
    </row>
  </sheetData>
  <conditionalFormatting sqref="E3:E15">
    <cfRule type="cellIs" dxfId="12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54</vt:i4>
      </vt:variant>
      <vt:variant>
        <vt:lpstr>Névvel ellátott tartományok</vt:lpstr>
      </vt:variant>
      <vt:variant>
        <vt:i4>34</vt:i4>
      </vt:variant>
    </vt:vector>
  </HeadingPairs>
  <TitlesOfParts>
    <vt:vector size="88" baseType="lpstr">
      <vt:lpstr>ALAPADATOK</vt:lpstr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KV_ELLENŐRZÉS</vt:lpstr>
      <vt:lpstr>3. sz 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8.5.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10.sz.m. int.összesítő</vt:lpstr>
      <vt:lpstr>11.sz.m. tartalék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7.sz táj. feladatos Önk. </vt:lpstr>
      <vt:lpstr>8.sz tájéloztató</vt:lpstr>
      <vt:lpstr>9.sz tájékoztató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'5.sz. tájékoztató'!Nyomtatási_terület</vt:lpstr>
      <vt:lpstr>'6.sz.mell.'!Nyomtatási_terület</vt:lpstr>
      <vt:lpstr>'7.sz táj. feladatos Önk. '!Nyomtatási_terület</vt:lpstr>
      <vt:lpstr>'8.2. sz. mell.'!Nyomtatási_terület</vt:lpstr>
      <vt:lpstr>'9.1. sz. mell.'!Nyomtatási_terület</vt:lpstr>
      <vt:lpstr>'9.2. sz. mell. '!Nyomtatási_terület</vt:lpstr>
      <vt:lpstr>'9.sz tájékoztató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2020-09-25T06:32:26Z</cp:lastPrinted>
  <dcterms:created xsi:type="dcterms:W3CDTF">1999-10-30T10:30:45Z</dcterms:created>
  <dcterms:modified xsi:type="dcterms:W3CDTF">2020-09-25T06:32:39Z</dcterms:modified>
</cp:coreProperties>
</file>