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3" activeTab="13"/>
  </bookViews>
  <sheets>
    <sheet name="1.1.sz.mell. " sheetId="1191" r:id="rId1"/>
    <sheet name="1.2.sz.mell. " sheetId="1192" r:id="rId2"/>
    <sheet name="1.3.sz.mell." sheetId="1193" r:id="rId3"/>
    <sheet name="1.4.sz.mell. " sheetId="1163" r:id="rId4"/>
    <sheet name="2.1.sz.mell " sheetId="1194" r:id="rId5"/>
    <sheet name="2.2.sz.mell ." sheetId="1196" r:id="rId6"/>
    <sheet name="6.sz.mell." sheetId="1223" r:id="rId7"/>
    <sheet name="7.sz.mell." sheetId="1199" r:id="rId8"/>
    <sheet name="9.1. sz. mell." sheetId="1200" r:id="rId9"/>
    <sheet name="9.1.1. sz. mell. " sheetId="1201" r:id="rId10"/>
    <sheet name="9.1.2. sz. mell." sheetId="1202" r:id="rId11"/>
    <sheet name="9.2. sz. mell. " sheetId="1203" r:id="rId12"/>
    <sheet name="9.2.3. sz. mell." sheetId="1205" r:id="rId13"/>
    <sheet name="9.3. sz. mell" sheetId="1224" r:id="rId14"/>
    <sheet name="9.3.1. sz. mell EOI" sheetId="1225" r:id="rId15"/>
    <sheet name="9.4. sz. mell EKIK" sheetId="1227" r:id="rId16"/>
    <sheet name="9.4.1. sz. mell EKIK" sheetId="1228" r:id="rId17"/>
    <sheet name="9.4.2. sz. mell EKIK" sheetId="1229" r:id="rId18"/>
    <sheet name="9.5. sz. mell VK" sheetId="1230" r:id="rId19"/>
    <sheet name="9.5.1. sz. mell VK " sheetId="1231" r:id="rId20"/>
    <sheet name="9.6. sz. mell Kornisné Kp." sheetId="1233" r:id="rId21"/>
    <sheet name="9.6.1. sz. mell Kornisné Kp. " sheetId="1234" r:id="rId22"/>
    <sheet name="9.6.2. sz. mell Kornisné Kp." sheetId="1235" r:id="rId23"/>
    <sheet name="9.7. sz. mell TIB  " sheetId="1237" r:id="rId24"/>
    <sheet name="9.7.1. sz. mell TIB  " sheetId="1238" r:id="rId25"/>
    <sheet name="int.összesítő" sheetId="1240" r:id="rId26"/>
    <sheet name="tartalék" sheetId="1217" r:id="rId27"/>
    <sheet name="1.sz tájékoztató t " sheetId="1218" r:id="rId28"/>
    <sheet name="4.sz tájékoztató t " sheetId="1220" r:id="rId29"/>
    <sheet name="5.sz. tájékoztató" sheetId="1219" r:id="rId30"/>
    <sheet name="6.sz tájékoztató t " sheetId="1221" r:id="rId31"/>
    <sheet name="feladatos Önk. " sheetId="1222" r:id="rId32"/>
  </sheets>
  <externalReferences>
    <externalReference r:id="rId33"/>
  </externalReferences>
  <definedNames>
    <definedName name="_xlnm.Print_Titles" localSheetId="8">'9.1. sz. mell.'!$1:$6</definedName>
    <definedName name="_xlnm.Print_Titles" localSheetId="9">'9.1.1. sz. mell. '!$1:$6</definedName>
    <definedName name="_xlnm.Print_Titles" localSheetId="10">'9.1.2. sz. mell.'!$1:$6</definedName>
    <definedName name="_xlnm.Print_Titles" localSheetId="11">'9.2. sz. mell. '!$1:$6</definedName>
    <definedName name="_xlnm.Print_Titles" localSheetId="12">'9.2.3. sz. mell.'!$1:$6</definedName>
    <definedName name="_xlnm.Print_Titles" localSheetId="13">'9.3. sz. mell'!$1:$6</definedName>
    <definedName name="_xlnm.Print_Titles" localSheetId="14">'9.3.1. sz. mell EOI'!$1:$6</definedName>
    <definedName name="_xlnm.Print_Titles" localSheetId="15">'9.4. sz. mell EKIK'!$1:$6</definedName>
    <definedName name="_xlnm.Print_Titles" localSheetId="16">'9.4.1. sz. mell EKIK'!$1:$6</definedName>
    <definedName name="_xlnm.Print_Titles" localSheetId="17">'9.4.2. sz. mell EKIK'!$1:$6</definedName>
    <definedName name="_xlnm.Print_Titles" localSheetId="18">'9.5. sz. mell VK'!$1:$6</definedName>
    <definedName name="_xlnm.Print_Titles" localSheetId="19">'9.5.1. sz. mell VK '!$1:$6</definedName>
    <definedName name="_xlnm.Print_Titles" localSheetId="20">'9.6. sz. mell Kornisné Kp.'!$1:$6</definedName>
    <definedName name="_xlnm.Print_Titles" localSheetId="21">'9.6.1. sz. mell Kornisné Kp. '!$1:$6</definedName>
    <definedName name="_xlnm.Print_Titles" localSheetId="22">'9.6.2. sz. mell Kornisné Kp.'!$1:$6</definedName>
    <definedName name="_xlnm.Print_Titles" localSheetId="23">'9.7. sz. mell TIB  '!$1:$6</definedName>
    <definedName name="_xlnm.Print_Titles" localSheetId="24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8">'9.1. sz. mell.'!$A$1:$C$158</definedName>
    <definedName name="_xlnm.Print_Area" localSheetId="11">'9.2. sz. mell. '!$A$1:$D$62</definedName>
  </definedNames>
  <calcPr calcId="145621"/>
</workbook>
</file>

<file path=xl/calcChain.xml><?xml version="1.0" encoding="utf-8"?>
<calcChain xmlns="http://schemas.openxmlformats.org/spreadsheetml/2006/main">
  <c r="I37" i="1222" l="1"/>
  <c r="I36" i="1222"/>
  <c r="N37" i="1222"/>
  <c r="G53" i="1222"/>
  <c r="G37" i="1222"/>
  <c r="I30" i="1222"/>
  <c r="J49" i="1222"/>
  <c r="J35" i="1222"/>
  <c r="J46" i="1222"/>
  <c r="I14" i="1222"/>
  <c r="I18" i="1222"/>
  <c r="I40" i="1222"/>
  <c r="I19" i="1222"/>
  <c r="J15" i="1222"/>
  <c r="J39" i="1222"/>
  <c r="I15" i="1222"/>
  <c r="I48" i="1222"/>
  <c r="J24" i="1222"/>
  <c r="I24" i="1222"/>
  <c r="B29" i="1222"/>
  <c r="B30" i="1222"/>
  <c r="I44" i="1222"/>
  <c r="D8" i="1221"/>
  <c r="B30" i="1219"/>
  <c r="B22" i="1219"/>
  <c r="K24" i="1220"/>
  <c r="I24" i="1220"/>
  <c r="H22" i="1220"/>
  <c r="I22" i="1220"/>
  <c r="J22" i="1220"/>
  <c r="I21" i="1220"/>
  <c r="M20" i="1220"/>
  <c r="L20" i="1220"/>
  <c r="K20" i="1220"/>
  <c r="I20" i="1220"/>
  <c r="I19" i="1220"/>
  <c r="H19" i="1220"/>
  <c r="I18" i="1220"/>
  <c r="N17" i="1220"/>
  <c r="M17" i="1220"/>
  <c r="L17" i="1220"/>
  <c r="K16" i="1220"/>
  <c r="M16" i="1220"/>
  <c r="N16" i="1220"/>
  <c r="L16" i="1220"/>
  <c r="I11" i="1220"/>
  <c r="M9" i="1220"/>
  <c r="N9" i="1220"/>
  <c r="L9" i="1220"/>
  <c r="K9" i="1220"/>
  <c r="N6" i="1220"/>
  <c r="L6" i="1220"/>
  <c r="K6" i="1220"/>
  <c r="N5" i="1220"/>
  <c r="M5" i="1220"/>
  <c r="L5" i="1220"/>
  <c r="K5" i="1220"/>
  <c r="J5" i="1220"/>
  <c r="I5" i="1220"/>
  <c r="H154" i="1218"/>
  <c r="H153" i="1218"/>
  <c r="H152" i="1218"/>
  <c r="H151" i="1218"/>
  <c r="H150" i="1218"/>
  <c r="H149" i="1218"/>
  <c r="H148" i="1218"/>
  <c r="K147" i="1218"/>
  <c r="J147" i="1218"/>
  <c r="I147" i="1218"/>
  <c r="H147" i="1218"/>
  <c r="H146" i="1218"/>
  <c r="H145" i="1218"/>
  <c r="H144" i="1218"/>
  <c r="H143" i="1218"/>
  <c r="K142" i="1218"/>
  <c r="J142" i="1218"/>
  <c r="I142" i="1218"/>
  <c r="H142" i="1218"/>
  <c r="H141" i="1218"/>
  <c r="H140" i="1218"/>
  <c r="H139" i="1218"/>
  <c r="H138" i="1218"/>
  <c r="H137" i="1218"/>
  <c r="H136" i="1218"/>
  <c r="K135" i="1218"/>
  <c r="J135" i="1218"/>
  <c r="I135" i="1218"/>
  <c r="H135" i="1218"/>
  <c r="H134" i="1218"/>
  <c r="H133" i="1218"/>
  <c r="I132" i="1218"/>
  <c r="H132" i="1218"/>
  <c r="K131" i="1218"/>
  <c r="K155" i="1218" s="1"/>
  <c r="J131" i="1218"/>
  <c r="J155" i="1218" s="1"/>
  <c r="I131" i="1218"/>
  <c r="I155" i="1218" s="1"/>
  <c r="H131" i="1218"/>
  <c r="I129" i="1218"/>
  <c r="H129" i="1218"/>
  <c r="H128" i="1218"/>
  <c r="H127" i="1218"/>
  <c r="H126" i="1218"/>
  <c r="H125" i="1218"/>
  <c r="H124" i="1218"/>
  <c r="H123" i="1218"/>
  <c r="H122" i="1218"/>
  <c r="I121" i="1218"/>
  <c r="H121" i="1218" s="1"/>
  <c r="I120" i="1218"/>
  <c r="H120" i="1218" s="1"/>
  <c r="I119" i="1218"/>
  <c r="H119" i="1218" s="1"/>
  <c r="I118" i="1218"/>
  <c r="H118" i="1218" s="1"/>
  <c r="K117" i="1218"/>
  <c r="K116" i="1218" s="1"/>
  <c r="I117" i="1218"/>
  <c r="H117" i="1218"/>
  <c r="J116" i="1218"/>
  <c r="I115" i="1218"/>
  <c r="H115" i="1218"/>
  <c r="I114" i="1218"/>
  <c r="H114" i="1218"/>
  <c r="K113" i="1218"/>
  <c r="I113" i="1218"/>
  <c r="H113" i="1218" s="1"/>
  <c r="I112" i="1218"/>
  <c r="H112" i="1218" s="1"/>
  <c r="H111" i="1218"/>
  <c r="H110" i="1218"/>
  <c r="H109" i="1218"/>
  <c r="H108" i="1218"/>
  <c r="H107" i="1218"/>
  <c r="H106" i="1218"/>
  <c r="H105" i="1218"/>
  <c r="H104" i="1218"/>
  <c r="H103" i="1218"/>
  <c r="H102" i="1218"/>
  <c r="I101" i="1218"/>
  <c r="H101" i="1218" s="1"/>
  <c r="I100" i="1218"/>
  <c r="H100" i="1218" s="1"/>
  <c r="I99" i="1218"/>
  <c r="H99" i="1218" s="1"/>
  <c r="K98" i="1218"/>
  <c r="J98" i="1218"/>
  <c r="I98" i="1218"/>
  <c r="H98" i="1218" s="1"/>
  <c r="K97" i="1218"/>
  <c r="J97" i="1218"/>
  <c r="I97" i="1218"/>
  <c r="H97" i="1218" s="1"/>
  <c r="K96" i="1218"/>
  <c r="J96" i="1218"/>
  <c r="I96" i="1218"/>
  <c r="H96" i="1218" s="1"/>
  <c r="K95" i="1218"/>
  <c r="J95" i="1218"/>
  <c r="J130" i="1218" s="1"/>
  <c r="J156" i="1218" s="1"/>
  <c r="I95" i="1218"/>
  <c r="H87" i="1218"/>
  <c r="H86" i="1218"/>
  <c r="H85" i="1218"/>
  <c r="H84" i="1218"/>
  <c r="H83" i="1218"/>
  <c r="H82" i="1218"/>
  <c r="K81" i="1218"/>
  <c r="J81" i="1218"/>
  <c r="I81" i="1218"/>
  <c r="H81" i="1218" s="1"/>
  <c r="H80" i="1218"/>
  <c r="H79" i="1218"/>
  <c r="H78" i="1218"/>
  <c r="K77" i="1218"/>
  <c r="J77" i="1218"/>
  <c r="I77" i="1218"/>
  <c r="H77" i="1218"/>
  <c r="H76" i="1218"/>
  <c r="K75" i="1218"/>
  <c r="J75" i="1218"/>
  <c r="I75" i="1218"/>
  <c r="H75" i="1218" s="1"/>
  <c r="K74" i="1218"/>
  <c r="J74" i="1218"/>
  <c r="I74" i="1218"/>
  <c r="H74" i="1218" s="1"/>
  <c r="H73" i="1218"/>
  <c r="H72" i="1218"/>
  <c r="H71" i="1218"/>
  <c r="H70" i="1218"/>
  <c r="K69" i="1218"/>
  <c r="J69" i="1218"/>
  <c r="I69" i="1218"/>
  <c r="H69" i="1218" s="1"/>
  <c r="H68" i="1218"/>
  <c r="H67" i="1218"/>
  <c r="H66" i="1218"/>
  <c r="K65" i="1218"/>
  <c r="K88" i="1218" s="1"/>
  <c r="J65" i="1218"/>
  <c r="J88" i="1218" s="1"/>
  <c r="I65" i="1218"/>
  <c r="I88" i="1218" s="1"/>
  <c r="H65" i="1218"/>
  <c r="H63" i="1218"/>
  <c r="H62" i="1218"/>
  <c r="H61" i="1218"/>
  <c r="H60" i="1218"/>
  <c r="K59" i="1218"/>
  <c r="J59" i="1218"/>
  <c r="I59" i="1218"/>
  <c r="H59" i="1218"/>
  <c r="H58" i="1218"/>
  <c r="I57" i="1218"/>
  <c r="H57" i="1218" s="1"/>
  <c r="I56" i="1218"/>
  <c r="H56" i="1218" s="1"/>
  <c r="H55" i="1218"/>
  <c r="K54" i="1218"/>
  <c r="J54" i="1218"/>
  <c r="H53" i="1218"/>
  <c r="H52" i="1218"/>
  <c r="H51" i="1218"/>
  <c r="H50" i="1218"/>
  <c r="H49" i="1218"/>
  <c r="K48" i="1218"/>
  <c r="J48" i="1218"/>
  <c r="I48" i="1218"/>
  <c r="H48" i="1218" s="1"/>
  <c r="I47" i="1218"/>
  <c r="H47" i="1218" s="1"/>
  <c r="H46" i="1218"/>
  <c r="H45" i="1218"/>
  <c r="H44" i="1218"/>
  <c r="H43" i="1218"/>
  <c r="K42" i="1218"/>
  <c r="J42" i="1218"/>
  <c r="I42" i="1218"/>
  <c r="H42" i="1218" s="1"/>
  <c r="H41" i="1218"/>
  <c r="H40" i="1218"/>
  <c r="I39" i="1218"/>
  <c r="H39" i="1218" s="1"/>
  <c r="K38" i="1218"/>
  <c r="K36" i="1218" s="1"/>
  <c r="J38" i="1218"/>
  <c r="I38" i="1218"/>
  <c r="H38" i="1218" s="1"/>
  <c r="H37" i="1218"/>
  <c r="J36" i="1218"/>
  <c r="I35" i="1218"/>
  <c r="H35" i="1218"/>
  <c r="I34" i="1218"/>
  <c r="H34" i="1218"/>
  <c r="H33" i="1218"/>
  <c r="H32" i="1218"/>
  <c r="H31" i="1218"/>
  <c r="I30" i="1218"/>
  <c r="H30" i="1218" s="1"/>
  <c r="I29" i="1218"/>
  <c r="H29" i="1218" s="1"/>
  <c r="K28" i="1218"/>
  <c r="J28" i="1218"/>
  <c r="I28" i="1218"/>
  <c r="H28" i="1218" s="1"/>
  <c r="I27" i="1218"/>
  <c r="H27" i="1218" s="1"/>
  <c r="I26" i="1218"/>
  <c r="H26" i="1218" s="1"/>
  <c r="H25" i="1218"/>
  <c r="H24" i="1218"/>
  <c r="H23" i="1218"/>
  <c r="H22" i="1218"/>
  <c r="K21" i="1218"/>
  <c r="J21" i="1218"/>
  <c r="I21" i="1218"/>
  <c r="H21" i="1218" s="1"/>
  <c r="H20" i="1218"/>
  <c r="J19" i="1218"/>
  <c r="I19" i="1218"/>
  <c r="H19" i="1218" s="1"/>
  <c r="H18" i="1218"/>
  <c r="H17" i="1218"/>
  <c r="H16" i="1218"/>
  <c r="H15" i="1218"/>
  <c r="K14" i="1218"/>
  <c r="J14" i="1218"/>
  <c r="I14" i="1218"/>
  <c r="H14" i="1218" s="1"/>
  <c r="H13" i="1218"/>
  <c r="I12" i="1218"/>
  <c r="H12" i="1218"/>
  <c r="I11" i="1218"/>
  <c r="H11" i="1218"/>
  <c r="I10" i="1218"/>
  <c r="H10" i="1218"/>
  <c r="I9" i="1218"/>
  <c r="H9" i="1218"/>
  <c r="H8" i="1218"/>
  <c r="K7" i="1218"/>
  <c r="K64" i="1218" s="1"/>
  <c r="K89" i="1218" s="1"/>
  <c r="J7" i="1218"/>
  <c r="J64" i="1218" s="1"/>
  <c r="I7" i="1218"/>
  <c r="D17" i="1217"/>
  <c r="D15" i="1217"/>
  <c r="I16" i="1240"/>
  <c r="H16" i="1240"/>
  <c r="K15" i="1240"/>
  <c r="C15" i="1240" s="1"/>
  <c r="D15" i="1240" s="1"/>
  <c r="J14" i="1240"/>
  <c r="G14" i="1240"/>
  <c r="F14" i="1240"/>
  <c r="E14" i="1240"/>
  <c r="K14" i="1240" s="1"/>
  <c r="C14" i="1240" s="1"/>
  <c r="B14" i="1240"/>
  <c r="J13" i="1240"/>
  <c r="G13" i="1240"/>
  <c r="F13" i="1240"/>
  <c r="E13" i="1240"/>
  <c r="K13" i="1240" s="1"/>
  <c r="C13" i="1240" s="1"/>
  <c r="B13" i="1240"/>
  <c r="J12" i="1240"/>
  <c r="G12" i="1240"/>
  <c r="F12" i="1240"/>
  <c r="E12" i="1240"/>
  <c r="K12" i="1240" s="1"/>
  <c r="C12" i="1240" s="1"/>
  <c r="B12" i="1240"/>
  <c r="D12" i="1240" s="1"/>
  <c r="J11" i="1240"/>
  <c r="G11" i="1240"/>
  <c r="F11" i="1240"/>
  <c r="E11" i="1240"/>
  <c r="K11" i="1240" s="1"/>
  <c r="C11" i="1240" s="1"/>
  <c r="B11" i="1240"/>
  <c r="J10" i="1240"/>
  <c r="J16" i="1240" s="1"/>
  <c r="G10" i="1240"/>
  <c r="G16" i="1240" s="1"/>
  <c r="F10" i="1240"/>
  <c r="F16" i="1240" s="1"/>
  <c r="E10" i="1240"/>
  <c r="E16" i="1240" s="1"/>
  <c r="B10" i="1240"/>
  <c r="C52" i="1238"/>
  <c r="C51" i="1238" s="1"/>
  <c r="C48" i="1238"/>
  <c r="C47" i="1238"/>
  <c r="C46" i="1238"/>
  <c r="C45" i="1238" s="1"/>
  <c r="C40" i="1238"/>
  <c r="C37" i="1238"/>
  <c r="C30" i="1238"/>
  <c r="C26" i="1238"/>
  <c r="C20" i="1238"/>
  <c r="C8" i="1238"/>
  <c r="C36" i="1238" s="1"/>
  <c r="C41" i="1238" s="1"/>
  <c r="C52" i="1237"/>
  <c r="C51" i="1237"/>
  <c r="C48" i="1237"/>
  <c r="C47" i="1237"/>
  <c r="C46" i="1237"/>
  <c r="C45" i="1237"/>
  <c r="C57" i="1237" s="1"/>
  <c r="C40" i="1237"/>
  <c r="C37" i="1237" s="1"/>
  <c r="C30" i="1237"/>
  <c r="C26" i="1237"/>
  <c r="C20" i="1237"/>
  <c r="C8" i="1237"/>
  <c r="C36" i="1237" s="1"/>
  <c r="C41" i="1237" s="1"/>
  <c r="C52" i="1235"/>
  <c r="C51" i="1235"/>
  <c r="C48" i="1235"/>
  <c r="C47" i="1235"/>
  <c r="C46" i="1235"/>
  <c r="C45" i="1235"/>
  <c r="C57" i="1235" s="1"/>
  <c r="C40" i="1235"/>
  <c r="C37" i="1235" s="1"/>
  <c r="C30" i="1235"/>
  <c r="C26" i="1235"/>
  <c r="C23" i="1235"/>
  <c r="C20" i="1235"/>
  <c r="C14" i="1235"/>
  <c r="C13" i="1235"/>
  <c r="C10" i="1235"/>
  <c r="C8" i="1235"/>
  <c r="C36" i="1235" s="1"/>
  <c r="C41" i="1235" s="1"/>
  <c r="C59" i="1234"/>
  <c r="C52" i="1234"/>
  <c r="C51" i="1234"/>
  <c r="C48" i="1234"/>
  <c r="C47" i="1234"/>
  <c r="C45" i="1234" s="1"/>
  <c r="C57" i="1234" s="1"/>
  <c r="C46" i="1234"/>
  <c r="C40" i="1234"/>
  <c r="C38" i="1234"/>
  <c r="C37" i="1234"/>
  <c r="C30" i="1234"/>
  <c r="C26" i="1234"/>
  <c r="C20" i="1234"/>
  <c r="C8" i="1234"/>
  <c r="C36" i="1234" s="1"/>
  <c r="C41" i="1234" s="1"/>
  <c r="C59" i="1233"/>
  <c r="C52" i="1233"/>
  <c r="C51" i="1233" s="1"/>
  <c r="C48" i="1233"/>
  <c r="C47" i="1233"/>
  <c r="C46" i="1233"/>
  <c r="C45" i="1233" s="1"/>
  <c r="C40" i="1233"/>
  <c r="C38" i="1233"/>
  <c r="C37" i="1233" s="1"/>
  <c r="C30" i="1233"/>
  <c r="C26" i="1233"/>
  <c r="C23" i="1233"/>
  <c r="C20" i="1233"/>
  <c r="C14" i="1233"/>
  <c r="C13" i="1233"/>
  <c r="C10" i="1233"/>
  <c r="C8" i="1233"/>
  <c r="C36" i="1233" s="1"/>
  <c r="C41" i="1233" s="1"/>
  <c r="C59" i="1231"/>
  <c r="C52" i="1231"/>
  <c r="C51" i="1231"/>
  <c r="C48" i="1231"/>
  <c r="C47" i="1231"/>
  <c r="C46" i="1231"/>
  <c r="C45" i="1231"/>
  <c r="C57" i="1231" s="1"/>
  <c r="C40" i="1231"/>
  <c r="C37" i="1231" s="1"/>
  <c r="C30" i="1231"/>
  <c r="C26" i="1231"/>
  <c r="C20" i="1231"/>
  <c r="C8" i="1231"/>
  <c r="C36" i="1231" s="1"/>
  <c r="C41" i="1231" s="1"/>
  <c r="C59" i="1230"/>
  <c r="C52" i="1230"/>
  <c r="C51" i="1230"/>
  <c r="C48" i="1230"/>
  <c r="C47" i="1230"/>
  <c r="C46" i="1230"/>
  <c r="C45" i="1230"/>
  <c r="C57" i="1230" s="1"/>
  <c r="C40" i="1230"/>
  <c r="C37" i="1230" s="1"/>
  <c r="C30" i="1230"/>
  <c r="C26" i="1230"/>
  <c r="C20" i="1230"/>
  <c r="C8" i="1230"/>
  <c r="C36" i="1230" s="1"/>
  <c r="C41" i="1230" s="1"/>
  <c r="C51" i="1229"/>
  <c r="C48" i="1229"/>
  <c r="C45" i="1229"/>
  <c r="C57" i="1229" s="1"/>
  <c r="C37" i="1229"/>
  <c r="C30" i="1229"/>
  <c r="C26" i="1229"/>
  <c r="C20" i="1229"/>
  <c r="C8" i="1229"/>
  <c r="C36" i="1229" s="1"/>
  <c r="C41" i="1229" s="1"/>
  <c r="C1" i="1229"/>
  <c r="C52" i="1228"/>
  <c r="C51" i="1228" s="1"/>
  <c r="C48" i="1228"/>
  <c r="C47" i="1228"/>
  <c r="C46" i="1228"/>
  <c r="C45" i="1228" s="1"/>
  <c r="C40" i="1228"/>
  <c r="C37" i="1228"/>
  <c r="C30" i="1228"/>
  <c r="C26" i="1228"/>
  <c r="C20" i="1228"/>
  <c r="C9" i="1228"/>
  <c r="C8" i="1228"/>
  <c r="C36" i="1228" s="1"/>
  <c r="C41" i="1228" s="1"/>
  <c r="C52" i="1227"/>
  <c r="C51" i="1227" s="1"/>
  <c r="C48" i="1227"/>
  <c r="C47" i="1227"/>
  <c r="C46" i="1227"/>
  <c r="C45" i="1227" s="1"/>
  <c r="C57" i="1227" s="1"/>
  <c r="C40" i="1227"/>
  <c r="C37" i="1227"/>
  <c r="C30" i="1227"/>
  <c r="C26" i="1227"/>
  <c r="C20" i="1227"/>
  <c r="C9" i="1227"/>
  <c r="C8" i="1227"/>
  <c r="C36" i="1227" s="1"/>
  <c r="C41" i="1227" s="1"/>
  <c r="C53" i="1225"/>
  <c r="C52" i="1225"/>
  <c r="C51" i="1225" s="1"/>
  <c r="C48" i="1225"/>
  <c r="C47" i="1225"/>
  <c r="C46" i="1225"/>
  <c r="C45" i="1225" s="1"/>
  <c r="C57" i="1225" s="1"/>
  <c r="C40" i="1225"/>
  <c r="C37" i="1225"/>
  <c r="C30" i="1225"/>
  <c r="C26" i="1225"/>
  <c r="C20" i="1225"/>
  <c r="C8" i="1225"/>
  <c r="C36" i="1225" s="1"/>
  <c r="C41" i="1225" s="1"/>
  <c r="C53" i="1224"/>
  <c r="C52" i="1224"/>
  <c r="C51" i="1224" s="1"/>
  <c r="C48" i="1224"/>
  <c r="C47" i="1224"/>
  <c r="C46" i="1224"/>
  <c r="C45" i="1224" s="1"/>
  <c r="C40" i="1224"/>
  <c r="C37" i="1224"/>
  <c r="C30" i="1224"/>
  <c r="C26" i="1224"/>
  <c r="C20" i="1224"/>
  <c r="C8" i="1224"/>
  <c r="C36" i="1224" s="1"/>
  <c r="C41" i="1224" s="1"/>
  <c r="C48" i="1205"/>
  <c r="C47" i="1205"/>
  <c r="C48" i="1203"/>
  <c r="C47" i="1203"/>
  <c r="C115" i="1202"/>
  <c r="C98" i="1202"/>
  <c r="C96" i="1202"/>
  <c r="C95" i="1202"/>
  <c r="C94" i="1202"/>
  <c r="C117" i="1201"/>
  <c r="C115" i="1201"/>
  <c r="C113" i="1201"/>
  <c r="C112" i="1201"/>
  <c r="C98" i="1201"/>
  <c r="C110" i="1201"/>
  <c r="C97" i="1201"/>
  <c r="C96" i="1201"/>
  <c r="C95" i="1201"/>
  <c r="C94" i="1201"/>
  <c r="C117" i="1200"/>
  <c r="C115" i="1200"/>
  <c r="C113" i="1200"/>
  <c r="C112" i="1200"/>
  <c r="C98" i="1200"/>
  <c r="C99" i="1200"/>
  <c r="C110" i="1200"/>
  <c r="C101" i="1200"/>
  <c r="C97" i="1200"/>
  <c r="C96" i="1200"/>
  <c r="C95" i="1200"/>
  <c r="C94" i="1200"/>
  <c r="C20" i="1202"/>
  <c r="C13" i="1202"/>
  <c r="C11" i="1202"/>
  <c r="C20" i="1201"/>
  <c r="C13" i="1201"/>
  <c r="C12" i="1201"/>
  <c r="C11" i="1201"/>
  <c r="C10" i="1201"/>
  <c r="C20" i="1200"/>
  <c r="C13" i="1200"/>
  <c r="C12" i="1200"/>
  <c r="C11" i="1200"/>
  <c r="C10" i="1200"/>
  <c r="E13" i="1199"/>
  <c r="B13" i="1199"/>
  <c r="E16" i="1199"/>
  <c r="B16" i="1199"/>
  <c r="F16" i="1199" s="1"/>
  <c r="E11" i="1223"/>
  <c r="F11" i="1223" s="1"/>
  <c r="B11" i="1223"/>
  <c r="E21" i="1223"/>
  <c r="F21" i="1223" s="1"/>
  <c r="B21" i="1223"/>
  <c r="E24" i="1223"/>
  <c r="B24" i="1223"/>
  <c r="F24" i="1223" s="1"/>
  <c r="F28" i="1223"/>
  <c r="F93" i="1223"/>
  <c r="F89" i="1223"/>
  <c r="F86" i="1223"/>
  <c r="B86" i="1223"/>
  <c r="B85" i="1223"/>
  <c r="F82" i="1223"/>
  <c r="B81" i="1223"/>
  <c r="F81" i="1223" s="1"/>
  <c r="F80" i="1223"/>
  <c r="F79" i="1223"/>
  <c r="F78" i="1223"/>
  <c r="F77" i="1223"/>
  <c r="F76" i="1223"/>
  <c r="F74" i="1223"/>
  <c r="F73" i="1223"/>
  <c r="F72" i="1223"/>
  <c r="F71" i="1223"/>
  <c r="F70" i="1223"/>
  <c r="F67" i="1223"/>
  <c r="F66" i="1223"/>
  <c r="F65" i="1223"/>
  <c r="F64" i="1223"/>
  <c r="F63" i="1223"/>
  <c r="F62" i="1223"/>
  <c r="F61" i="1223"/>
  <c r="F60" i="1223"/>
  <c r="F59" i="1223"/>
  <c r="F58" i="1223"/>
  <c r="F57" i="1223"/>
  <c r="F56" i="1223"/>
  <c r="F55" i="1223"/>
  <c r="F54" i="1223"/>
  <c r="F53" i="1223"/>
  <c r="F52" i="1223"/>
  <c r="F51" i="1223"/>
  <c r="F50" i="1223"/>
  <c r="F49" i="1223"/>
  <c r="F48" i="1223"/>
  <c r="F47" i="1223"/>
  <c r="F46" i="1223"/>
  <c r="F45" i="1223"/>
  <c r="F44" i="1223"/>
  <c r="F43" i="1223"/>
  <c r="F42" i="1223"/>
  <c r="F41" i="1223"/>
  <c r="F40" i="1223"/>
  <c r="F39" i="1223"/>
  <c r="F38" i="1223"/>
  <c r="F37" i="1223"/>
  <c r="F36" i="1223"/>
  <c r="F35" i="1223"/>
  <c r="F34" i="1223"/>
  <c r="F33" i="1223"/>
  <c r="F32" i="1223"/>
  <c r="F31" i="1223"/>
  <c r="F30" i="1223"/>
  <c r="F29" i="1223"/>
  <c r="F27" i="1223"/>
  <c r="F26" i="1223"/>
  <c r="F25" i="1223"/>
  <c r="F23" i="1223"/>
  <c r="F22" i="1223"/>
  <c r="D21" i="1223"/>
  <c r="D97" i="1223" s="1"/>
  <c r="F20" i="1223"/>
  <c r="F19" i="1223"/>
  <c r="F18" i="1223"/>
  <c r="F17" i="1223"/>
  <c r="F16" i="1223"/>
  <c r="F15" i="1223"/>
  <c r="F14" i="1223"/>
  <c r="F12" i="1223"/>
  <c r="F10" i="1223"/>
  <c r="F9" i="1223"/>
  <c r="E8" i="1223"/>
  <c r="B8" i="1223"/>
  <c r="F8" i="1223" s="1"/>
  <c r="F7" i="1223"/>
  <c r="F6" i="1223"/>
  <c r="F5" i="1223"/>
  <c r="K130" i="1218" l="1"/>
  <c r="K156" i="1218" s="1"/>
  <c r="H155" i="1218"/>
  <c r="H95" i="1218"/>
  <c r="I116" i="1218"/>
  <c r="H116" i="1218" s="1"/>
  <c r="J89" i="1218"/>
  <c r="H88" i="1218"/>
  <c r="H7" i="1218"/>
  <c r="I36" i="1218"/>
  <c r="H36" i="1218" s="1"/>
  <c r="I54" i="1218"/>
  <c r="H54" i="1218" s="1"/>
  <c r="C57" i="1224"/>
  <c r="C57" i="1228"/>
  <c r="C57" i="1233"/>
  <c r="D11" i="1240"/>
  <c r="D13" i="1240"/>
  <c r="C57" i="1238"/>
  <c r="D14" i="1240"/>
  <c r="K10" i="1240"/>
  <c r="B16" i="1240"/>
  <c r="E97" i="1223"/>
  <c r="F97" i="1223"/>
  <c r="B97" i="1223"/>
  <c r="I130" i="1218" l="1"/>
  <c r="I64" i="1218"/>
  <c r="K16" i="1240"/>
  <c r="C10" i="1240"/>
  <c r="I156" i="1218" l="1"/>
  <c r="H156" i="1218" s="1"/>
  <c r="H130" i="1218"/>
  <c r="I89" i="1218"/>
  <c r="H89" i="1218" s="1"/>
  <c r="H64" i="1218"/>
  <c r="C16" i="1240"/>
  <c r="D10" i="1240"/>
  <c r="D16" i="1240" s="1"/>
  <c r="D96" i="1192" l="1"/>
  <c r="D113" i="1192"/>
  <c r="D112" i="1192"/>
  <c r="C95" i="1163"/>
  <c r="C94" i="1163"/>
  <c r="D115" i="1193"/>
  <c r="D98" i="1193"/>
  <c r="D96" i="1193"/>
  <c r="D95" i="1193"/>
  <c r="D94" i="1193"/>
  <c r="D117" i="1192"/>
  <c r="D115" i="1192"/>
  <c r="D98" i="1192"/>
  <c r="D110" i="1192"/>
  <c r="D97" i="1192"/>
  <c r="D95" i="1192"/>
  <c r="D94" i="1192"/>
  <c r="F39" i="1193"/>
  <c r="D17" i="1193"/>
  <c r="D10" i="1193" l="1"/>
  <c r="D8" i="1193"/>
  <c r="D17" i="1192"/>
  <c r="D10" i="1192"/>
  <c r="D9" i="1192"/>
  <c r="D8" i="1192"/>
  <c r="D7" i="1192"/>
  <c r="E9" i="1203" l="1"/>
  <c r="E10" i="1203"/>
  <c r="E11" i="1203"/>
  <c r="E12" i="1203"/>
  <c r="E13" i="1203"/>
  <c r="E14" i="1203"/>
  <c r="E15" i="1203"/>
  <c r="E16" i="1203"/>
  <c r="E17" i="1203"/>
  <c r="E18" i="1203"/>
  <c r="E19" i="1203"/>
  <c r="E20" i="1203"/>
  <c r="E21" i="1203"/>
  <c r="E22" i="1203"/>
  <c r="E23" i="1203"/>
  <c r="E24" i="1203"/>
  <c r="E25" i="1203"/>
  <c r="E26" i="1203"/>
  <c r="E27" i="1203"/>
  <c r="E28" i="1203"/>
  <c r="E29" i="1203"/>
  <c r="E30" i="1203"/>
  <c r="E31" i="1203"/>
  <c r="E32" i="1203"/>
  <c r="E33" i="1203"/>
  <c r="E34" i="1203"/>
  <c r="E35" i="1203"/>
  <c r="E36" i="1203"/>
  <c r="E37" i="1203"/>
  <c r="E38" i="1203"/>
  <c r="E39" i="1203"/>
  <c r="E40" i="1203"/>
  <c r="E41" i="1203"/>
  <c r="E42" i="1203"/>
  <c r="E43" i="1203"/>
  <c r="E44" i="1203"/>
  <c r="E45" i="1203"/>
  <c r="E47" i="1203"/>
  <c r="E48" i="1203"/>
  <c r="E49" i="1203"/>
  <c r="E50" i="1203"/>
  <c r="E51" i="1203"/>
  <c r="E52" i="1203"/>
  <c r="E53" i="1203"/>
  <c r="E54" i="1203"/>
  <c r="E55" i="1203"/>
  <c r="E56" i="1203"/>
  <c r="E57" i="1203"/>
  <c r="E59" i="1203"/>
  <c r="E60" i="1203"/>
  <c r="E61" i="1203"/>
  <c r="E8" i="1203"/>
  <c r="D9" i="1200"/>
  <c r="D10" i="1200"/>
  <c r="D11" i="1200"/>
  <c r="D12" i="1200"/>
  <c r="D13" i="1200"/>
  <c r="D14" i="1200"/>
  <c r="D16" i="1200"/>
  <c r="D17" i="1200"/>
  <c r="D18" i="1200"/>
  <c r="D19" i="1200"/>
  <c r="D20" i="1200"/>
  <c r="D21" i="1200"/>
  <c r="D22" i="1200"/>
  <c r="D23" i="1200"/>
  <c r="D24" i="1200"/>
  <c r="D25" i="1200"/>
  <c r="D26" i="1200"/>
  <c r="D27" i="1200"/>
  <c r="D28" i="1200"/>
  <c r="D29" i="1200"/>
  <c r="D30" i="1200"/>
  <c r="D31" i="1200"/>
  <c r="D32" i="1200"/>
  <c r="D33" i="1200"/>
  <c r="D34" i="1200"/>
  <c r="D35" i="1200"/>
  <c r="D36" i="1200"/>
  <c r="D37" i="1200"/>
  <c r="D38" i="1200"/>
  <c r="D39" i="1200"/>
  <c r="D40" i="1200"/>
  <c r="D41" i="1200"/>
  <c r="D42" i="1200"/>
  <c r="D43" i="1200"/>
  <c r="D44" i="1200"/>
  <c r="D45" i="1200"/>
  <c r="D46" i="1200"/>
  <c r="D47" i="1200"/>
  <c r="D48" i="1200"/>
  <c r="D49" i="1200"/>
  <c r="D50" i="1200"/>
  <c r="D51" i="1200"/>
  <c r="D52" i="1200"/>
  <c r="D53" i="1200"/>
  <c r="D54" i="1200"/>
  <c r="D55" i="1200"/>
  <c r="D56" i="1200"/>
  <c r="D57" i="1200"/>
  <c r="D58" i="1200"/>
  <c r="D59" i="1200"/>
  <c r="D60" i="1200"/>
  <c r="D61" i="1200"/>
  <c r="D62" i="1200"/>
  <c r="D63" i="1200"/>
  <c r="D64" i="1200"/>
  <c r="D66" i="1200"/>
  <c r="D67" i="1200"/>
  <c r="D68" i="1200"/>
  <c r="D69" i="1200"/>
  <c r="D70" i="1200"/>
  <c r="D71" i="1200"/>
  <c r="D72" i="1200"/>
  <c r="D73" i="1200"/>
  <c r="D74" i="1200"/>
  <c r="D75" i="1200"/>
  <c r="D76" i="1200"/>
  <c r="D77" i="1200"/>
  <c r="D78" i="1200"/>
  <c r="D79" i="1200"/>
  <c r="D80" i="1200"/>
  <c r="D81" i="1200"/>
  <c r="D82" i="1200"/>
  <c r="D83" i="1200"/>
  <c r="D84" i="1200"/>
  <c r="D85" i="1200"/>
  <c r="D86" i="1200"/>
  <c r="D87" i="1200"/>
  <c r="D88" i="1200"/>
  <c r="D89" i="1200"/>
  <c r="D91" i="1200"/>
  <c r="D92" i="1200"/>
  <c r="D94" i="1200"/>
  <c r="D95" i="1200"/>
  <c r="D96" i="1200"/>
  <c r="D97" i="1200"/>
  <c r="D98" i="1200"/>
  <c r="D99" i="1200"/>
  <c r="D100" i="1200"/>
  <c r="D101" i="1200"/>
  <c r="D102" i="1200"/>
  <c r="D103" i="1200"/>
  <c r="D104" i="1200"/>
  <c r="D105" i="1200"/>
  <c r="D106" i="1200"/>
  <c r="D107" i="1200"/>
  <c r="D108" i="1200"/>
  <c r="D109" i="1200"/>
  <c r="D110" i="1200"/>
  <c r="D112" i="1200"/>
  <c r="D113" i="1200"/>
  <c r="D115" i="1200"/>
  <c r="D116" i="1200"/>
  <c r="D117" i="1200"/>
  <c r="D118" i="1200"/>
  <c r="D119" i="1200"/>
  <c r="D120" i="1200"/>
  <c r="D121" i="1200"/>
  <c r="D122" i="1200"/>
  <c r="D123" i="1200"/>
  <c r="D124" i="1200"/>
  <c r="D125" i="1200"/>
  <c r="D126" i="1200"/>
  <c r="D127" i="1200"/>
  <c r="D129" i="1200"/>
  <c r="D130" i="1200"/>
  <c r="D131" i="1200"/>
  <c r="D132" i="1200"/>
  <c r="D133" i="1200"/>
  <c r="D134" i="1200"/>
  <c r="D135" i="1200"/>
  <c r="D136" i="1200"/>
  <c r="D137" i="1200"/>
  <c r="D138" i="1200"/>
  <c r="D139" i="1200"/>
  <c r="D140" i="1200"/>
  <c r="D141" i="1200"/>
  <c r="D142" i="1200"/>
  <c r="D143" i="1200"/>
  <c r="D144" i="1200"/>
  <c r="D145" i="1200"/>
  <c r="D146" i="1200"/>
  <c r="D147" i="1200"/>
  <c r="D148" i="1200"/>
  <c r="D149" i="1200"/>
  <c r="D150" i="1200"/>
  <c r="D151" i="1200"/>
  <c r="D152" i="1200"/>
  <c r="D153" i="1200"/>
  <c r="D154" i="1200"/>
  <c r="D117" i="1191" l="1"/>
  <c r="D115" i="1191"/>
  <c r="D113" i="1191"/>
  <c r="D112" i="1191"/>
  <c r="D110" i="1191"/>
  <c r="D98" i="1191"/>
  <c r="C98" i="1191" s="1"/>
  <c r="D99" i="1191"/>
  <c r="D97" i="1191"/>
  <c r="D96" i="1191"/>
  <c r="D95" i="1191"/>
  <c r="D94" i="1191"/>
  <c r="D55" i="1191"/>
  <c r="D17" i="1191"/>
  <c r="D10" i="1191"/>
  <c r="D9" i="1191"/>
  <c r="D8" i="1191"/>
  <c r="D7" i="1191"/>
  <c r="H6" i="1191"/>
  <c r="H11" i="1191"/>
  <c r="H13" i="1191"/>
  <c r="H14" i="1191"/>
  <c r="H15" i="1191"/>
  <c r="H16" i="1191"/>
  <c r="H18" i="1191"/>
  <c r="H19" i="1191"/>
  <c r="H20" i="1191"/>
  <c r="H21" i="1191"/>
  <c r="H22" i="1191"/>
  <c r="H23" i="1191"/>
  <c r="H24" i="1191"/>
  <c r="H25" i="1191"/>
  <c r="H26" i="1191"/>
  <c r="H27" i="1191"/>
  <c r="H28" i="1191"/>
  <c r="H29" i="1191"/>
  <c r="H30" i="1191"/>
  <c r="H31" i="1191"/>
  <c r="H32" i="1191"/>
  <c r="H33" i="1191"/>
  <c r="H35" i="1191"/>
  <c r="H36" i="1191"/>
  <c r="H37" i="1191"/>
  <c r="H38" i="1191"/>
  <c r="H40" i="1191"/>
  <c r="H41" i="1191"/>
  <c r="H42" i="1191"/>
  <c r="H43" i="1191"/>
  <c r="H44" i="1191"/>
  <c r="H45" i="1191"/>
  <c r="H46" i="1191"/>
  <c r="H47" i="1191"/>
  <c r="H48" i="1191"/>
  <c r="H49" i="1191"/>
  <c r="H50" i="1191"/>
  <c r="H51" i="1191"/>
  <c r="H53" i="1191"/>
  <c r="H54" i="1191"/>
  <c r="H56" i="1191"/>
  <c r="H57" i="1191"/>
  <c r="H58" i="1191"/>
  <c r="H59" i="1191"/>
  <c r="H60" i="1191"/>
  <c r="H61" i="1191"/>
  <c r="H63" i="1191"/>
  <c r="H64" i="1191"/>
  <c r="H65" i="1191"/>
  <c r="H66" i="1191"/>
  <c r="H67" i="1191"/>
  <c r="H68" i="1191"/>
  <c r="H69" i="1191"/>
  <c r="H70" i="1191"/>
  <c r="H71" i="1191"/>
  <c r="H72" i="1191"/>
  <c r="H73" i="1191"/>
  <c r="H74" i="1191"/>
  <c r="H75" i="1191"/>
  <c r="H76" i="1191"/>
  <c r="H77" i="1191"/>
  <c r="H78" i="1191"/>
  <c r="H79" i="1191"/>
  <c r="H80" i="1191"/>
  <c r="H81" i="1191"/>
  <c r="H82" i="1191"/>
  <c r="H83" i="1191"/>
  <c r="H84" i="1191"/>
  <c r="H85" i="1191"/>
  <c r="H86" i="1191"/>
  <c r="H88" i="1191"/>
  <c r="H89" i="1191"/>
  <c r="H90" i="1191"/>
  <c r="H91" i="1191"/>
  <c r="H92" i="1191"/>
  <c r="H100" i="1191"/>
  <c r="H102" i="1191"/>
  <c r="H103" i="1191"/>
  <c r="H104" i="1191"/>
  <c r="H105" i="1191"/>
  <c r="H106" i="1191"/>
  <c r="H107" i="1191"/>
  <c r="H108" i="1191"/>
  <c r="H109" i="1191"/>
  <c r="H116" i="1191"/>
  <c r="H118" i="1191"/>
  <c r="H119" i="1191"/>
  <c r="H120" i="1191"/>
  <c r="H121" i="1191"/>
  <c r="H122" i="1191"/>
  <c r="H123" i="1191"/>
  <c r="H124" i="1191"/>
  <c r="H125" i="1191"/>
  <c r="H126" i="1191"/>
  <c r="H127" i="1191"/>
  <c r="H129" i="1191"/>
  <c r="H130" i="1191"/>
  <c r="H131" i="1191"/>
  <c r="H132" i="1191"/>
  <c r="H133" i="1191"/>
  <c r="H134" i="1191"/>
  <c r="H135" i="1191"/>
  <c r="H136" i="1191"/>
  <c r="H137" i="1191"/>
  <c r="H138" i="1191"/>
  <c r="H139" i="1191"/>
  <c r="H140" i="1191"/>
  <c r="H141" i="1191"/>
  <c r="H142" i="1191"/>
  <c r="H143" i="1191"/>
  <c r="H144" i="1191"/>
  <c r="H145" i="1191"/>
  <c r="H146" i="1191"/>
  <c r="H147" i="1191"/>
  <c r="H148" i="1191"/>
  <c r="H149" i="1191"/>
  <c r="H150" i="1191"/>
  <c r="H151" i="1191"/>
  <c r="H152" i="1191"/>
  <c r="H153" i="1191"/>
  <c r="N54" i="1222" l="1"/>
  <c r="N52" i="1222"/>
  <c r="G52" i="1222"/>
  <c r="N51" i="1222"/>
  <c r="I51" i="1222"/>
  <c r="G51" i="1222"/>
  <c r="N50" i="1222"/>
  <c r="G50" i="1222"/>
  <c r="N49" i="1222"/>
  <c r="G49" i="1222"/>
  <c r="N48" i="1222"/>
  <c r="G48" i="1222"/>
  <c r="N47" i="1222"/>
  <c r="G47" i="1222"/>
  <c r="I46" i="1222"/>
  <c r="N46" i="1222" s="1"/>
  <c r="B46" i="1222"/>
  <c r="G46" i="1222" s="1"/>
  <c r="J45" i="1222"/>
  <c r="I45" i="1222"/>
  <c r="N45" i="1222" s="1"/>
  <c r="G45" i="1222"/>
  <c r="C45" i="1222"/>
  <c r="J44" i="1222"/>
  <c r="N44" i="1222"/>
  <c r="B44" i="1222"/>
  <c r="G44" i="1222" s="1"/>
  <c r="N43" i="1222"/>
  <c r="G43" i="1222"/>
  <c r="N42" i="1222"/>
  <c r="G42" i="1222"/>
  <c r="J41" i="1222"/>
  <c r="I41" i="1222"/>
  <c r="N41" i="1222" s="1"/>
  <c r="G41" i="1222"/>
  <c r="N40" i="1222"/>
  <c r="G40" i="1222"/>
  <c r="N39" i="1222"/>
  <c r="G39" i="1222"/>
  <c r="N38" i="1222"/>
  <c r="I38" i="1222"/>
  <c r="G38" i="1222"/>
  <c r="N36" i="1222"/>
  <c r="G36" i="1222"/>
  <c r="I35" i="1222"/>
  <c r="N35" i="1222" s="1"/>
  <c r="G35" i="1222"/>
  <c r="N34" i="1222"/>
  <c r="G34" i="1222"/>
  <c r="N33" i="1222"/>
  <c r="G33" i="1222"/>
  <c r="F33" i="1222"/>
  <c r="L32" i="1222"/>
  <c r="I32" i="1222"/>
  <c r="N32" i="1222" s="1"/>
  <c r="G32" i="1222"/>
  <c r="G31" i="1222"/>
  <c r="N30" i="1222"/>
  <c r="G30" i="1222"/>
  <c r="N29" i="1222"/>
  <c r="G29" i="1222"/>
  <c r="G28" i="1222" s="1"/>
  <c r="M28" i="1222"/>
  <c r="M53" i="1222" s="1"/>
  <c r="M55" i="1222" s="1"/>
  <c r="L28" i="1222"/>
  <c r="L53" i="1222" s="1"/>
  <c r="L55" i="1222" s="1"/>
  <c r="K28" i="1222"/>
  <c r="J28" i="1222"/>
  <c r="I28" i="1222"/>
  <c r="N28" i="1222" s="1"/>
  <c r="F28" i="1222"/>
  <c r="F53" i="1222" s="1"/>
  <c r="F55" i="1222" s="1"/>
  <c r="E28" i="1222"/>
  <c r="E53" i="1222" s="1"/>
  <c r="E55" i="1222" s="1"/>
  <c r="D28" i="1222"/>
  <c r="C28" i="1222"/>
  <c r="B28" i="1222"/>
  <c r="J27" i="1222"/>
  <c r="I27" i="1222"/>
  <c r="N27" i="1222" s="1"/>
  <c r="G27" i="1222"/>
  <c r="B27" i="1222"/>
  <c r="N26" i="1222"/>
  <c r="G26" i="1222"/>
  <c r="N25" i="1222"/>
  <c r="G25" i="1222"/>
  <c r="N24" i="1222"/>
  <c r="G24" i="1222"/>
  <c r="N23" i="1222"/>
  <c r="G23" i="1222"/>
  <c r="N22" i="1222"/>
  <c r="G22" i="1222"/>
  <c r="N21" i="1222"/>
  <c r="G21" i="1222"/>
  <c r="D21" i="1222"/>
  <c r="N20" i="1222"/>
  <c r="K20" i="1222"/>
  <c r="K53" i="1222" s="1"/>
  <c r="K55" i="1222" s="1"/>
  <c r="G20" i="1222"/>
  <c r="D20" i="1222"/>
  <c r="D53" i="1222" s="1"/>
  <c r="D55" i="1222" s="1"/>
  <c r="C20" i="1222"/>
  <c r="B20" i="1222"/>
  <c r="N19" i="1222"/>
  <c r="G19" i="1222"/>
  <c r="N18" i="1222"/>
  <c r="I53" i="1222"/>
  <c r="I55" i="1222" s="1"/>
  <c r="G18" i="1222"/>
  <c r="B18" i="1222"/>
  <c r="B53" i="1222" s="1"/>
  <c r="B55" i="1222" s="1"/>
  <c r="N17" i="1222"/>
  <c r="G17" i="1222"/>
  <c r="N16" i="1222"/>
  <c r="G16" i="1222"/>
  <c r="N15" i="1222"/>
  <c r="G15" i="1222"/>
  <c r="N14" i="1222"/>
  <c r="G14" i="1222"/>
  <c r="N13" i="1222"/>
  <c r="H13" i="1222"/>
  <c r="H53" i="1222" s="1"/>
  <c r="H55" i="1222" s="1"/>
  <c r="G13" i="1222"/>
  <c r="N12" i="1222"/>
  <c r="C12" i="1222"/>
  <c r="C53" i="1222" s="1"/>
  <c r="C55" i="1222" s="1"/>
  <c r="N11" i="1222"/>
  <c r="G11" i="1222"/>
  <c r="N10" i="1222"/>
  <c r="G10" i="1222"/>
  <c r="J9" i="1222"/>
  <c r="N9" i="1222" s="1"/>
  <c r="G9" i="1222"/>
  <c r="D30" i="1221"/>
  <c r="P26" i="1220"/>
  <c r="H26" i="1220"/>
  <c r="C26" i="1220"/>
  <c r="Q25" i="1220"/>
  <c r="O25" i="1220"/>
  <c r="L24" i="1220"/>
  <c r="H24" i="1220"/>
  <c r="O24" i="1220" s="1"/>
  <c r="Q24" i="1220" s="1"/>
  <c r="I23" i="1220"/>
  <c r="H23" i="1220"/>
  <c r="O23" i="1220" s="1"/>
  <c r="Q23" i="1220" s="1"/>
  <c r="N22" i="1220"/>
  <c r="M22" i="1220"/>
  <c r="L22" i="1220"/>
  <c r="O22" i="1220"/>
  <c r="Q22" i="1220" s="1"/>
  <c r="M21" i="1220"/>
  <c r="J21" i="1220"/>
  <c r="F21" i="1220"/>
  <c r="O21" i="1220" s="1"/>
  <c r="Q21" i="1220" s="1"/>
  <c r="G20" i="1220"/>
  <c r="O20" i="1220" s="1"/>
  <c r="Q20" i="1220" s="1"/>
  <c r="N19" i="1220"/>
  <c r="M19" i="1220"/>
  <c r="O19" i="1220" s="1"/>
  <c r="Q19" i="1220" s="1"/>
  <c r="N18" i="1220"/>
  <c r="M18" i="1220"/>
  <c r="L18" i="1220"/>
  <c r="K18" i="1220"/>
  <c r="J18" i="1220"/>
  <c r="G18" i="1220"/>
  <c r="G26" i="1220" s="1"/>
  <c r="F18" i="1220"/>
  <c r="O18" i="1220" s="1"/>
  <c r="Q18" i="1220" s="1"/>
  <c r="K17" i="1220"/>
  <c r="J17" i="1220"/>
  <c r="I17" i="1220"/>
  <c r="F17" i="1220"/>
  <c r="D17" i="1220"/>
  <c r="O17" i="1220" s="1"/>
  <c r="Q17" i="1220" s="1"/>
  <c r="N26" i="1220"/>
  <c r="M26" i="1220"/>
  <c r="L26" i="1220"/>
  <c r="K26" i="1220"/>
  <c r="J16" i="1220"/>
  <c r="J26" i="1220" s="1"/>
  <c r="I16" i="1220"/>
  <c r="I26" i="1220" s="1"/>
  <c r="F16" i="1220"/>
  <c r="F26" i="1220" s="1"/>
  <c r="E16" i="1220"/>
  <c r="O16" i="1220" s="1"/>
  <c r="Q16" i="1220" s="1"/>
  <c r="D16" i="1220"/>
  <c r="D26" i="1220" s="1"/>
  <c r="Q15" i="1220"/>
  <c r="P14" i="1220"/>
  <c r="L14" i="1220"/>
  <c r="J14" i="1220"/>
  <c r="J27" i="1220" s="1"/>
  <c r="F14" i="1220"/>
  <c r="D14" i="1220"/>
  <c r="D27" i="1220" s="1"/>
  <c r="C13" i="1220"/>
  <c r="C14" i="1220" s="1"/>
  <c r="O12" i="1220"/>
  <c r="Q12" i="1220" s="1"/>
  <c r="O11" i="1220"/>
  <c r="Q11" i="1220" s="1"/>
  <c r="H11" i="1220"/>
  <c r="Q10" i="1220"/>
  <c r="O10" i="1220"/>
  <c r="I9" i="1220"/>
  <c r="G9" i="1220"/>
  <c r="G14" i="1220" s="1"/>
  <c r="G27" i="1220" s="1"/>
  <c r="Q8" i="1220"/>
  <c r="O8" i="1220"/>
  <c r="M7" i="1220"/>
  <c r="M14" i="1220" s="1"/>
  <c r="M27" i="1220" s="1"/>
  <c r="H7" i="1220"/>
  <c r="O7" i="1220" s="1"/>
  <c r="Q7" i="1220" s="1"/>
  <c r="K14" i="1220"/>
  <c r="K27" i="1220" s="1"/>
  <c r="I6" i="1220"/>
  <c r="H6" i="1220"/>
  <c r="H14" i="1220" s="1"/>
  <c r="F6" i="1220"/>
  <c r="O6" i="1220" s="1"/>
  <c r="Q6" i="1220" s="1"/>
  <c r="N14" i="1220"/>
  <c r="I14" i="1220"/>
  <c r="E5" i="1220"/>
  <c r="E14" i="1220" s="1"/>
  <c r="B45" i="1219"/>
  <c r="B43" i="1219"/>
  <c r="B42" i="1219"/>
  <c r="B41" i="1219"/>
  <c r="B37" i="1219"/>
  <c r="B36" i="1219"/>
  <c r="B26" i="1219"/>
  <c r="B18" i="1219"/>
  <c r="B21" i="1219" s="1"/>
  <c r="D154" i="1218"/>
  <c r="D155" i="1218" s="1"/>
  <c r="D153" i="1218"/>
  <c r="D152" i="1218"/>
  <c r="D151" i="1218"/>
  <c r="D150" i="1218"/>
  <c r="D149" i="1218"/>
  <c r="D148" i="1218"/>
  <c r="G147" i="1218"/>
  <c r="F147" i="1218"/>
  <c r="E147" i="1218"/>
  <c r="D147" i="1218"/>
  <c r="C147" i="1218"/>
  <c r="C155" i="1218" s="1"/>
  <c r="C156" i="1218" s="1"/>
  <c r="D146" i="1218"/>
  <c r="D145" i="1218"/>
  <c r="E144" i="1218"/>
  <c r="D144" i="1218"/>
  <c r="D143" i="1218"/>
  <c r="G142" i="1218"/>
  <c r="F142" i="1218"/>
  <c r="E142" i="1218"/>
  <c r="D142" i="1218"/>
  <c r="C142" i="1218"/>
  <c r="D141" i="1218"/>
  <c r="D140" i="1218"/>
  <c r="D139" i="1218"/>
  <c r="D138" i="1218"/>
  <c r="D137" i="1218"/>
  <c r="D136" i="1218"/>
  <c r="G135" i="1218"/>
  <c r="F135" i="1218"/>
  <c r="E135" i="1218"/>
  <c r="D135" i="1218"/>
  <c r="C135" i="1218"/>
  <c r="D134" i="1218"/>
  <c r="D133" i="1218"/>
  <c r="D132" i="1218"/>
  <c r="G131" i="1218"/>
  <c r="G155" i="1218" s="1"/>
  <c r="F131" i="1218"/>
  <c r="F155" i="1218" s="1"/>
  <c r="E131" i="1218"/>
  <c r="E155" i="1218" s="1"/>
  <c r="D131" i="1218"/>
  <c r="C131" i="1218"/>
  <c r="E129" i="1218"/>
  <c r="D129" i="1218"/>
  <c r="D128" i="1218"/>
  <c r="D127" i="1218"/>
  <c r="D126" i="1218"/>
  <c r="D125" i="1218"/>
  <c r="D124" i="1218"/>
  <c r="D123" i="1218"/>
  <c r="D122" i="1218"/>
  <c r="E121" i="1218"/>
  <c r="D121" i="1218"/>
  <c r="D120" i="1218"/>
  <c r="E119" i="1218"/>
  <c r="D119" i="1218"/>
  <c r="E118" i="1218"/>
  <c r="D118" i="1218"/>
  <c r="E117" i="1218"/>
  <c r="D117" i="1218" s="1"/>
  <c r="D116" i="1218" s="1"/>
  <c r="D130" i="1218" s="1"/>
  <c r="G116" i="1218"/>
  <c r="F116" i="1218"/>
  <c r="E116" i="1218"/>
  <c r="C116" i="1218"/>
  <c r="C130" i="1218" s="1"/>
  <c r="E115" i="1218"/>
  <c r="D115" i="1218"/>
  <c r="E114" i="1218"/>
  <c r="D114" i="1218"/>
  <c r="G113" i="1218"/>
  <c r="E113" i="1218"/>
  <c r="D113" i="1218"/>
  <c r="C113" i="1218"/>
  <c r="E112" i="1218"/>
  <c r="D112" i="1218" s="1"/>
  <c r="D111" i="1218"/>
  <c r="D110" i="1218"/>
  <c r="D109" i="1218"/>
  <c r="D108" i="1218"/>
  <c r="D107" i="1218"/>
  <c r="D106" i="1218"/>
  <c r="D105" i="1218"/>
  <c r="D104" i="1218"/>
  <c r="D103" i="1218"/>
  <c r="D102" i="1218"/>
  <c r="D101" i="1218"/>
  <c r="D100" i="1218" s="1"/>
  <c r="F100" i="1218"/>
  <c r="E100" i="1218"/>
  <c r="E99" i="1218"/>
  <c r="D99" i="1218" s="1"/>
  <c r="E98" i="1218"/>
  <c r="D98" i="1218" s="1"/>
  <c r="E97" i="1218"/>
  <c r="D97" i="1218" s="1"/>
  <c r="E96" i="1218"/>
  <c r="D96" i="1218" s="1"/>
  <c r="D95" i="1218" s="1"/>
  <c r="G95" i="1218"/>
  <c r="G130" i="1218" s="1"/>
  <c r="F95" i="1218"/>
  <c r="F130" i="1218" s="1"/>
  <c r="F156" i="1218" s="1"/>
  <c r="E95" i="1218"/>
  <c r="E130" i="1218" s="1"/>
  <c r="C95" i="1218"/>
  <c r="H93" i="1218"/>
  <c r="D93" i="1218"/>
  <c r="H92" i="1218"/>
  <c r="D87" i="1218"/>
  <c r="D88" i="1218" s="1"/>
  <c r="D86" i="1218"/>
  <c r="D85" i="1218"/>
  <c r="D84" i="1218"/>
  <c r="D83" i="1218"/>
  <c r="D82" i="1218"/>
  <c r="G81" i="1218"/>
  <c r="F81" i="1218"/>
  <c r="E81" i="1218"/>
  <c r="D81" i="1218"/>
  <c r="C81" i="1218"/>
  <c r="C88" i="1218" s="1"/>
  <c r="D80" i="1218"/>
  <c r="D79" i="1218"/>
  <c r="D78" i="1218"/>
  <c r="G77" i="1218"/>
  <c r="F77" i="1218"/>
  <c r="E77" i="1218"/>
  <c r="D77" i="1218"/>
  <c r="C77" i="1218"/>
  <c r="D76" i="1218"/>
  <c r="D75" i="1218"/>
  <c r="G74" i="1218"/>
  <c r="F74" i="1218"/>
  <c r="E74" i="1218"/>
  <c r="D74" i="1218"/>
  <c r="C74" i="1218"/>
  <c r="D73" i="1218"/>
  <c r="D72" i="1218"/>
  <c r="D71" i="1218"/>
  <c r="D70" i="1218"/>
  <c r="G69" i="1218"/>
  <c r="F69" i="1218"/>
  <c r="E69" i="1218"/>
  <c r="D69" i="1218"/>
  <c r="C69" i="1218"/>
  <c r="D68" i="1218"/>
  <c r="D67" i="1218"/>
  <c r="D66" i="1218"/>
  <c r="G65" i="1218"/>
  <c r="G88" i="1218" s="1"/>
  <c r="F65" i="1218"/>
  <c r="F88" i="1218" s="1"/>
  <c r="E65" i="1218"/>
  <c r="E88" i="1218" s="1"/>
  <c r="D65" i="1218"/>
  <c r="C65" i="1218"/>
  <c r="D63" i="1218"/>
  <c r="D62" i="1218"/>
  <c r="D61" i="1218"/>
  <c r="D60" i="1218"/>
  <c r="G59" i="1218"/>
  <c r="F59" i="1218"/>
  <c r="E59" i="1218"/>
  <c r="D59" i="1218"/>
  <c r="C59" i="1218"/>
  <c r="C64" i="1218" s="1"/>
  <c r="C89" i="1218" s="1"/>
  <c r="D58" i="1218"/>
  <c r="E57" i="1218"/>
  <c r="D57" i="1218"/>
  <c r="E56" i="1218"/>
  <c r="D56" i="1218"/>
  <c r="D55" i="1218"/>
  <c r="G54" i="1218"/>
  <c r="F54" i="1218"/>
  <c r="E54" i="1218"/>
  <c r="D54" i="1218"/>
  <c r="C54" i="1218"/>
  <c r="D53" i="1218"/>
  <c r="D52" i="1218"/>
  <c r="E50" i="1218"/>
  <c r="D50" i="1218" s="1"/>
  <c r="D48" i="1218" s="1"/>
  <c r="D49" i="1218"/>
  <c r="G48" i="1218"/>
  <c r="F48" i="1218"/>
  <c r="E48" i="1218"/>
  <c r="C48" i="1218"/>
  <c r="E47" i="1218"/>
  <c r="D47" i="1218" s="1"/>
  <c r="E46" i="1218"/>
  <c r="D46" i="1218"/>
  <c r="D45" i="1218"/>
  <c r="D44" i="1218"/>
  <c r="D43" i="1218"/>
  <c r="E42" i="1218"/>
  <c r="D42" i="1218"/>
  <c r="G41" i="1218"/>
  <c r="D41" i="1218" s="1"/>
  <c r="E40" i="1218"/>
  <c r="D40" i="1218"/>
  <c r="E39" i="1218"/>
  <c r="D39" i="1218"/>
  <c r="E38" i="1218"/>
  <c r="D38" i="1218"/>
  <c r="E37" i="1218"/>
  <c r="D37" i="1218" s="1"/>
  <c r="D36" i="1218" s="1"/>
  <c r="G36" i="1218"/>
  <c r="F36" i="1218"/>
  <c r="E36" i="1218"/>
  <c r="C36" i="1218"/>
  <c r="D35" i="1218"/>
  <c r="D34" i="1218"/>
  <c r="E33" i="1218"/>
  <c r="D33" i="1218" s="1"/>
  <c r="D28" i="1218" s="1"/>
  <c r="D32" i="1218"/>
  <c r="E31" i="1218"/>
  <c r="D31" i="1218"/>
  <c r="E30" i="1218"/>
  <c r="D30" i="1218"/>
  <c r="E29" i="1218"/>
  <c r="D29" i="1218"/>
  <c r="C29" i="1218"/>
  <c r="G28" i="1218"/>
  <c r="F28" i="1218"/>
  <c r="E28" i="1218"/>
  <c r="C28" i="1218"/>
  <c r="D27" i="1218"/>
  <c r="E26" i="1218"/>
  <c r="D26" i="1218" s="1"/>
  <c r="D21" i="1218" s="1"/>
  <c r="D25" i="1218"/>
  <c r="D24" i="1218"/>
  <c r="D23" i="1218"/>
  <c r="D22" i="1218"/>
  <c r="G21" i="1218"/>
  <c r="F21" i="1218"/>
  <c r="E21" i="1218"/>
  <c r="D20" i="1218"/>
  <c r="E19" i="1218"/>
  <c r="D19" i="1218"/>
  <c r="D18" i="1218"/>
  <c r="D17" i="1218"/>
  <c r="D16" i="1218"/>
  <c r="D15" i="1218"/>
  <c r="G14" i="1218"/>
  <c r="F14" i="1218"/>
  <c r="E14" i="1218"/>
  <c r="D14" i="1218"/>
  <c r="D13" i="1218"/>
  <c r="E12" i="1218"/>
  <c r="D12" i="1218" s="1"/>
  <c r="E11" i="1218"/>
  <c r="D11" i="1218"/>
  <c r="E10" i="1218"/>
  <c r="D10" i="1218" s="1"/>
  <c r="D7" i="1218" s="1"/>
  <c r="D9" i="1218"/>
  <c r="D8" i="1218"/>
  <c r="G7" i="1218"/>
  <c r="G64" i="1218" s="1"/>
  <c r="G89" i="1218" s="1"/>
  <c r="F7" i="1218"/>
  <c r="F64" i="1218" s="1"/>
  <c r="F89" i="1218" s="1"/>
  <c r="E7" i="1218"/>
  <c r="E64" i="1218" s="1"/>
  <c r="E89" i="1218" s="1"/>
  <c r="C7" i="1218"/>
  <c r="D22" i="1217"/>
  <c r="D21" i="1217"/>
  <c r="D27" i="1217" s="1"/>
  <c r="D29" i="1217"/>
  <c r="C52" i="1205"/>
  <c r="C49" i="1205"/>
  <c r="C46" i="1205"/>
  <c r="C58" i="1205" s="1"/>
  <c r="C41" i="1205"/>
  <c r="C38" i="1205"/>
  <c r="C31" i="1205"/>
  <c r="C26" i="1205"/>
  <c r="C20" i="1205"/>
  <c r="C19" i="1205"/>
  <c r="C8" i="1205"/>
  <c r="C37" i="1205" s="1"/>
  <c r="C42" i="1205" s="1"/>
  <c r="F61" i="1203"/>
  <c r="F60" i="1203"/>
  <c r="F57" i="1203"/>
  <c r="F56" i="1203"/>
  <c r="F55" i="1203"/>
  <c r="F54" i="1203"/>
  <c r="F53" i="1203"/>
  <c r="C52" i="1203"/>
  <c r="F52" i="1203" s="1"/>
  <c r="C51" i="1203"/>
  <c r="F51" i="1203" s="1"/>
  <c r="F50" i="1203"/>
  <c r="C49" i="1203"/>
  <c r="F49" i="1203" s="1"/>
  <c r="F48" i="1203"/>
  <c r="C41" i="1203"/>
  <c r="F40" i="1203"/>
  <c r="C39" i="1203"/>
  <c r="F39" i="1203" s="1"/>
  <c r="C38" i="1203"/>
  <c r="F38" i="1203" s="1"/>
  <c r="F36" i="1203"/>
  <c r="F35" i="1203"/>
  <c r="F34" i="1203"/>
  <c r="F33" i="1203"/>
  <c r="F32" i="1203"/>
  <c r="C31" i="1203"/>
  <c r="F30" i="1203"/>
  <c r="F29" i="1203"/>
  <c r="F28" i="1203"/>
  <c r="F27" i="1203"/>
  <c r="C26" i="1203"/>
  <c r="F25" i="1203"/>
  <c r="F24" i="1203"/>
  <c r="C23" i="1203"/>
  <c r="F22" i="1203"/>
  <c r="F21" i="1203"/>
  <c r="C19" i="1203"/>
  <c r="F19" i="1203" s="1"/>
  <c r="F18" i="1203"/>
  <c r="F17" i="1203"/>
  <c r="F16" i="1203"/>
  <c r="F15" i="1203"/>
  <c r="C14" i="1203"/>
  <c r="F14" i="1203" s="1"/>
  <c r="F13" i="1203"/>
  <c r="F12" i="1203"/>
  <c r="C11" i="1203"/>
  <c r="F11" i="1203" s="1"/>
  <c r="F10" i="1203"/>
  <c r="F9" i="1203"/>
  <c r="C146" i="1202"/>
  <c r="C140" i="1202"/>
  <c r="C133" i="1202"/>
  <c r="C129" i="1202"/>
  <c r="C154" i="1202" s="1"/>
  <c r="C114" i="1202"/>
  <c r="C110" i="1202"/>
  <c r="C93" i="1202"/>
  <c r="C128" i="1202" s="1"/>
  <c r="C155" i="1202" s="1"/>
  <c r="C82" i="1202"/>
  <c r="C78" i="1202"/>
  <c r="C75" i="1202"/>
  <c r="C70" i="1202"/>
  <c r="C89" i="1202" s="1"/>
  <c r="C66" i="1202"/>
  <c r="C60" i="1202"/>
  <c r="C57" i="1202"/>
  <c r="C55" i="1202" s="1"/>
  <c r="C49" i="1202"/>
  <c r="C43" i="1202"/>
  <c r="C37" i="1202"/>
  <c r="C30" i="1202"/>
  <c r="C29" i="1202"/>
  <c r="C22" i="1202"/>
  <c r="C15" i="1202"/>
  <c r="C8" i="1202"/>
  <c r="C65" i="1202" s="1"/>
  <c r="C90" i="1202" s="1"/>
  <c r="C146" i="1201"/>
  <c r="C140" i="1201"/>
  <c r="C133" i="1201"/>
  <c r="C129" i="1201"/>
  <c r="C154" i="1201" s="1"/>
  <c r="C127" i="1201"/>
  <c r="C119" i="1201"/>
  <c r="C118" i="1201"/>
  <c r="C116" i="1201"/>
  <c r="C114" i="1201"/>
  <c r="D114" i="1200" s="1"/>
  <c r="C111" i="1201"/>
  <c r="D111" i="1200" s="1"/>
  <c r="C105" i="1201"/>
  <c r="C99" i="1201"/>
  <c r="C93" i="1201"/>
  <c r="C82" i="1201"/>
  <c r="C78" i="1201"/>
  <c r="C76" i="1201"/>
  <c r="C75" i="1201" s="1"/>
  <c r="C70" i="1201"/>
  <c r="C66" i="1201"/>
  <c r="C89" i="1201" s="1"/>
  <c r="C60" i="1201"/>
  <c r="C55" i="1201"/>
  <c r="C49" i="1201"/>
  <c r="C48" i="1201"/>
  <c r="C43" i="1201"/>
  <c r="C40" i="1201"/>
  <c r="C39" i="1201"/>
  <c r="C37" i="1201"/>
  <c r="C36" i="1201"/>
  <c r="C35" i="1201"/>
  <c r="C30" i="1201"/>
  <c r="C29" i="1201"/>
  <c r="C28" i="1201"/>
  <c r="C27" i="1201"/>
  <c r="C22" i="1201" s="1"/>
  <c r="C15" i="1201"/>
  <c r="D15" i="1200" s="1"/>
  <c r="F15" i="1200" s="1"/>
  <c r="C8" i="1201"/>
  <c r="D158" i="1200"/>
  <c r="F158" i="1200" s="1"/>
  <c r="D157" i="1200"/>
  <c r="F157" i="1200" s="1"/>
  <c r="D156" i="1200"/>
  <c r="F156" i="1200" s="1"/>
  <c r="F153" i="1200"/>
  <c r="F152" i="1200"/>
  <c r="F151" i="1200"/>
  <c r="F150" i="1200"/>
  <c r="F149" i="1200"/>
  <c r="E148" i="1200"/>
  <c r="F148" i="1200"/>
  <c r="F147" i="1200"/>
  <c r="C146" i="1200"/>
  <c r="E146" i="1200" s="1"/>
  <c r="F145" i="1200"/>
  <c r="F144" i="1200"/>
  <c r="F143" i="1200"/>
  <c r="F142" i="1200"/>
  <c r="F141" i="1200"/>
  <c r="F140" i="1200"/>
  <c r="C140" i="1200"/>
  <c r="E140" i="1200" s="1"/>
  <c r="F139" i="1200"/>
  <c r="F138" i="1200"/>
  <c r="F137" i="1200"/>
  <c r="F136" i="1200"/>
  <c r="F135" i="1200"/>
  <c r="F134" i="1200"/>
  <c r="F133" i="1200"/>
  <c r="C133" i="1200"/>
  <c r="F132" i="1200"/>
  <c r="F131" i="1200"/>
  <c r="F130" i="1200"/>
  <c r="C130" i="1200"/>
  <c r="E130" i="1200" s="1"/>
  <c r="F129" i="1200"/>
  <c r="C129" i="1200"/>
  <c r="C154" i="1200" s="1"/>
  <c r="F127" i="1200"/>
  <c r="C127" i="1200"/>
  <c r="F126" i="1200"/>
  <c r="F125" i="1200"/>
  <c r="F124" i="1200"/>
  <c r="F123" i="1200"/>
  <c r="F122" i="1200"/>
  <c r="F121" i="1200"/>
  <c r="F120" i="1200"/>
  <c r="C119" i="1200"/>
  <c r="C118" i="1200"/>
  <c r="C116" i="1200"/>
  <c r="C114" i="1200"/>
  <c r="C111" i="1200"/>
  <c r="E109" i="1200"/>
  <c r="F109" i="1200"/>
  <c r="F108" i="1200"/>
  <c r="F107" i="1200"/>
  <c r="F106" i="1200"/>
  <c r="C105" i="1200"/>
  <c r="F104" i="1200"/>
  <c r="F103" i="1200"/>
  <c r="F102" i="1200"/>
  <c r="F101" i="1200"/>
  <c r="F100" i="1200"/>
  <c r="F99" i="1200"/>
  <c r="F98" i="1200"/>
  <c r="F97" i="1200"/>
  <c r="F96" i="1200"/>
  <c r="F95" i="1200"/>
  <c r="F94" i="1200"/>
  <c r="C93" i="1200"/>
  <c r="F92" i="1200"/>
  <c r="F91" i="1200"/>
  <c r="F88" i="1200"/>
  <c r="F87" i="1200"/>
  <c r="F86" i="1200"/>
  <c r="F85" i="1200"/>
  <c r="E84" i="1200"/>
  <c r="F83" i="1200"/>
  <c r="F82" i="1200"/>
  <c r="C82" i="1200"/>
  <c r="E81" i="1200"/>
  <c r="F80" i="1200"/>
  <c r="E79" i="1200"/>
  <c r="C78" i="1200"/>
  <c r="F77" i="1200"/>
  <c r="F76" i="1200"/>
  <c r="C76" i="1200"/>
  <c r="F75" i="1200"/>
  <c r="C75" i="1200"/>
  <c r="E74" i="1200"/>
  <c r="F73" i="1200"/>
  <c r="F72" i="1200"/>
  <c r="E71" i="1200"/>
  <c r="F71" i="1200"/>
  <c r="F70" i="1200"/>
  <c r="C70" i="1200"/>
  <c r="F69" i="1200"/>
  <c r="F68" i="1200"/>
  <c r="F67" i="1200"/>
  <c r="C66" i="1200"/>
  <c r="C89" i="1200" s="1"/>
  <c r="F64" i="1200"/>
  <c r="F63" i="1200"/>
  <c r="E62" i="1200"/>
  <c r="F62" i="1200"/>
  <c r="F61" i="1200"/>
  <c r="C60" i="1200"/>
  <c r="E60" i="1200" s="1"/>
  <c r="F59" i="1200"/>
  <c r="F58" i="1200"/>
  <c r="C57" i="1200"/>
  <c r="F56" i="1200"/>
  <c r="F54" i="1200"/>
  <c r="F53" i="1200"/>
  <c r="F52" i="1200"/>
  <c r="F51" i="1200"/>
  <c r="F50" i="1200"/>
  <c r="C49" i="1200"/>
  <c r="C48" i="1200"/>
  <c r="E47" i="1200"/>
  <c r="F47" i="1200"/>
  <c r="F46" i="1200"/>
  <c r="F45" i="1200"/>
  <c r="F44" i="1200"/>
  <c r="C43" i="1200"/>
  <c r="F42" i="1200"/>
  <c r="F41" i="1200"/>
  <c r="C40" i="1200"/>
  <c r="C39" i="1200"/>
  <c r="F38" i="1200"/>
  <c r="F36" i="1200"/>
  <c r="C36" i="1200"/>
  <c r="F35" i="1200"/>
  <c r="C35" i="1200"/>
  <c r="F34" i="1200"/>
  <c r="F33" i="1200"/>
  <c r="F32" i="1200"/>
  <c r="C31" i="1200"/>
  <c r="C30" i="1200"/>
  <c r="C29" i="1200"/>
  <c r="C28" i="1200"/>
  <c r="C27" i="1200"/>
  <c r="F26" i="1200"/>
  <c r="F25" i="1200"/>
  <c r="F24" i="1200"/>
  <c r="F23" i="1200"/>
  <c r="C22" i="1200"/>
  <c r="E21" i="1200"/>
  <c r="F21" i="1200"/>
  <c r="F20" i="1200"/>
  <c r="F19" i="1200"/>
  <c r="F18" i="1200"/>
  <c r="F17" i="1200"/>
  <c r="F16" i="1200"/>
  <c r="C15" i="1200"/>
  <c r="F14" i="1200"/>
  <c r="F10" i="1200"/>
  <c r="F9" i="1200"/>
  <c r="C8" i="1200"/>
  <c r="D34" i="1199"/>
  <c r="F33" i="1199"/>
  <c r="F32" i="1199"/>
  <c r="F31" i="1199"/>
  <c r="F30" i="1199"/>
  <c r="F29" i="1199"/>
  <c r="F28" i="1199"/>
  <c r="F27" i="1199"/>
  <c r="F26" i="1199"/>
  <c r="F25" i="1199"/>
  <c r="F24" i="1199"/>
  <c r="F23" i="1199"/>
  <c r="F22" i="1199"/>
  <c r="F21" i="1199"/>
  <c r="F20" i="1199"/>
  <c r="F19" i="1199"/>
  <c r="F18" i="1199"/>
  <c r="F17" i="1199"/>
  <c r="F14" i="1199"/>
  <c r="F13" i="1199"/>
  <c r="F12" i="1199"/>
  <c r="E11" i="1199"/>
  <c r="B11" i="1199"/>
  <c r="F11" i="1199" s="1"/>
  <c r="F10" i="1199"/>
  <c r="F9" i="1199"/>
  <c r="F8" i="1199"/>
  <c r="F7" i="1199"/>
  <c r="F6" i="1199"/>
  <c r="E5" i="1199"/>
  <c r="E34" i="1199" s="1"/>
  <c r="B5" i="1199"/>
  <c r="B34" i="1199" s="1"/>
  <c r="E30" i="1196"/>
  <c r="C24" i="1196"/>
  <c r="C18" i="1196"/>
  <c r="C30" i="1196" s="1"/>
  <c r="E17" i="1196"/>
  <c r="E32" i="1196" s="1"/>
  <c r="C17" i="1196"/>
  <c r="C32" i="1196" s="1"/>
  <c r="E29" i="1194"/>
  <c r="C24" i="1194"/>
  <c r="C19" i="1194"/>
  <c r="C29" i="1194" s="1"/>
  <c r="E18" i="1194"/>
  <c r="C9" i="1194"/>
  <c r="C18" i="1194" s="1"/>
  <c r="E4" i="1194"/>
  <c r="C152" i="1193"/>
  <c r="C151" i="1193"/>
  <c r="C150" i="1193"/>
  <c r="C149" i="1193"/>
  <c r="C148" i="1193"/>
  <c r="C147" i="1193"/>
  <c r="C146" i="1193"/>
  <c r="F145" i="1193"/>
  <c r="E145" i="1193"/>
  <c r="D145" i="1193"/>
  <c r="C145" i="1193"/>
  <c r="C144" i="1193"/>
  <c r="C143" i="1193"/>
  <c r="C142" i="1193"/>
  <c r="C141" i="1193"/>
  <c r="F140" i="1193"/>
  <c r="E140" i="1193"/>
  <c r="D140" i="1193"/>
  <c r="C140" i="1193"/>
  <c r="C139" i="1193"/>
  <c r="C138" i="1193"/>
  <c r="C137" i="1193"/>
  <c r="C136" i="1193"/>
  <c r="C135" i="1193"/>
  <c r="C134" i="1193"/>
  <c r="F133" i="1193"/>
  <c r="E133" i="1193"/>
  <c r="D133" i="1193"/>
  <c r="C133" i="1193"/>
  <c r="C132" i="1193"/>
  <c r="C131" i="1193"/>
  <c r="C130" i="1193"/>
  <c r="F129" i="1193"/>
  <c r="F153" i="1193" s="1"/>
  <c r="E129" i="1193"/>
  <c r="E153" i="1193" s="1"/>
  <c r="D129" i="1193"/>
  <c r="D153" i="1193" s="1"/>
  <c r="C153" i="1193" s="1"/>
  <c r="C127" i="1193"/>
  <c r="C126" i="1193"/>
  <c r="C125" i="1193"/>
  <c r="C124" i="1193"/>
  <c r="C123" i="1193"/>
  <c r="C122" i="1193"/>
  <c r="C121" i="1193"/>
  <c r="C120" i="1193"/>
  <c r="C119" i="1193"/>
  <c r="C118" i="1193"/>
  <c r="C117" i="1193"/>
  <c r="C116" i="1193"/>
  <c r="F115" i="1193"/>
  <c r="F114" i="1193" s="1"/>
  <c r="C114" i="1193" s="1"/>
  <c r="C115" i="1193"/>
  <c r="E114" i="1193"/>
  <c r="D114" i="1193"/>
  <c r="C113" i="1193"/>
  <c r="C112" i="1193"/>
  <c r="C111" i="1193"/>
  <c r="D110" i="1193"/>
  <c r="C110" i="1193" s="1"/>
  <c r="C109" i="1193"/>
  <c r="C108" i="1193"/>
  <c r="C107" i="1193"/>
  <c r="C106" i="1193"/>
  <c r="C105" i="1193"/>
  <c r="C104" i="1193"/>
  <c r="C103" i="1193"/>
  <c r="C102" i="1193"/>
  <c r="C101" i="1193"/>
  <c r="H101" i="1191" s="1"/>
  <c r="C100" i="1193"/>
  <c r="C99" i="1193"/>
  <c r="H99" i="1191" s="1"/>
  <c r="C98" i="1193"/>
  <c r="C97" i="1193"/>
  <c r="F96" i="1193"/>
  <c r="C96" i="1193"/>
  <c r="F95" i="1193"/>
  <c r="C95" i="1193"/>
  <c r="F94" i="1193"/>
  <c r="F93" i="1193" s="1"/>
  <c r="F128" i="1193" s="1"/>
  <c r="C94" i="1193"/>
  <c r="E93" i="1193"/>
  <c r="E128" i="1193" s="1"/>
  <c r="E154" i="1193" s="1"/>
  <c r="C91" i="1193"/>
  <c r="C85" i="1193"/>
  <c r="C84" i="1193"/>
  <c r="C83" i="1193"/>
  <c r="C82" i="1193"/>
  <c r="C81" i="1193"/>
  <c r="C80" i="1193"/>
  <c r="F79" i="1193"/>
  <c r="E79" i="1193"/>
  <c r="D79" i="1193"/>
  <c r="C79" i="1193" s="1"/>
  <c r="C78" i="1193"/>
  <c r="C77" i="1193"/>
  <c r="C76" i="1193"/>
  <c r="F75" i="1193"/>
  <c r="E75" i="1193"/>
  <c r="D75" i="1193"/>
  <c r="C75" i="1193"/>
  <c r="C74" i="1193"/>
  <c r="C73" i="1193"/>
  <c r="F72" i="1193"/>
  <c r="E72" i="1193"/>
  <c r="D72" i="1193"/>
  <c r="C72" i="1193"/>
  <c r="C71" i="1193"/>
  <c r="C70" i="1193"/>
  <c r="C69" i="1193"/>
  <c r="C68" i="1193"/>
  <c r="F67" i="1193"/>
  <c r="E67" i="1193"/>
  <c r="D67" i="1193"/>
  <c r="C67" i="1193"/>
  <c r="C66" i="1193"/>
  <c r="C65" i="1193"/>
  <c r="C64" i="1193"/>
  <c r="F63" i="1193"/>
  <c r="F86" i="1193" s="1"/>
  <c r="E63" i="1193"/>
  <c r="E86" i="1193" s="1"/>
  <c r="D63" i="1193"/>
  <c r="D86" i="1193" s="1"/>
  <c r="C61" i="1193"/>
  <c r="C60" i="1193"/>
  <c r="C59" i="1193"/>
  <c r="C58" i="1193"/>
  <c r="F57" i="1193"/>
  <c r="E57" i="1193"/>
  <c r="D57" i="1193"/>
  <c r="C57" i="1193" s="1"/>
  <c r="C56" i="1193"/>
  <c r="C55" i="1193"/>
  <c r="H55" i="1191" s="1"/>
  <c r="D54" i="1193"/>
  <c r="C54" i="1193" s="1"/>
  <c r="C53" i="1193"/>
  <c r="F52" i="1193"/>
  <c r="E52" i="1193"/>
  <c r="C51" i="1193"/>
  <c r="C50" i="1193"/>
  <c r="C49" i="1193"/>
  <c r="C48" i="1193"/>
  <c r="C47" i="1193"/>
  <c r="F46" i="1193"/>
  <c r="E46" i="1193"/>
  <c r="D46" i="1193"/>
  <c r="C46" i="1193" s="1"/>
  <c r="D45" i="1193"/>
  <c r="C45" i="1193" s="1"/>
  <c r="C44" i="1193"/>
  <c r="C43" i="1193"/>
  <c r="C42" i="1193"/>
  <c r="C41" i="1193"/>
  <c r="E40" i="1193"/>
  <c r="D40" i="1193"/>
  <c r="C40" i="1193"/>
  <c r="C39" i="1193"/>
  <c r="H39" i="1191" s="1"/>
  <c r="C38" i="1193"/>
  <c r="C37" i="1193"/>
  <c r="E36" i="1193"/>
  <c r="C36" i="1193" s="1"/>
  <c r="C35" i="1193"/>
  <c r="F34" i="1193"/>
  <c r="E34" i="1193"/>
  <c r="C33" i="1193"/>
  <c r="C32" i="1193"/>
  <c r="C31" i="1193"/>
  <c r="C30" i="1193"/>
  <c r="C29" i="1193"/>
  <c r="C28" i="1193"/>
  <c r="F27" i="1193"/>
  <c r="D27" i="1193"/>
  <c r="C27" i="1193" s="1"/>
  <c r="F26" i="1193"/>
  <c r="E26" i="1193"/>
  <c r="D26" i="1193"/>
  <c r="C26" i="1193" s="1"/>
  <c r="C25" i="1193"/>
  <c r="C24" i="1193"/>
  <c r="C23" i="1193"/>
  <c r="C22" i="1193"/>
  <c r="C21" i="1193"/>
  <c r="C20" i="1193"/>
  <c r="F19" i="1193"/>
  <c r="E19" i="1193"/>
  <c r="D19" i="1193"/>
  <c r="C19" i="1193" s="1"/>
  <c r="C18" i="1193"/>
  <c r="C17" i="1193"/>
  <c r="C16" i="1193"/>
  <c r="C15" i="1193"/>
  <c r="C14" i="1193"/>
  <c r="C13" i="1193"/>
  <c r="F12" i="1193"/>
  <c r="E12" i="1193"/>
  <c r="D12" i="1193"/>
  <c r="C12" i="1193"/>
  <c r="C11" i="1193"/>
  <c r="C10" i="1193"/>
  <c r="C9" i="1193"/>
  <c r="C8" i="1193"/>
  <c r="C7" i="1193"/>
  <c r="C6" i="1193"/>
  <c r="F5" i="1193"/>
  <c r="F62" i="1193" s="1"/>
  <c r="F87" i="1193" s="1"/>
  <c r="E5" i="1193"/>
  <c r="E62" i="1193" s="1"/>
  <c r="E87" i="1193" s="1"/>
  <c r="D5" i="1193"/>
  <c r="C152" i="1192"/>
  <c r="C151" i="1192"/>
  <c r="C150" i="1192"/>
  <c r="C149" i="1192"/>
  <c r="C148" i="1192"/>
  <c r="C147" i="1192"/>
  <c r="C146" i="1192"/>
  <c r="F145" i="1192"/>
  <c r="E145" i="1192"/>
  <c r="D145" i="1192"/>
  <c r="C145" i="1192"/>
  <c r="C144" i="1192"/>
  <c r="C143" i="1192"/>
  <c r="C142" i="1192"/>
  <c r="C141" i="1192"/>
  <c r="F140" i="1192"/>
  <c r="E140" i="1192"/>
  <c r="D140" i="1192"/>
  <c r="C140" i="1192" s="1"/>
  <c r="C139" i="1192"/>
  <c r="C138" i="1192"/>
  <c r="C137" i="1192"/>
  <c r="C136" i="1192"/>
  <c r="C135" i="1192"/>
  <c r="C134" i="1192"/>
  <c r="F133" i="1192"/>
  <c r="E133" i="1192"/>
  <c r="D133" i="1192"/>
  <c r="C133" i="1192"/>
  <c r="C132" i="1192"/>
  <c r="C131" i="1192"/>
  <c r="C130" i="1192"/>
  <c r="F129" i="1192"/>
  <c r="F153" i="1192" s="1"/>
  <c r="E129" i="1192"/>
  <c r="E153" i="1192" s="1"/>
  <c r="D129" i="1192"/>
  <c r="D153" i="1192" s="1"/>
  <c r="C153" i="1192" s="1"/>
  <c r="D127" i="1192"/>
  <c r="C127" i="1192" s="1"/>
  <c r="C126" i="1192"/>
  <c r="C125" i="1192"/>
  <c r="C124" i="1192"/>
  <c r="C123" i="1192"/>
  <c r="C122" i="1192"/>
  <c r="C121" i="1192"/>
  <c r="C120" i="1192"/>
  <c r="D119" i="1192"/>
  <c r="C119" i="1192"/>
  <c r="D118" i="1192"/>
  <c r="C118" i="1192"/>
  <c r="C117" i="1192"/>
  <c r="H117" i="1191" s="1"/>
  <c r="D116" i="1192"/>
  <c r="C116" i="1192"/>
  <c r="F115" i="1192"/>
  <c r="C115" i="1192"/>
  <c r="H115" i="1191" s="1"/>
  <c r="F114" i="1192"/>
  <c r="E114" i="1192"/>
  <c r="D114" i="1192"/>
  <c r="C114" i="1192" s="1"/>
  <c r="C113" i="1192"/>
  <c r="H113" i="1191" s="1"/>
  <c r="C112" i="1192"/>
  <c r="H112" i="1191" s="1"/>
  <c r="F111" i="1192"/>
  <c r="C110" i="1192"/>
  <c r="H110" i="1191" s="1"/>
  <c r="C109" i="1192"/>
  <c r="C108" i="1192"/>
  <c r="C107" i="1192"/>
  <c r="C106" i="1192"/>
  <c r="C105" i="1192"/>
  <c r="C104" i="1192"/>
  <c r="C103" i="1192"/>
  <c r="C102" i="1192"/>
  <c r="C101" i="1192"/>
  <c r="C100" i="1192"/>
  <c r="D99" i="1192"/>
  <c r="C99" i="1192"/>
  <c r="C98" i="1192"/>
  <c r="C97" i="1192"/>
  <c r="H97" i="1191" s="1"/>
  <c r="F96" i="1192"/>
  <c r="E96" i="1192"/>
  <c r="C96" i="1192"/>
  <c r="H96" i="1191" s="1"/>
  <c r="F95" i="1192"/>
  <c r="E95" i="1192"/>
  <c r="C95" i="1192"/>
  <c r="H95" i="1191" s="1"/>
  <c r="F94" i="1192"/>
  <c r="E94" i="1192"/>
  <c r="C94" i="1192"/>
  <c r="H94" i="1191" s="1"/>
  <c r="F93" i="1192"/>
  <c r="F128" i="1192" s="1"/>
  <c r="F154" i="1192" s="1"/>
  <c r="E93" i="1192"/>
  <c r="E128" i="1192" s="1"/>
  <c r="E154" i="1192" s="1"/>
  <c r="C91" i="1192"/>
  <c r="C85" i="1192"/>
  <c r="C84" i="1192"/>
  <c r="C83" i="1192"/>
  <c r="C82" i="1192"/>
  <c r="C81" i="1192"/>
  <c r="C80" i="1192"/>
  <c r="F79" i="1192"/>
  <c r="E79" i="1192"/>
  <c r="D79" i="1192"/>
  <c r="C79" i="1192"/>
  <c r="C78" i="1192"/>
  <c r="C77" i="1192"/>
  <c r="C76" i="1192"/>
  <c r="F75" i="1192"/>
  <c r="E75" i="1192"/>
  <c r="D75" i="1192"/>
  <c r="C75" i="1192" s="1"/>
  <c r="C74" i="1192"/>
  <c r="E73" i="1192"/>
  <c r="D73" i="1192"/>
  <c r="C73" i="1192" s="1"/>
  <c r="F72" i="1192"/>
  <c r="E72" i="1192"/>
  <c r="D72" i="1192"/>
  <c r="C72" i="1192" s="1"/>
  <c r="C71" i="1192"/>
  <c r="C70" i="1192"/>
  <c r="C69" i="1192"/>
  <c r="C68" i="1192"/>
  <c r="F67" i="1192"/>
  <c r="E67" i="1192"/>
  <c r="D67" i="1192"/>
  <c r="C67" i="1192" s="1"/>
  <c r="C66" i="1192"/>
  <c r="C65" i="1192"/>
  <c r="C64" i="1192"/>
  <c r="F63" i="1192"/>
  <c r="F86" i="1192" s="1"/>
  <c r="E63" i="1192"/>
  <c r="E86" i="1192" s="1"/>
  <c r="D63" i="1192"/>
  <c r="D86" i="1192" s="1"/>
  <c r="C63" i="1192"/>
  <c r="C61" i="1192"/>
  <c r="C60" i="1192"/>
  <c r="C59" i="1192"/>
  <c r="C58" i="1192"/>
  <c r="F57" i="1192"/>
  <c r="E57" i="1192"/>
  <c r="D57" i="1192"/>
  <c r="C57" i="1192"/>
  <c r="C56" i="1192"/>
  <c r="D55" i="1192"/>
  <c r="C55" i="1192" s="1"/>
  <c r="C54" i="1192"/>
  <c r="C53" i="1192"/>
  <c r="F52" i="1192"/>
  <c r="E52" i="1192"/>
  <c r="D52" i="1192"/>
  <c r="C52" i="1192" s="1"/>
  <c r="C51" i="1192"/>
  <c r="C50" i="1192"/>
  <c r="C49" i="1192"/>
  <c r="C48" i="1192"/>
  <c r="C47" i="1192"/>
  <c r="F46" i="1192"/>
  <c r="E46" i="1192"/>
  <c r="D46" i="1192"/>
  <c r="C46" i="1192"/>
  <c r="D45" i="1192"/>
  <c r="C45" i="1192"/>
  <c r="C44" i="1192"/>
  <c r="C43" i="1192"/>
  <c r="C42" i="1192"/>
  <c r="C41" i="1192"/>
  <c r="E40" i="1192"/>
  <c r="D40" i="1192"/>
  <c r="C40" i="1192" s="1"/>
  <c r="C39" i="1192"/>
  <c r="C38" i="1192"/>
  <c r="D37" i="1192"/>
  <c r="C37" i="1192" s="1"/>
  <c r="E36" i="1192"/>
  <c r="E34" i="1192" s="1"/>
  <c r="D36" i="1192"/>
  <c r="C36" i="1192"/>
  <c r="C35" i="1192"/>
  <c r="F34" i="1192"/>
  <c r="D34" i="1192"/>
  <c r="D33" i="1192"/>
  <c r="C33" i="1192" s="1"/>
  <c r="D32" i="1192"/>
  <c r="C32" i="1192" s="1"/>
  <c r="C31" i="1192"/>
  <c r="C30" i="1192"/>
  <c r="C29" i="1192"/>
  <c r="C28" i="1192"/>
  <c r="D27" i="1192"/>
  <c r="C27" i="1192" s="1"/>
  <c r="F26" i="1192"/>
  <c r="E26" i="1192"/>
  <c r="D26" i="1192"/>
  <c r="C26" i="1192" s="1"/>
  <c r="D25" i="1192"/>
  <c r="C25" i="1192" s="1"/>
  <c r="D24" i="1192"/>
  <c r="C24" i="1192" s="1"/>
  <c r="C23" i="1192"/>
  <c r="C22" i="1192"/>
  <c r="C21" i="1192"/>
  <c r="C20" i="1192"/>
  <c r="F19" i="1192"/>
  <c r="E19" i="1192"/>
  <c r="D19" i="1192"/>
  <c r="C19" i="1192" s="1"/>
  <c r="C18" i="1192"/>
  <c r="E17" i="1192"/>
  <c r="C17" i="1192"/>
  <c r="H17" i="1191" s="1"/>
  <c r="C16" i="1192"/>
  <c r="C15" i="1192"/>
  <c r="C14" i="1192"/>
  <c r="C13" i="1192"/>
  <c r="F12" i="1192"/>
  <c r="E12" i="1192"/>
  <c r="D12" i="1192"/>
  <c r="C12" i="1192" s="1"/>
  <c r="C11" i="1192"/>
  <c r="C10" i="1192"/>
  <c r="C9" i="1192"/>
  <c r="H9" i="1191" s="1"/>
  <c r="C8" i="1192"/>
  <c r="C7" i="1192"/>
  <c r="H7" i="1191" s="1"/>
  <c r="C6" i="1192"/>
  <c r="F5" i="1192"/>
  <c r="F62" i="1192" s="1"/>
  <c r="F87" i="1192" s="1"/>
  <c r="E5" i="1192"/>
  <c r="E62" i="1192" s="1"/>
  <c r="E87" i="1192" s="1"/>
  <c r="D5" i="1192"/>
  <c r="C152" i="1191"/>
  <c r="C151" i="1191"/>
  <c r="C150" i="1191"/>
  <c r="C149" i="1191"/>
  <c r="C148" i="1191"/>
  <c r="C147" i="1191"/>
  <c r="C146" i="1191"/>
  <c r="F145" i="1191"/>
  <c r="E145" i="1191"/>
  <c r="D145" i="1191"/>
  <c r="C145" i="1191" s="1"/>
  <c r="C144" i="1191"/>
  <c r="C143" i="1191"/>
  <c r="C142" i="1191"/>
  <c r="C141" i="1191"/>
  <c r="F140" i="1191"/>
  <c r="E140" i="1191"/>
  <c r="D140" i="1191"/>
  <c r="C140" i="1191" s="1"/>
  <c r="C139" i="1191"/>
  <c r="C138" i="1191"/>
  <c r="C137" i="1191"/>
  <c r="C136" i="1191"/>
  <c r="C135" i="1191"/>
  <c r="C134" i="1191"/>
  <c r="F133" i="1191"/>
  <c r="E133" i="1191"/>
  <c r="D133" i="1191"/>
  <c r="C133" i="1191" s="1"/>
  <c r="C132" i="1191"/>
  <c r="C131" i="1191"/>
  <c r="D130" i="1191"/>
  <c r="C130" i="1191" s="1"/>
  <c r="F129" i="1191"/>
  <c r="F153" i="1191" s="1"/>
  <c r="E129" i="1191"/>
  <c r="E153" i="1191" s="1"/>
  <c r="D129" i="1191"/>
  <c r="D153" i="1191" s="1"/>
  <c r="C153" i="1191" s="1"/>
  <c r="I153" i="1191" s="1"/>
  <c r="D127" i="1191"/>
  <c r="C127" i="1191"/>
  <c r="I127" i="1191" s="1"/>
  <c r="C126" i="1191"/>
  <c r="C125" i="1191"/>
  <c r="C124" i="1191"/>
  <c r="C123" i="1191"/>
  <c r="C122" i="1191"/>
  <c r="C121" i="1191"/>
  <c r="C120" i="1191"/>
  <c r="D119" i="1191"/>
  <c r="C119" i="1191" s="1"/>
  <c r="D118" i="1191"/>
  <c r="C118" i="1191"/>
  <c r="I118" i="1191" s="1"/>
  <c r="C117" i="1191"/>
  <c r="D116" i="1191"/>
  <c r="C116" i="1191"/>
  <c r="I116" i="1191" s="1"/>
  <c r="F115" i="1191"/>
  <c r="C115" i="1191"/>
  <c r="F114" i="1191"/>
  <c r="E114" i="1191"/>
  <c r="D114" i="1191"/>
  <c r="C114" i="1191" s="1"/>
  <c r="C113" i="1191"/>
  <c r="C112" i="1191"/>
  <c r="F111" i="1191"/>
  <c r="D111" i="1191"/>
  <c r="C111" i="1191" s="1"/>
  <c r="C110" i="1191"/>
  <c r="I110" i="1191" s="1"/>
  <c r="C109" i="1191"/>
  <c r="I109" i="1191" s="1"/>
  <c r="C108" i="1191"/>
  <c r="I108" i="1191" s="1"/>
  <c r="C107" i="1191"/>
  <c r="I107" i="1191" s="1"/>
  <c r="C106" i="1191"/>
  <c r="I106" i="1191" s="1"/>
  <c r="C105" i="1191"/>
  <c r="I105" i="1191" s="1"/>
  <c r="C104" i="1191"/>
  <c r="I104" i="1191" s="1"/>
  <c r="C103" i="1191"/>
  <c r="I103" i="1191" s="1"/>
  <c r="C102" i="1191"/>
  <c r="I102" i="1191" s="1"/>
  <c r="C101" i="1191"/>
  <c r="I101" i="1191" s="1"/>
  <c r="C100" i="1191"/>
  <c r="I100" i="1191" s="1"/>
  <c r="C99" i="1191"/>
  <c r="C97" i="1191"/>
  <c r="I97" i="1191" s="1"/>
  <c r="F96" i="1191"/>
  <c r="E96" i="1191"/>
  <c r="C96" i="1191"/>
  <c r="F95" i="1191"/>
  <c r="E95" i="1191"/>
  <c r="C95" i="1191"/>
  <c r="F94" i="1191"/>
  <c r="E94" i="1191"/>
  <c r="C94" i="1191"/>
  <c r="F93" i="1191"/>
  <c r="F128" i="1191" s="1"/>
  <c r="E93" i="1191"/>
  <c r="E128" i="1191" s="1"/>
  <c r="E154" i="1191" s="1"/>
  <c r="C91" i="1191"/>
  <c r="C85" i="1191"/>
  <c r="I85" i="1191" s="1"/>
  <c r="C84" i="1191"/>
  <c r="I84" i="1191" s="1"/>
  <c r="C83" i="1191"/>
  <c r="I83" i="1191" s="1"/>
  <c r="C82" i="1191"/>
  <c r="I82" i="1191" s="1"/>
  <c r="C81" i="1191"/>
  <c r="I81" i="1191" s="1"/>
  <c r="C80" i="1191"/>
  <c r="I80" i="1191" s="1"/>
  <c r="F79" i="1191"/>
  <c r="E79" i="1191"/>
  <c r="D79" i="1191"/>
  <c r="C79" i="1191"/>
  <c r="I79" i="1191" s="1"/>
  <c r="C78" i="1191"/>
  <c r="C77" i="1191"/>
  <c r="C76" i="1191"/>
  <c r="F75" i="1191"/>
  <c r="E75" i="1191"/>
  <c r="D75" i="1191"/>
  <c r="C75" i="1191" s="1"/>
  <c r="C74" i="1191"/>
  <c r="F73" i="1191"/>
  <c r="E73" i="1191"/>
  <c r="D73" i="1191"/>
  <c r="C73" i="1191"/>
  <c r="I73" i="1191" s="1"/>
  <c r="F72" i="1191"/>
  <c r="E72" i="1191"/>
  <c r="D72" i="1191"/>
  <c r="C72" i="1191"/>
  <c r="I72" i="1191" s="1"/>
  <c r="C71" i="1191"/>
  <c r="C70" i="1191"/>
  <c r="C69" i="1191"/>
  <c r="C68" i="1191"/>
  <c r="F67" i="1191"/>
  <c r="E67" i="1191"/>
  <c r="D67" i="1191"/>
  <c r="C67" i="1191"/>
  <c r="I67" i="1191" s="1"/>
  <c r="C66" i="1191"/>
  <c r="I66" i="1191" s="1"/>
  <c r="C65" i="1191"/>
  <c r="I65" i="1191" s="1"/>
  <c r="C64" i="1191"/>
  <c r="I64" i="1191" s="1"/>
  <c r="F63" i="1191"/>
  <c r="F86" i="1191" s="1"/>
  <c r="E63" i="1191"/>
  <c r="E86" i="1191" s="1"/>
  <c r="D63" i="1191"/>
  <c r="D86" i="1191" s="1"/>
  <c r="C86" i="1191" s="1"/>
  <c r="C61" i="1191"/>
  <c r="C60" i="1191"/>
  <c r="C59" i="1191"/>
  <c r="C58" i="1191"/>
  <c r="F57" i="1191"/>
  <c r="E57" i="1191"/>
  <c r="D57" i="1191"/>
  <c r="C57" i="1191" s="1"/>
  <c r="C56" i="1191"/>
  <c r="C55" i="1191"/>
  <c r="D54" i="1191"/>
  <c r="C54" i="1191"/>
  <c r="I54" i="1191" s="1"/>
  <c r="C53" i="1191"/>
  <c r="F52" i="1191"/>
  <c r="E52" i="1191"/>
  <c r="D52" i="1191"/>
  <c r="C52" i="1191" s="1"/>
  <c r="C51" i="1191"/>
  <c r="C50" i="1191"/>
  <c r="C49" i="1191"/>
  <c r="C48" i="1191"/>
  <c r="C47" i="1191"/>
  <c r="F46" i="1191"/>
  <c r="E46" i="1191"/>
  <c r="D46" i="1191"/>
  <c r="C46" i="1191"/>
  <c r="D45" i="1191"/>
  <c r="C45" i="1191"/>
  <c r="I45" i="1191" s="1"/>
  <c r="C44" i="1191"/>
  <c r="C43" i="1191"/>
  <c r="C42" i="1191"/>
  <c r="C41" i="1191"/>
  <c r="F40" i="1191"/>
  <c r="E40" i="1191"/>
  <c r="D40" i="1191"/>
  <c r="C40" i="1191" s="1"/>
  <c r="C39" i="1191"/>
  <c r="C38" i="1191"/>
  <c r="D37" i="1191"/>
  <c r="C37" i="1191" s="1"/>
  <c r="F36" i="1191"/>
  <c r="F34" i="1191" s="1"/>
  <c r="E36" i="1191"/>
  <c r="D36" i="1191"/>
  <c r="C36" i="1191" s="1"/>
  <c r="C35" i="1191"/>
  <c r="E34" i="1191"/>
  <c r="D33" i="1191"/>
  <c r="C33" i="1191"/>
  <c r="I33" i="1191" s="1"/>
  <c r="D32" i="1191"/>
  <c r="C32" i="1191"/>
  <c r="I32" i="1191" s="1"/>
  <c r="C31" i="1191"/>
  <c r="C30" i="1191"/>
  <c r="C29" i="1191"/>
  <c r="D28" i="1191"/>
  <c r="C28" i="1191" s="1"/>
  <c r="D27" i="1191"/>
  <c r="C27" i="1191" s="1"/>
  <c r="F26" i="1191"/>
  <c r="E26" i="1191"/>
  <c r="D26" i="1191"/>
  <c r="C26" i="1191" s="1"/>
  <c r="D25" i="1191"/>
  <c r="C25" i="1191" s="1"/>
  <c r="D24" i="1191"/>
  <c r="C24" i="1191" s="1"/>
  <c r="C23" i="1191"/>
  <c r="C22" i="1191"/>
  <c r="C21" i="1191"/>
  <c r="C20" i="1191"/>
  <c r="F19" i="1191"/>
  <c r="E19" i="1191"/>
  <c r="D19" i="1191"/>
  <c r="C19" i="1191" s="1"/>
  <c r="C18" i="1191"/>
  <c r="E17" i="1191"/>
  <c r="C17" i="1191"/>
  <c r="I17" i="1191" s="1"/>
  <c r="C16" i="1191"/>
  <c r="I16" i="1191" s="1"/>
  <c r="C15" i="1191"/>
  <c r="I15" i="1191" s="1"/>
  <c r="C14" i="1191"/>
  <c r="I14" i="1191" s="1"/>
  <c r="C13" i="1191"/>
  <c r="I13" i="1191" s="1"/>
  <c r="F12" i="1191"/>
  <c r="E12" i="1191"/>
  <c r="D12" i="1191"/>
  <c r="C12" i="1191" s="1"/>
  <c r="C11" i="1191"/>
  <c r="I11" i="1191" s="1"/>
  <c r="C10" i="1191"/>
  <c r="C9" i="1191"/>
  <c r="C8" i="1191"/>
  <c r="C7" i="1191"/>
  <c r="C6" i="1191"/>
  <c r="F5" i="1191"/>
  <c r="E5" i="1191"/>
  <c r="E62" i="1191" s="1"/>
  <c r="E87" i="1191" s="1"/>
  <c r="D5" i="1191"/>
  <c r="C5" i="1191" s="1"/>
  <c r="N53" i="1222" l="1"/>
  <c r="N55" i="1222" s="1"/>
  <c r="B48" i="1219"/>
  <c r="H27" i="1220"/>
  <c r="I27" i="1220"/>
  <c r="E58" i="1203"/>
  <c r="E46" i="1203"/>
  <c r="C128" i="1201"/>
  <c r="D93" i="1200"/>
  <c r="C128" i="1200"/>
  <c r="F93" i="1200"/>
  <c r="C65" i="1201"/>
  <c r="D8" i="1200"/>
  <c r="H114" i="1191"/>
  <c r="H98" i="1191"/>
  <c r="I98" i="1191" s="1"/>
  <c r="I99" i="1191"/>
  <c r="I117" i="1191"/>
  <c r="I115" i="1191"/>
  <c r="I96" i="1191"/>
  <c r="I95" i="1191"/>
  <c r="I94" i="1191"/>
  <c r="I55" i="1191"/>
  <c r="H12" i="1191"/>
  <c r="I12" i="1191" s="1"/>
  <c r="I10" i="1191"/>
  <c r="H10" i="1191"/>
  <c r="I8" i="1191"/>
  <c r="H8" i="1191"/>
  <c r="D62" i="1192"/>
  <c r="C5" i="1192"/>
  <c r="E100" i="1200"/>
  <c r="E138" i="1200"/>
  <c r="F47" i="1203"/>
  <c r="E11" i="1200"/>
  <c r="E12" i="1200"/>
  <c r="E13" i="1200"/>
  <c r="E16" i="1200"/>
  <c r="E26" i="1200"/>
  <c r="E39" i="1200"/>
  <c r="E40" i="1200"/>
  <c r="E42" i="1200"/>
  <c r="E53" i="1200"/>
  <c r="E56" i="1200"/>
  <c r="F78" i="1200"/>
  <c r="E85" i="1200"/>
  <c r="E104" i="1200"/>
  <c r="E123" i="1200"/>
  <c r="E134" i="1200"/>
  <c r="E143" i="1200"/>
  <c r="E152" i="1200"/>
  <c r="E30" i="1194"/>
  <c r="D93" i="1191"/>
  <c r="D128" i="1191" s="1"/>
  <c r="C128" i="1191" s="1"/>
  <c r="I9" i="1191"/>
  <c r="I46" i="1191"/>
  <c r="I6" i="1191"/>
  <c r="I7" i="1191"/>
  <c r="I18" i="1191"/>
  <c r="I19" i="1191"/>
  <c r="I20" i="1191"/>
  <c r="I21" i="1191"/>
  <c r="I22" i="1191"/>
  <c r="I23" i="1191"/>
  <c r="I24" i="1191"/>
  <c r="I25" i="1191"/>
  <c r="I26" i="1191"/>
  <c r="I27" i="1191"/>
  <c r="I28" i="1191"/>
  <c r="I29" i="1191"/>
  <c r="I30" i="1191"/>
  <c r="I31" i="1191"/>
  <c r="I35" i="1191"/>
  <c r="I36" i="1191"/>
  <c r="I37" i="1191"/>
  <c r="I38" i="1191"/>
  <c r="I39" i="1191"/>
  <c r="I40" i="1191"/>
  <c r="I41" i="1191"/>
  <c r="I42" i="1191"/>
  <c r="I43" i="1191"/>
  <c r="I47" i="1191"/>
  <c r="I48" i="1191"/>
  <c r="I49" i="1191"/>
  <c r="I51" i="1191"/>
  <c r="I56" i="1191"/>
  <c r="I57" i="1191"/>
  <c r="I58" i="1191"/>
  <c r="I59" i="1191"/>
  <c r="I60" i="1191"/>
  <c r="I61" i="1191"/>
  <c r="I68" i="1191"/>
  <c r="I69" i="1191"/>
  <c r="I70" i="1191"/>
  <c r="I71" i="1191"/>
  <c r="I74" i="1191"/>
  <c r="I75" i="1191"/>
  <c r="I76" i="1191"/>
  <c r="I77" i="1191"/>
  <c r="I78" i="1191"/>
  <c r="I112" i="1191"/>
  <c r="I113" i="1191"/>
  <c r="I114" i="1191"/>
  <c r="I119" i="1191"/>
  <c r="I120" i="1191"/>
  <c r="I121" i="1191"/>
  <c r="I122" i="1191"/>
  <c r="I123" i="1191"/>
  <c r="I124" i="1191"/>
  <c r="I125" i="1191"/>
  <c r="I126" i="1191"/>
  <c r="I130" i="1191"/>
  <c r="I131" i="1191"/>
  <c r="I132" i="1191"/>
  <c r="I133" i="1191"/>
  <c r="I134" i="1191"/>
  <c r="I135" i="1191"/>
  <c r="I136" i="1191"/>
  <c r="I137" i="1191"/>
  <c r="I138" i="1191"/>
  <c r="I139" i="1191"/>
  <c r="I140" i="1191"/>
  <c r="I141" i="1191"/>
  <c r="I142" i="1191"/>
  <c r="I143" i="1191"/>
  <c r="I144" i="1191"/>
  <c r="I145" i="1191"/>
  <c r="I146" i="1191"/>
  <c r="I147" i="1191"/>
  <c r="I148" i="1191"/>
  <c r="I149" i="1191"/>
  <c r="I150" i="1191"/>
  <c r="I151" i="1191"/>
  <c r="I152" i="1191"/>
  <c r="E10" i="1200"/>
  <c r="E15" i="1200"/>
  <c r="E18" i="1200"/>
  <c r="E20" i="1200"/>
  <c r="E22" i="1200"/>
  <c r="E24" i="1200"/>
  <c r="E27" i="1200"/>
  <c r="E28" i="1200"/>
  <c r="E29" i="1200"/>
  <c r="E30" i="1200"/>
  <c r="E31" i="1200"/>
  <c r="E33" i="1200"/>
  <c r="E35" i="1200"/>
  <c r="E36" i="1200"/>
  <c r="E38" i="1200"/>
  <c r="E43" i="1200"/>
  <c r="E45" i="1200"/>
  <c r="E48" i="1200"/>
  <c r="E49" i="1200"/>
  <c r="E51" i="1200"/>
  <c r="E57" i="1200"/>
  <c r="E59" i="1200"/>
  <c r="E64" i="1200"/>
  <c r="E68" i="1200"/>
  <c r="E70" i="1200"/>
  <c r="E73" i="1200"/>
  <c r="E75" i="1200"/>
  <c r="E77" i="1200"/>
  <c r="F79" i="1200"/>
  <c r="E80" i="1200"/>
  <c r="F81" i="1200"/>
  <c r="E83" i="1200"/>
  <c r="E87" i="1200"/>
  <c r="E94" i="1200"/>
  <c r="E95" i="1200"/>
  <c r="E96" i="1200"/>
  <c r="E97" i="1200"/>
  <c r="E98" i="1200"/>
  <c r="E99" i="1200"/>
  <c r="E102" i="1200"/>
  <c r="E105" i="1200"/>
  <c r="E107" i="1200"/>
  <c r="E110" i="1200"/>
  <c r="E111" i="1200"/>
  <c r="E112" i="1200"/>
  <c r="E113" i="1200"/>
  <c r="E114" i="1200"/>
  <c r="E115" i="1200"/>
  <c r="E116" i="1200"/>
  <c r="E117" i="1200"/>
  <c r="E118" i="1200"/>
  <c r="E119" i="1200"/>
  <c r="E121" i="1200"/>
  <c r="E125" i="1200"/>
  <c r="E127" i="1200"/>
  <c r="E131" i="1200"/>
  <c r="E133" i="1200"/>
  <c r="E136" i="1200"/>
  <c r="E141" i="1200"/>
  <c r="E145" i="1200"/>
  <c r="E150" i="1200"/>
  <c r="F23" i="1203"/>
  <c r="F26" i="1203"/>
  <c r="F31" i="1203"/>
  <c r="F41" i="1203"/>
  <c r="J53" i="1222"/>
  <c r="J55" i="1222" s="1"/>
  <c r="G12" i="1222"/>
  <c r="N27" i="1220"/>
  <c r="C27" i="1220"/>
  <c r="O14" i="1220"/>
  <c r="F27" i="1220"/>
  <c r="L27" i="1220"/>
  <c r="O5" i="1220"/>
  <c r="Q5" i="1220" s="1"/>
  <c r="O9" i="1220"/>
  <c r="Q9" i="1220" s="1"/>
  <c r="O13" i="1220"/>
  <c r="Q13" i="1220" s="1"/>
  <c r="E26" i="1220"/>
  <c r="E27" i="1220" s="1"/>
  <c r="D64" i="1218"/>
  <c r="D89" i="1218" s="1"/>
  <c r="E156" i="1218"/>
  <c r="G156" i="1218"/>
  <c r="D156" i="1218"/>
  <c r="C8" i="1203"/>
  <c r="C20" i="1203"/>
  <c r="F20" i="1203" s="1"/>
  <c r="C46" i="1203"/>
  <c r="C65" i="1200"/>
  <c r="F8" i="1200"/>
  <c r="E9" i="1200"/>
  <c r="F11" i="1200"/>
  <c r="F12" i="1200"/>
  <c r="F13" i="1200"/>
  <c r="E14" i="1200"/>
  <c r="E17" i="1200"/>
  <c r="E19" i="1200"/>
  <c r="F22" i="1200"/>
  <c r="E23" i="1200"/>
  <c r="E25" i="1200"/>
  <c r="F27" i="1200"/>
  <c r="F28" i="1200"/>
  <c r="F29" i="1200"/>
  <c r="F30" i="1200"/>
  <c r="F31" i="1200"/>
  <c r="E32" i="1200"/>
  <c r="E34" i="1200"/>
  <c r="C37" i="1200"/>
  <c r="F39" i="1200"/>
  <c r="F40" i="1200"/>
  <c r="E41" i="1200"/>
  <c r="F43" i="1200"/>
  <c r="E44" i="1200"/>
  <c r="E46" i="1200"/>
  <c r="F48" i="1200"/>
  <c r="F49" i="1200"/>
  <c r="E50" i="1200"/>
  <c r="E52" i="1200"/>
  <c r="E54" i="1200"/>
  <c r="C55" i="1200"/>
  <c r="F57" i="1200"/>
  <c r="E58" i="1200"/>
  <c r="F60" i="1200"/>
  <c r="E61" i="1200"/>
  <c r="E63" i="1200"/>
  <c r="F66" i="1200"/>
  <c r="E67" i="1200"/>
  <c r="E69" i="1200"/>
  <c r="E72" i="1200"/>
  <c r="F74" i="1200"/>
  <c r="E76" i="1200"/>
  <c r="E82" i="1200"/>
  <c r="F84" i="1200"/>
  <c r="F154" i="1200"/>
  <c r="E154" i="1200"/>
  <c r="E8" i="1200"/>
  <c r="F89" i="1200"/>
  <c r="E89" i="1200"/>
  <c r="E66" i="1200"/>
  <c r="E78" i="1200"/>
  <c r="C155" i="1200"/>
  <c r="E86" i="1200"/>
  <c r="E88" i="1200"/>
  <c r="E93" i="1200"/>
  <c r="E101" i="1200"/>
  <c r="E103" i="1200"/>
  <c r="F105" i="1200"/>
  <c r="E106" i="1200"/>
  <c r="E108" i="1200"/>
  <c r="F110" i="1200"/>
  <c r="F111" i="1200"/>
  <c r="F112" i="1200"/>
  <c r="F113" i="1200"/>
  <c r="F114" i="1200"/>
  <c r="F115" i="1200"/>
  <c r="F116" i="1200"/>
  <c r="F117" i="1200"/>
  <c r="F118" i="1200"/>
  <c r="F119" i="1200"/>
  <c r="E120" i="1200"/>
  <c r="E122" i="1200"/>
  <c r="E124" i="1200"/>
  <c r="E126" i="1200"/>
  <c r="E129" i="1200"/>
  <c r="E132" i="1200"/>
  <c r="E135" i="1200"/>
  <c r="E137" i="1200"/>
  <c r="E139" i="1200"/>
  <c r="E142" i="1200"/>
  <c r="E144" i="1200"/>
  <c r="F146" i="1200"/>
  <c r="E147" i="1200"/>
  <c r="E149" i="1200"/>
  <c r="E151" i="1200"/>
  <c r="E153" i="1200"/>
  <c r="F5" i="1199"/>
  <c r="F34" i="1199" s="1"/>
  <c r="C31" i="1196"/>
  <c r="E31" i="1196"/>
  <c r="E31" i="1194"/>
  <c r="C31" i="1194"/>
  <c r="C30" i="1194"/>
  <c r="C86" i="1193"/>
  <c r="C159" i="1193" s="1"/>
  <c r="F154" i="1193"/>
  <c r="C5" i="1193"/>
  <c r="D34" i="1193"/>
  <c r="C34" i="1193" s="1"/>
  <c r="H34" i="1191" s="1"/>
  <c r="D52" i="1193"/>
  <c r="C52" i="1193" s="1"/>
  <c r="H52" i="1191" s="1"/>
  <c r="I52" i="1191" s="1"/>
  <c r="C63" i="1193"/>
  <c r="D93" i="1193"/>
  <c r="C129" i="1193"/>
  <c r="D87" i="1192"/>
  <c r="C87" i="1192" s="1"/>
  <c r="C62" i="1192"/>
  <c r="C34" i="1192"/>
  <c r="C86" i="1192"/>
  <c r="C159" i="1192" s="1"/>
  <c r="D111" i="1192"/>
  <c r="C129" i="1192"/>
  <c r="C159" i="1191"/>
  <c r="I86" i="1191"/>
  <c r="F62" i="1191"/>
  <c r="F87" i="1191" s="1"/>
  <c r="D34" i="1191"/>
  <c r="C34" i="1191" s="1"/>
  <c r="I34" i="1191" s="1"/>
  <c r="I44" i="1191"/>
  <c r="I50" i="1191"/>
  <c r="I53" i="1191"/>
  <c r="F154" i="1191"/>
  <c r="C63" i="1191"/>
  <c r="I63" i="1191" s="1"/>
  <c r="C129" i="1191"/>
  <c r="I129" i="1191" s="1"/>
  <c r="C155" i="1201" l="1"/>
  <c r="D155" i="1200" s="1"/>
  <c r="F155" i="1200" s="1"/>
  <c r="D128" i="1200"/>
  <c r="C90" i="1201"/>
  <c r="D90" i="1200" s="1"/>
  <c r="D65" i="1200"/>
  <c r="E65" i="1200" s="1"/>
  <c r="H5" i="1191"/>
  <c r="I5" i="1191" s="1"/>
  <c r="D154" i="1191"/>
  <c r="C93" i="1191"/>
  <c r="G55" i="1222"/>
  <c r="O53" i="1222"/>
  <c r="Q14" i="1220"/>
  <c r="O26" i="1220"/>
  <c r="Q26" i="1220" s="1"/>
  <c r="C58" i="1203"/>
  <c r="F58" i="1203" s="1"/>
  <c r="F46" i="1203"/>
  <c r="C37" i="1203"/>
  <c r="F8" i="1203"/>
  <c r="F55" i="1200"/>
  <c r="E55" i="1200"/>
  <c r="F37" i="1200"/>
  <c r="E37" i="1200"/>
  <c r="C90" i="1200"/>
  <c r="F65" i="1200"/>
  <c r="E33" i="1196"/>
  <c r="C33" i="1196"/>
  <c r="E32" i="1194"/>
  <c r="C32" i="1194"/>
  <c r="D128" i="1193"/>
  <c r="C93" i="1193"/>
  <c r="D62" i="1193"/>
  <c r="C111" i="1192"/>
  <c r="H111" i="1191" s="1"/>
  <c r="I111" i="1191" s="1"/>
  <c r="D93" i="1192"/>
  <c r="C154" i="1191"/>
  <c r="D62" i="1191"/>
  <c r="E155" i="1200" l="1"/>
  <c r="F128" i="1200"/>
  <c r="E128" i="1200"/>
  <c r="O27" i="1220"/>
  <c r="C42" i="1203"/>
  <c r="F42" i="1203" s="1"/>
  <c r="F37" i="1203"/>
  <c r="F90" i="1200"/>
  <c r="E90" i="1200"/>
  <c r="D87" i="1193"/>
  <c r="C87" i="1193" s="1"/>
  <c r="H87" i="1191" s="1"/>
  <c r="C62" i="1193"/>
  <c r="H62" i="1191" s="1"/>
  <c r="D154" i="1193"/>
  <c r="C154" i="1193" s="1"/>
  <c r="C128" i="1193"/>
  <c r="D128" i="1192"/>
  <c r="C93" i="1192"/>
  <c r="D87" i="1191"/>
  <c r="C87" i="1191" s="1"/>
  <c r="I87" i="1191" s="1"/>
  <c r="C62" i="1191"/>
  <c r="C158" i="1193" l="1"/>
  <c r="D154" i="1192"/>
  <c r="C154" i="1192" s="1"/>
  <c r="C128" i="1192"/>
  <c r="C158" i="1191"/>
  <c r="I62" i="1191"/>
  <c r="C158" i="1192" l="1"/>
  <c r="C145" i="1163"/>
  <c r="C140" i="1163"/>
  <c r="C133" i="1163"/>
  <c r="C129" i="1163"/>
  <c r="C153" i="1163" s="1"/>
  <c r="C114" i="1163"/>
  <c r="C96" i="1163"/>
  <c r="C93" i="1163"/>
  <c r="C91" i="1163"/>
  <c r="C79" i="1163"/>
  <c r="C75" i="1163"/>
  <c r="C72" i="1163"/>
  <c r="C67" i="1163"/>
  <c r="C63" i="1163"/>
  <c r="C86" i="1163" s="1"/>
  <c r="C57" i="1163"/>
  <c r="C52" i="1163"/>
  <c r="C46" i="1163"/>
  <c r="C45" i="1163"/>
  <c r="C34" i="1163"/>
  <c r="C27" i="1163"/>
  <c r="C26" i="1163"/>
  <c r="C19" i="1163"/>
  <c r="C12" i="1163"/>
  <c r="C5" i="1163"/>
  <c r="C62" i="1163" s="1"/>
  <c r="C128" i="1163" l="1"/>
  <c r="H128" i="1191" s="1"/>
  <c r="I128" i="1191" s="1"/>
  <c r="H93" i="1191"/>
  <c r="I93" i="1191" s="1"/>
  <c r="C158" i="1163"/>
  <c r="C87" i="1163"/>
  <c r="C159" i="1163"/>
  <c r="C154" i="1163" l="1"/>
  <c r="H154" i="1191" s="1"/>
  <c r="H159" i="1191" l="1"/>
  <c r="I154" i="1191"/>
</calcChain>
</file>

<file path=xl/sharedStrings.xml><?xml version="1.0" encoding="utf-8"?>
<sst xmlns="http://schemas.openxmlformats.org/spreadsheetml/2006/main" count="4762" uniqueCount="776">
  <si>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</si>
  <si>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</si>
  <si>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</si>
  <si>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</si>
  <si>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</si>
  <si>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</si>
  <si>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</si>
  <si>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</si>
  <si>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</si>
  <si>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</si>
  <si>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</si>
  <si>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</si>
  <si>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</si>
  <si>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</si>
  <si>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</si>
  <si>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</si>
  <si>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</si>
  <si>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</si>
  <si>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</si>
  <si>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</si>
  <si>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</si>
  <si>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</si>
  <si>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</si>
  <si>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</si>
  <si>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</si>
  <si>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</si>
  <si>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</si>
  <si>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</si>
  <si>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</si>
  <si>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</si>
  <si>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</si>
  <si>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</si>
  <si>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</si>
  <si>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</si>
  <si>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</si>
  <si>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</si>
  <si>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</si>
  <si>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</si>
  <si>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</si>
  <si>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</si>
  <si>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</si>
  <si>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</si>
  <si>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</si>
  <si>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</si>
  <si>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</si>
  <si>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</si>
  <si>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</si>
  <si>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</si>
  <si>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</si>
  <si>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</si>
  <si>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</si>
  <si>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</si>
  <si>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</si>
  <si>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</si>
  <si>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</si>
  <si>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</si>
  <si>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</si>
  <si>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</si>
  <si>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</si>
  <si>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</si>
  <si>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</si>
  <si>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</si>
  <si>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</si>
  <si>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</si>
  <si>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</si>
  <si>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</si>
  <si>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</si>
  <si>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</si>
  <si>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</si>
  <si>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</si>
  <si>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</si>
  <si>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</si>
  <si>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</si>
  <si>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</si>
  <si>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</si>
  <si>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</si>
  <si>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</si>
  <si>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</si>
  <si>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</si>
  <si>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</si>
  <si>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</si>
  <si>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</si>
  <si>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</si>
  <si>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</si>
  <si>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</si>
  <si>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</si>
  <si>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</si>
  <si>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</si>
  <si>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</si>
  <si>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</si>
  <si>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</si>
  <si>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</si>
  <si>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</si>
  <si>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</si>
  <si>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</si>
  <si>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</si>
  <si>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</si>
  <si>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</si>
  <si>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</si>
  <si>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</si>
  <si>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</si>
  <si>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</si>
  <si>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</si>
  <si>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</si>
  <si>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</si>
  <si>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</si>
  <si>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</si>
  <si>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</si>
  <si>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</si>
  <si>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</si>
  <si>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</si>
  <si>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</si>
  <si>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</si>
  <si>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</si>
  <si>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</si>
  <si>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</si>
  <si>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</si>
  <si>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</si>
  <si>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</si>
  <si>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</si>
  <si>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</si>
  <si>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</si>
  <si>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</si>
  <si>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</si>
  <si>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</si>
  <si>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</si>
  <si>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</si>
  <si>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</si>
  <si>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</si>
  <si>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</si>
  <si>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</si>
  <si>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</si>
  <si>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</si>
  <si>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</si>
  <si>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</si>
  <si>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</si>
  <si>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</si>
  <si>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</si>
  <si>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</si>
  <si>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</si>
  <si>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</si>
  <si>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</si>
  <si>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</si>
  <si>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</si>
  <si>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</si>
  <si>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</si>
  <si>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</si>
  <si>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</si>
  <si>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</si>
  <si>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</si>
  <si>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</si>
  <si>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</si>
  <si>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</si>
  <si>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</si>
  <si>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</si>
  <si>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</si>
  <si>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</si>
  <si>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</si>
  <si>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</si>
  <si>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</si>
  <si>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</si>
  <si>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</si>
  <si>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</si>
  <si>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</si>
  <si>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</si>
  <si>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</si>
  <si>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</si>
  <si>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</si>
  <si>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</si>
  <si>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</si>
  <si>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</si>
  <si>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</si>
  <si>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</si>
  <si>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</si>
  <si>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</si>
  <si>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</si>
  <si>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</si>
  <si>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</si>
  <si>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</si>
  <si>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</si>
  <si>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</si>
  <si>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</si>
  <si>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</si>
  <si>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</si>
  <si>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</si>
  <si>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</si>
  <si>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</si>
  <si>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</si>
  <si>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</si>
  <si>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</si>
  <si>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</si>
  <si>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</si>
  <si>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</si>
  <si>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</si>
  <si>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</si>
  <si>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</si>
  <si>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</si>
  <si>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</si>
  <si>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</si>
  <si>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</si>
  <si>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</si>
  <si>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</si>
  <si>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</si>
  <si>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</si>
  <si>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</si>
  <si>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</si>
  <si>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</si>
  <si>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</si>
  <si>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</si>
  <si>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</si>
  <si>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</si>
  <si>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</si>
  <si>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</si>
  <si>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</si>
  <si>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</si>
  <si>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</si>
  <si>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</si>
  <si>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</si>
  <si>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</si>
  <si>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</si>
  <si>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</si>
  <si>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</si>
  <si>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</si>
  <si>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</si>
  <si>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</si>
  <si>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</si>
  <si>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</si>
  <si>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</si>
  <si>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</si>
  <si>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</si>
  <si>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</si>
  <si>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</si>
  <si>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</si>
  <si>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</si>
  <si>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</si>
  <si>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</si>
  <si>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</si>
  <si>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</si>
  <si>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</si>
  <si>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</si>
  <si>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</si>
  <si>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</si>
  <si>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</si>
  <si>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</si>
  <si>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</si>
  <si>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</si>
  <si>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</si>
  <si>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</si>
  <si>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</si>
  <si>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</si>
  <si>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</si>
  <si>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</si>
  <si>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</si>
  <si>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</si>
  <si>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</si>
  <si>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</si>
  <si>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</si>
  <si>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</si>
  <si>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</si>
  <si>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</si>
  <si>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</si>
  <si>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</si>
  <si>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</si>
  <si>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</si>
  <si>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</si>
  <si>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</si>
  <si>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</si>
  <si>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</si>
  <si>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</si>
  <si>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</si>
  <si>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</si>
  <si>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</si>
  <si>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</si>
  <si>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</si>
  <si>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</si>
  <si>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</si>
  <si>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</si>
  <si>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</si>
  <si>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</si>
  <si>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</si>
  <si>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</si>
  <si>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</si>
  <si>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</si>
  <si>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</si>
  <si>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</si>
  <si>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</si>
  <si>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</si>
  <si>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</si>
  <si>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</si>
  <si>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</si>
  <si>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</si>
  <si>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</si>
  <si>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</si>
  <si>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</si>
  <si>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</si>
  <si>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</si>
  <si>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</si>
  <si>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</si>
  <si>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</si>
  <si>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</si>
  <si>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</si>
  <si>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</si>
  <si>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</si>
  <si>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</si>
  <si>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</si>
  <si>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</si>
  <si>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</si>
  <si>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</si>
  <si>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</si>
  <si>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</si>
  <si>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</si>
  <si>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</si>
  <si>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</si>
  <si>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</si>
  <si>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</si>
  <si>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</si>
  <si>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</si>
  <si>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</si>
  <si>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</si>
  <si>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</si>
  <si>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</si>
  <si>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</si>
  <si>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</si>
  <si>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</si>
  <si>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</si>
  <si>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</si>
  <si>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</si>
  <si>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</si>
  <si>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</si>
  <si>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</si>
  <si>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</si>
  <si>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</si>
  <si>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</si>
  <si>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</si>
  <si>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</si>
  <si>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</si>
  <si>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</si>
  <si>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</si>
  <si>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</si>
  <si>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</si>
  <si>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</si>
  <si>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</si>
  <si>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</si>
  <si>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</si>
  <si>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</si>
  <si>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</si>
  <si>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</si>
  <si>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</si>
  <si>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</si>
  <si>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</si>
  <si>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</si>
  <si>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</si>
  <si>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</si>
  <si>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</si>
  <si>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</si>
  <si>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</si>
  <si>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</si>
  <si>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</si>
  <si>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</si>
  <si>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</si>
  <si>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</si>
  <si>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</si>
  <si>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</si>
  <si>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</si>
  <si>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</si>
  <si>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</si>
  <si>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</si>
  <si>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</si>
  <si>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</si>
  <si>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</si>
  <si>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</si>
  <si>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</si>
  <si>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</si>
  <si>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</si>
  <si>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</si>
  <si>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</si>
  <si>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</si>
  <si>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</si>
  <si>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</si>
  <si>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</si>
  <si>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</si>
  <si>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</si>
  <si>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</si>
  <si>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</si>
  <si>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</si>
  <si>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</si>
  <si>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</si>
  <si>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</si>
  <si>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</si>
  <si>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</si>
  <si>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</si>
  <si>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</si>
  <si>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</si>
  <si>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</si>
  <si>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</si>
  <si>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</si>
  <si>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</si>
  <si>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</si>
  <si>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</si>
  <si>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</si>
  <si>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</si>
  <si>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</si>
  <si>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</si>
  <si>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</si>
  <si>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</si>
  <si>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</si>
  <si>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</si>
  <si>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</si>
  <si>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</si>
  <si>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</si>
  <si>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</si>
  <si>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</si>
  <si>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</si>
  <si>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</si>
  <si>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</si>
  <si>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</si>
  <si>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</si>
  <si>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</si>
  <si>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</si>
  <si>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</si>
  <si>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</si>
  <si>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</si>
  <si>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</si>
  <si>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</si>
  <si>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</si>
  <si>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</si>
  <si>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</si>
  <si>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</si>
  <si>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</si>
  <si>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</si>
  <si>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</si>
  <si>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</si>
  <si>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</si>
  <si>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</si>
  <si>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</si>
  <si>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</si>
  <si>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</si>
  <si>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</si>
  <si>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</si>
  <si>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</si>
  <si>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</si>
  <si>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</si>
  <si>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</si>
  <si>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</si>
  <si>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</si>
  <si>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</si>
  <si>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</si>
  <si>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</si>
  <si>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</si>
  <si>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</si>
  <si>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</si>
  <si>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</si>
  <si>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</si>
  <si>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</si>
  <si>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</si>
  <si>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</si>
  <si>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</si>
  <si>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</si>
  <si>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</si>
  <si>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</si>
  <si>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</si>
  <si>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</si>
  <si>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</si>
  <si>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</si>
  <si>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</si>
  <si>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</si>
  <si>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</si>
  <si>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</si>
  <si>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</si>
  <si>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</si>
  <si>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</si>
  <si>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</si>
  <si>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</si>
  <si>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</si>
  <si>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</si>
  <si>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</si>
  <si>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</si>
  <si>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</si>
  <si>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</si>
  <si>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</si>
  <si>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</si>
  <si>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</si>
  <si>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</si>
  <si>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</si>
  <si>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</si>
  <si>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</si>
  <si>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</si>
  <si>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</si>
  <si>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</si>
  <si>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</si>
  <si>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</si>
  <si>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</si>
  <si>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</si>
  <si>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</si>
  <si>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</si>
  <si>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</si>
  <si>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</si>
  <si>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</si>
  <si>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</si>
  <si>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</si>
  <si>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</si>
  <si>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</si>
  <si>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</si>
  <si>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</si>
  <si>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</si>
  <si>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</si>
  <si>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</si>
  <si>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</si>
  <si>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</si>
  <si>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</si>
  <si>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</si>
  <si>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</si>
  <si>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</si>
  <si>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</si>
  <si>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</si>
  <si>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</si>
  <si>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</si>
  <si>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</si>
  <si>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</si>
  <si>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</si>
  <si>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</si>
  <si>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</si>
  <si>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</si>
  <si>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</si>
  <si>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</si>
  <si>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</si>
  <si>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</si>
  <si>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</si>
  <si>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</si>
  <si>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</si>
  <si>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</si>
  <si>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</si>
  <si>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</si>
  <si>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</si>
  <si>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</si>
  <si>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</si>
  <si>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</si>
  <si>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</si>
  <si>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</si>
  <si>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</si>
  <si>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</si>
  <si>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</si>
  <si>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</si>
  <si>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</si>
  <si>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</si>
  <si>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</si>
  <si>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</si>
  <si>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</si>
  <si>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</si>
  <si>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</si>
  <si>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</si>
  <si>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</si>
  <si>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</si>
  <si>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</si>
  <si>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</si>
  <si>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</si>
  <si>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</si>
  <si>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</si>
  <si>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</si>
  <si>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</si>
  <si>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</si>
  <si>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</si>
  <si>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</si>
  <si>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</si>
  <si>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</si>
  <si>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</si>
  <si>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</si>
  <si>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</si>
  <si>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</si>
  <si>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</si>
  <si>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</si>
  <si>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</si>
  <si>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</si>
  <si>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</si>
  <si>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</si>
  <si>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</si>
  <si>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</si>
  <si>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</si>
  <si>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</si>
  <si>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</si>
  <si>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</si>
  <si>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</si>
  <si>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</si>
  <si>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</si>
  <si>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</si>
  <si>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</si>
  <si>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</si>
  <si>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</si>
  <si>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</si>
  <si>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</si>
  <si>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</si>
  <si>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</si>
  <si>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</si>
  <si>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</si>
  <si>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</si>
  <si>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</si>
  <si>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</si>
  <si>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</si>
  <si>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</si>
  <si>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</si>
  <si>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</si>
  <si>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</si>
  <si>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</si>
  <si>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</si>
  <si>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</si>
  <si>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</si>
  <si>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</si>
  <si>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</si>
  <si>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</si>
  <si>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</si>
  <si>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</si>
  <si>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</si>
  <si>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</si>
  <si>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</si>
  <si>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</si>
  <si>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</si>
  <si>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</si>
  <si>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</si>
  <si>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</si>
  <si>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</si>
  <si>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</si>
  <si>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</si>
  <si>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</si>
  <si>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</si>
  <si>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Felhasználás
2017. XII.31-ig</t>
  </si>
  <si>
    <t xml:space="preserve">
2018. év utáni szükséglet
</t>
  </si>
  <si>
    <t>2018. év utáni szükséglet
(6=2 - 4 - 5)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</si>
  <si>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</si>
  <si>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</si>
  <si>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</si>
  <si>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</si>
  <si>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</si>
  <si>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</si>
  <si>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</si>
  <si>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</si>
  <si>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</si>
  <si>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</si>
  <si>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</si>
  <si>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</si>
  <si>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</si>
  <si>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</si>
  <si>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</si>
  <si>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</si>
  <si>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</si>
  <si>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</si>
  <si>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</si>
  <si>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</si>
  <si>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</si>
  <si>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</si>
  <si>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</si>
  <si>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</si>
  <si>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Minimanó Óvoda elektromos felúj.+festés+ fűtéskorszerűsítés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</si>
  <si>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</si>
  <si>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</si>
  <si>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</si>
  <si>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</si>
  <si>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</si>
  <si>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</si>
  <si>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</si>
  <si>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</si>
  <si>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</si>
  <si>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</si>
  <si>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</si>
  <si>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</si>
  <si>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</si>
  <si>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</si>
  <si>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</si>
  <si>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</si>
  <si>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</si>
  <si>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</si>
  <si>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</si>
  <si>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</si>
  <si>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</si>
  <si>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</si>
  <si>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</si>
  <si>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</si>
  <si>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</si>
  <si>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</si>
  <si>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</si>
  <si>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</si>
  <si>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</si>
  <si>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</si>
  <si>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</si>
  <si>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</si>
  <si>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</si>
  <si>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</si>
  <si>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</si>
  <si>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</si>
  <si>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</si>
  <si>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</si>
  <si>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</si>
  <si>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</si>
  <si>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</si>
  <si>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</si>
  <si>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</si>
  <si>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</si>
  <si>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</si>
  <si>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</si>
  <si>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</si>
  <si>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</si>
  <si>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</si>
  <si>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</si>
  <si>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</si>
  <si>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</si>
  <si>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</si>
  <si>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</si>
  <si>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</si>
  <si>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</si>
  <si>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</si>
  <si>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</si>
  <si>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</si>
  <si>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</si>
  <si>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</si>
  <si>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</si>
  <si>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</si>
  <si>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</si>
  <si>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Minimanó Óvoda villámhárító felújítása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</si>
  <si>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</si>
  <si>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</si>
  <si>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</si>
  <si>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</si>
  <si>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</si>
  <si>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</si>
  <si>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</si>
  <si>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</si>
  <si>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</si>
  <si>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</si>
  <si>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</si>
  <si>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</si>
  <si>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</si>
  <si>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</si>
  <si>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</si>
  <si>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</si>
  <si>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</si>
  <si>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</si>
  <si>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</si>
  <si>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</si>
  <si>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</si>
  <si>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KEF kis nértékű tárgyi eszköz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</si>
  <si>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</si>
  <si>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</si>
  <si>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</si>
  <si>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</si>
  <si>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</si>
  <si>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</si>
  <si>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</si>
  <si>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</si>
  <si>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ASP támogatás</t>
  </si>
  <si>
    <t>Kulturális ágazati pótlék 1-11hó</t>
  </si>
  <si>
    <t>Óvodai nevelő óktató munkát segítők pótléka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</si>
  <si>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</si>
  <si>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</si>
  <si>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</si>
  <si>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</si>
  <si>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</si>
  <si>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</si>
  <si>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Esély otthon pályázat ingatlan felújítás</t>
  </si>
  <si>
    <t>Egyéb működési kiadás</t>
  </si>
  <si>
    <t>Kornisné Központ rezsi csökkentésre vonatkozó szerződés alapján kiadások</t>
  </si>
  <si>
    <t>Dr. Sveda Brigitta támogatás</t>
  </si>
  <si>
    <t>A gyermekek, fiatalok és családok életm. jav. progr.</t>
  </si>
  <si>
    <t>Szennyvízbekötés (Temető utca)</t>
  </si>
  <si>
    <t>Szennyvízbekötés (Adria utca)</t>
  </si>
  <si>
    <t>- Könyvtári érdekeltségnövelő pályázatból könyvbeszerzés</t>
  </si>
  <si>
    <t>Pályázati önerő: közművelődés: 200 eFt, könyvtári: 0 eFt</t>
  </si>
  <si>
    <t>Könyvtári érdekeltségnövelő támogatás</t>
  </si>
  <si>
    <t>30.</t>
  </si>
  <si>
    <t>Háziorvosi alapellátás</t>
  </si>
  <si>
    <t>- 10 db rendezvénysátor beszerzése</t>
  </si>
  <si>
    <t>- munkaruha beszerzés (kihordási idő &gt; 1 év)</t>
  </si>
  <si>
    <t>Humprey periméter, nyomtató, motoros műszerasztal</t>
  </si>
  <si>
    <t>Vágóhíd út szélesítése és Ifjúság utca részleges felújítása</t>
  </si>
  <si>
    <t>Kabay J. utca 23. mozgáskorlátozott WC kialakítás</t>
  </si>
  <si>
    <t>Család és nővédelmi egészségügyi gondozás</t>
  </si>
  <si>
    <t>Egészségügyi laboratóriumi szolgáltatások</t>
  </si>
  <si>
    <t>Gyepmesteri telep (telekalakítás: 57.800, kút létesítés: 1.830.070)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</si>
</sst>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</numFmts>
  <fonts count="9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2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 CE"/>
      <charset val="238"/>
    </font>
    <font>
      <sz val="8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41" fillId="0" borderId="0"/>
    <xf numFmtId="0" fontId="6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5" fillId="0" borderId="0"/>
    <xf numFmtId="0" fontId="4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105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26" fillId="0" borderId="4" xfId="0" applyFont="1" applyBorder="1" applyAlignment="1" applyProtection="1">
      <alignment horizontal="left" vertical="center" indent="1"/>
      <protection locked="0"/>
    </xf>
    <xf numFmtId="3" fontId="26" fillId="0" borderId="17" xfId="0" applyNumberFormat="1" applyFont="1" applyBorder="1" applyAlignment="1" applyProtection="1">
      <alignment horizontal="right" vertical="center" indent="1"/>
      <protection locked="0"/>
    </xf>
    <xf numFmtId="0" fontId="26" fillId="0" borderId="2" xfId="0" applyFont="1" applyBorder="1" applyAlignment="1" applyProtection="1">
      <alignment horizontal="left" vertical="center" indent="1"/>
      <protection locked="0"/>
    </xf>
    <xf numFmtId="3" fontId="26" fillId="0" borderId="18" xfId="0" applyNumberFormat="1" applyFont="1" applyBorder="1" applyAlignment="1" applyProtection="1">
      <alignment horizontal="right" vertical="center" indent="1"/>
      <protection locked="0"/>
    </xf>
    <xf numFmtId="0" fontId="26" fillId="0" borderId="6" xfId="0" applyFont="1" applyBorder="1" applyAlignment="1" applyProtection="1">
      <alignment horizontal="left" vertical="center" indent="1"/>
      <protection locked="0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5" fillId="0" borderId="0" xfId="0" applyNumberFormat="1" applyFont="1" applyFill="1" applyAlignment="1" applyProtection="1">
      <alignment horizontal="right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4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4" fontId="18" fillId="0" borderId="14" xfId="23" applyNumberFormat="1" applyFont="1" applyFill="1" applyBorder="1" applyAlignment="1" applyProtection="1">
      <alignment vertical="center"/>
    </xf>
    <xf numFmtId="164" fontId="18" fillId="0" borderId="19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4" fontId="18" fillId="0" borderId="14" xfId="23" applyNumberFormat="1" applyFont="1" applyFill="1" applyBorder="1" applyProtection="1"/>
    <xf numFmtId="164" fontId="18" fillId="0" borderId="19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0" fillId="0" borderId="0" xfId="23" applyFont="1" applyFill="1" applyProtection="1">
      <protection locked="0"/>
    </xf>
    <xf numFmtId="0" fontId="21" fillId="0" borderId="0" xfId="23" applyFont="1" applyFill="1" applyProtection="1">
      <protection locked="0"/>
    </xf>
    <xf numFmtId="164" fontId="7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6" fillId="0" borderId="8" xfId="0" applyFont="1" applyBorder="1" applyAlignment="1" applyProtection="1">
      <alignment horizontal="right" vertical="center" indent="1"/>
    </xf>
    <xf numFmtId="164" fontId="13" fillId="8" borderId="27" xfId="0" applyNumberFormat="1" applyFont="1" applyFill="1" applyBorder="1" applyAlignment="1" applyProtection="1">
      <alignment horizontal="left" vertical="center" wrapText="1" indent="2"/>
    </xf>
    <xf numFmtId="3" fontId="28" fillId="0" borderId="19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2" fillId="0" borderId="15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4" fontId="18" fillId="0" borderId="28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21" applyNumberFormat="1" applyFont="1" applyFill="1" applyBorder="1" applyAlignment="1" applyProtection="1">
      <alignment horizontal="right" vertical="center" wrapText="1" indent="1"/>
    </xf>
    <xf numFmtId="164" fontId="6" fillId="0" borderId="0" xfId="21" applyNumberFormat="1" applyFont="1" applyFill="1" applyBorder="1" applyAlignment="1" applyProtection="1">
      <alignment horizontal="right" vertical="center" wrapText="1" indent="1"/>
    </xf>
    <xf numFmtId="164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4" fontId="7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7" fillId="0" borderId="0" xfId="0" applyFont="1" applyFill="1" applyBorder="1" applyAlignment="1" applyProtection="1">
      <alignment horizontal="right"/>
    </xf>
    <xf numFmtId="0" fontId="28" fillId="0" borderId="15" xfId="0" applyFont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4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4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1" applyFont="1" applyFill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0" fontId="41" fillId="0" borderId="0" xfId="18"/>
    <xf numFmtId="0" fontId="13" fillId="0" borderId="0" xfId="18" applyFont="1"/>
    <xf numFmtId="0" fontId="48" fillId="0" borderId="0" xfId="18" applyFont="1" applyAlignment="1">
      <alignment horizontal="centerContinuous"/>
    </xf>
    <xf numFmtId="0" fontId="28" fillId="0" borderId="48" xfId="18" applyFont="1" applyBorder="1" applyAlignment="1">
      <alignment horizontal="center" vertical="center" wrapText="1"/>
    </xf>
    <xf numFmtId="0" fontId="41" fillId="0" borderId="0" xfId="18" applyFont="1"/>
    <xf numFmtId="0" fontId="26" fillId="0" borderId="16" xfId="0" applyFont="1" applyBorder="1" applyAlignment="1" applyProtection="1">
      <alignment horizontal="left" vertical="center" indent="1"/>
      <protection locked="0"/>
    </xf>
    <xf numFmtId="0" fontId="26" fillId="0" borderId="3" xfId="0" applyFont="1" applyBorder="1" applyAlignment="1" applyProtection="1">
      <alignment horizontal="left" vertical="center" inden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164" fontId="33" fillId="0" borderId="2" xfId="0" applyNumberFormat="1" applyFont="1" applyFill="1" applyBorder="1" applyAlignment="1" applyProtection="1">
      <alignment vertical="center" wrapText="1"/>
      <protection locked="0"/>
    </xf>
    <xf numFmtId="49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6" xfId="0" applyNumberFormat="1" applyFont="1" applyFill="1" applyBorder="1" applyAlignment="1" applyProtection="1">
      <alignment vertical="center" wrapText="1"/>
      <protection locked="0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" xfId="23" applyNumberFormat="1" applyFont="1" applyFill="1" applyBorder="1" applyAlignment="1" applyProtection="1">
      <alignment vertical="center"/>
      <protection locked="0"/>
    </xf>
    <xf numFmtId="164" fontId="26" fillId="0" borderId="3" xfId="23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4" fontId="18" fillId="0" borderId="26" xfId="21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5" fontId="41" fillId="0" borderId="0" xfId="18" applyNumberFormat="1" applyFont="1"/>
    <xf numFmtId="0" fontId="44" fillId="0" borderId="0" xfId="0" applyFont="1" applyFill="1"/>
    <xf numFmtId="164" fontId="5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1" applyNumberFormat="1" applyFont="1" applyFill="1" applyBorder="1" applyAlignment="1" applyProtection="1">
      <alignment horizontal="right" vertical="center" wrapText="1" indent="1"/>
    </xf>
    <xf numFmtId="164" fontId="5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23" applyNumberFormat="1" applyFont="1" applyFill="1" applyBorder="1" applyAlignment="1" applyProtection="1">
      <alignment vertical="center"/>
      <protection locked="0"/>
    </xf>
    <xf numFmtId="164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 applyFill="1" applyAlignment="1">
      <alignment vertical="center" wrapText="1"/>
    </xf>
    <xf numFmtId="164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4" fontId="5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2" xfId="18" applyFont="1" applyBorder="1" applyAlignment="1">
      <alignment wrapText="1"/>
    </xf>
    <xf numFmtId="164" fontId="5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2" xfId="18" applyFont="1" applyBorder="1" applyAlignment="1">
      <alignment wrapText="1"/>
    </xf>
    <xf numFmtId="0" fontId="10" fillId="0" borderId="0" xfId="21" applyFill="1"/>
    <xf numFmtId="0" fontId="20" fillId="0" borderId="0" xfId="21" applyFont="1" applyFill="1"/>
    <xf numFmtId="164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4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21" applyNumberFormat="1" applyFont="1" applyFill="1" applyBorder="1" applyAlignment="1" applyProtection="1">
      <alignment horizontal="right" vertical="center" wrapText="1" indent="1"/>
    </xf>
    <xf numFmtId="164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4" fontId="18" fillId="0" borderId="52" xfId="21" applyNumberFormat="1" applyFont="1" applyFill="1" applyBorder="1" applyAlignment="1" applyProtection="1">
      <alignment horizontal="right" vertical="center" wrapText="1" indent="1"/>
    </xf>
    <xf numFmtId="164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164" fontId="26" fillId="0" borderId="3" xfId="0" applyNumberFormat="1" applyFont="1" applyFill="1" applyBorder="1" applyAlignment="1" applyProtection="1">
      <alignment vertical="center" wrapText="1"/>
      <protection locked="0"/>
    </xf>
    <xf numFmtId="164" fontId="3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6" fillId="0" borderId="0" xfId="0" applyNumberFormat="1" applyFont="1" applyFill="1" applyAlignment="1">
      <alignment horizontal="center" vertical="center" wrapText="1"/>
    </xf>
    <xf numFmtId="164" fontId="60" fillId="0" borderId="0" xfId="0" applyNumberFormat="1" applyFont="1" applyFill="1" applyAlignment="1">
      <alignment horizontal="center" vertical="center" wrapText="1"/>
    </xf>
    <xf numFmtId="0" fontId="13" fillId="0" borderId="41" xfId="18" applyFont="1" applyBorder="1" applyAlignment="1">
      <alignment wrapText="1"/>
    </xf>
    <xf numFmtId="0" fontId="41" fillId="0" borderId="56" xfId="18" applyFont="1" applyBorder="1"/>
    <xf numFmtId="3" fontId="28" fillId="0" borderId="57" xfId="18" applyNumberFormat="1" applyFont="1" applyBorder="1" applyAlignment="1">
      <alignment horizontal="center" vertical="center" wrapText="1"/>
    </xf>
    <xf numFmtId="3" fontId="36" fillId="0" borderId="50" xfId="18" applyNumberFormat="1" applyFont="1" applyBorder="1" applyAlignment="1">
      <alignment horizontal="right" indent="2"/>
    </xf>
    <xf numFmtId="0" fontId="28" fillId="0" borderId="58" xfId="18" applyFont="1" applyBorder="1" applyAlignment="1">
      <alignment horizontal="left" vertical="center" wrapText="1"/>
    </xf>
    <xf numFmtId="0" fontId="21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0" fontId="13" fillId="0" borderId="42" xfId="18" applyFont="1" applyBorder="1"/>
    <xf numFmtId="164" fontId="18" fillId="0" borderId="27" xfId="21" applyNumberFormat="1" applyFont="1" applyFill="1" applyBorder="1" applyAlignment="1" applyProtection="1">
      <alignment horizontal="right" vertical="center" wrapText="1" indent="1"/>
    </xf>
    <xf numFmtId="0" fontId="23" fillId="0" borderId="64" xfId="0" applyFont="1" applyBorder="1" applyAlignment="1" applyProtection="1">
      <alignment horizontal="left" wrapText="1" indent="1"/>
    </xf>
    <xf numFmtId="0" fontId="23" fillId="0" borderId="49" xfId="0" applyFont="1" applyBorder="1" applyAlignment="1" applyProtection="1">
      <alignment horizontal="left" wrapText="1" indent="1"/>
    </xf>
    <xf numFmtId="0" fontId="23" fillId="0" borderId="65" xfId="0" applyFont="1" applyBorder="1" applyAlignment="1" applyProtection="1">
      <alignment horizontal="left" wrapText="1" indent="1"/>
    </xf>
    <xf numFmtId="164" fontId="5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21" applyNumberFormat="1" applyFont="1" applyFill="1" applyBorder="1" applyAlignment="1" applyProtection="1">
      <alignment horizontal="right" vertical="center" wrapText="1" indent="1"/>
    </xf>
    <xf numFmtId="164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1" applyNumberFormat="1" applyFont="1" applyFill="1" applyBorder="1" applyAlignment="1" applyProtection="1">
      <alignment horizontal="right" vertical="center" wrapText="1" indent="1"/>
    </xf>
    <xf numFmtId="164" fontId="26" fillId="0" borderId="18" xfId="21" applyNumberFormat="1" applyFont="1" applyFill="1" applyBorder="1" applyAlignment="1" applyProtection="1">
      <alignment horizontal="righ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</xf>
    <xf numFmtId="0" fontId="26" fillId="0" borderId="8" xfId="24" applyFont="1" applyBorder="1" applyAlignment="1">
      <alignment horizontal="left"/>
    </xf>
    <xf numFmtId="0" fontId="18" fillId="0" borderId="67" xfId="21" applyFont="1" applyFill="1" applyBorder="1" applyAlignment="1" applyProtection="1">
      <alignment horizontal="center" vertical="center" wrapTex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</xf>
    <xf numFmtId="164" fontId="20" fillId="0" borderId="23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0" fillId="0" borderId="0" xfId="21" applyNumberFormat="1" applyFill="1" applyProtection="1"/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25" applyFont="1"/>
    <xf numFmtId="0" fontId="41" fillId="0" borderId="0" xfId="25"/>
    <xf numFmtId="0" fontId="47" fillId="0" borderId="0" xfId="25" applyFont="1" applyAlignment="1">
      <alignment horizontal="centerContinuous"/>
    </xf>
    <xf numFmtId="0" fontId="47" fillId="0" borderId="0" xfId="22" applyFont="1" applyAlignment="1">
      <alignment horizontal="centerContinuous"/>
    </xf>
    <xf numFmtId="0" fontId="46" fillId="0" borderId="0" xfId="25" applyFont="1" applyAlignment="1">
      <alignment horizontal="centerContinuous"/>
    </xf>
    <xf numFmtId="0" fontId="46" fillId="0" borderId="0" xfId="22" applyFont="1" applyFill="1" applyAlignment="1">
      <alignment horizontal="centerContinuous"/>
    </xf>
    <xf numFmtId="0" fontId="43" fillId="0" borderId="0" xfId="25" applyFont="1" applyAlignment="1">
      <alignment horizontal="centerContinuous"/>
    </xf>
    <xf numFmtId="0" fontId="54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0" fontId="26" fillId="0" borderId="8" xfId="25" applyFont="1" applyBorder="1" applyAlignment="1">
      <alignment horizontal="left"/>
    </xf>
    <xf numFmtId="0" fontId="41" fillId="0" borderId="0" xfId="25" applyFont="1"/>
    <xf numFmtId="3" fontId="41" fillId="0" borderId="0" xfId="25" applyNumberFormat="1"/>
    <xf numFmtId="0" fontId="57" fillId="0" borderId="0" xfId="25" applyFont="1"/>
    <xf numFmtId="0" fontId="3" fillId="0" borderId="0" xfId="20" applyFont="1"/>
    <xf numFmtId="0" fontId="8" fillId="0" borderId="0" xfId="20" applyFont="1" applyAlignment="1">
      <alignment horizontal="center"/>
    </xf>
    <xf numFmtId="0" fontId="43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1" fillId="0" borderId="0" xfId="19"/>
    <xf numFmtId="0" fontId="20" fillId="0" borderId="0" xfId="19" applyFont="1"/>
    <xf numFmtId="0" fontId="18" fillId="0" borderId="0" xfId="19" applyFont="1"/>
    <xf numFmtId="0" fontId="62" fillId="0" borderId="0" xfId="19" applyFont="1"/>
    <xf numFmtId="0" fontId="13" fillId="0" borderId="0" xfId="19" applyFont="1"/>
    <xf numFmtId="0" fontId="26" fillId="0" borderId="0" xfId="19" applyFont="1"/>
    <xf numFmtId="0" fontId="19" fillId="0" borderId="0" xfId="19" applyFont="1" applyAlignment="1">
      <alignment horizontal="right"/>
    </xf>
    <xf numFmtId="49" fontId="43" fillId="0" borderId="0" xfId="19" applyNumberFormat="1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3" fillId="0" borderId="0" xfId="19" applyFont="1" applyAlignment="1">
      <alignment horizontal="centerContinuous"/>
    </xf>
    <xf numFmtId="0" fontId="50" fillId="0" borderId="0" xfId="19" applyFont="1" applyAlignment="1">
      <alignment horizontal="centerContinuous"/>
    </xf>
    <xf numFmtId="0" fontId="6" fillId="0" borderId="63" xfId="19" applyFont="1" applyBorder="1"/>
    <xf numFmtId="0" fontId="6" fillId="0" borderId="51" xfId="19" applyFont="1" applyBorder="1" applyAlignment="1">
      <alignment horizontal="center"/>
    </xf>
    <xf numFmtId="0" fontId="31" fillId="0" borderId="43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0" fontId="17" fillId="0" borderId="60" xfId="19" applyFont="1" applyBorder="1"/>
    <xf numFmtId="0" fontId="7" fillId="0" borderId="7" xfId="19" applyFont="1" applyBorder="1" applyAlignment="1">
      <alignment horizontal="center"/>
    </xf>
    <xf numFmtId="0" fontId="7" fillId="0" borderId="1" xfId="19" applyFont="1" applyBorder="1" applyAlignment="1">
      <alignment horizontal="center"/>
    </xf>
    <xf numFmtId="0" fontId="7" fillId="0" borderId="40" xfId="19" applyFont="1" applyBorder="1" applyAlignment="1">
      <alignment horizontal="center"/>
    </xf>
    <xf numFmtId="0" fontId="7" fillId="0" borderId="0" xfId="19" applyFont="1" applyBorder="1" applyAlignment="1">
      <alignment horizontal="center"/>
    </xf>
    <xf numFmtId="3" fontId="33" fillId="0" borderId="55" xfId="19" applyNumberFormat="1" applyFont="1" applyBorder="1" applyAlignment="1">
      <alignment horizontal="center"/>
    </xf>
    <xf numFmtId="3" fontId="33" fillId="0" borderId="4" xfId="19" applyNumberFormat="1" applyFont="1" applyBorder="1" applyAlignment="1">
      <alignment horizontal="center"/>
    </xf>
    <xf numFmtId="3" fontId="33" fillId="0" borderId="4" xfId="19" applyNumberFormat="1" applyFont="1" applyBorder="1" applyAlignment="1">
      <alignment horizontal="right"/>
    </xf>
    <xf numFmtId="3" fontId="7" fillId="0" borderId="17" xfId="19" applyNumberFormat="1" applyFont="1" applyBorder="1"/>
    <xf numFmtId="3" fontId="7" fillId="0" borderId="51" xfId="19" applyNumberFormat="1" applyFont="1" applyBorder="1"/>
    <xf numFmtId="3" fontId="33" fillId="0" borderId="11" xfId="19" applyNumberFormat="1" applyFont="1" applyBorder="1" applyAlignment="1">
      <alignment horizontal="right"/>
    </xf>
    <xf numFmtId="3" fontId="33" fillId="0" borderId="4" xfId="19" applyNumberFormat="1" applyFont="1" applyBorder="1" applyAlignment="1"/>
    <xf numFmtId="3" fontId="27" fillId="0" borderId="17" xfId="19" applyNumberFormat="1" applyFont="1" applyBorder="1"/>
    <xf numFmtId="0" fontId="42" fillId="0" borderId="0" xfId="19" applyFont="1"/>
    <xf numFmtId="3" fontId="33" fillId="0" borderId="5" xfId="19" applyNumberFormat="1" applyFont="1" applyBorder="1"/>
    <xf numFmtId="3" fontId="33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3" fillId="0" borderId="8" xfId="19" applyNumberFormat="1" applyFont="1" applyBorder="1"/>
    <xf numFmtId="3" fontId="27" fillId="0" borderId="18" xfId="19" applyNumberFormat="1" applyFont="1" applyBorder="1"/>
    <xf numFmtId="0" fontId="33" fillId="0" borderId="42" xfId="19" applyFont="1" applyBorder="1"/>
    <xf numFmtId="3" fontId="7" fillId="0" borderId="0" xfId="19" applyNumberFormat="1" applyFont="1" applyBorder="1"/>
    <xf numFmtId="3" fontId="33" fillId="0" borderId="2" xfId="19" applyNumberFormat="1" applyFont="1" applyFill="1" applyBorder="1"/>
    <xf numFmtId="3" fontId="7" fillId="0" borderId="49" xfId="19" applyNumberFormat="1" applyFont="1" applyBorder="1"/>
    <xf numFmtId="49" fontId="33" fillId="0" borderId="42" xfId="19" applyNumberFormat="1" applyFont="1" applyBorder="1"/>
    <xf numFmtId="3" fontId="54" fillId="0" borderId="2" xfId="19" applyNumberFormat="1" applyFont="1" applyBorder="1"/>
    <xf numFmtId="3" fontId="54" fillId="0" borderId="5" xfId="19" applyNumberFormat="1" applyFont="1" applyBorder="1"/>
    <xf numFmtId="3" fontId="19" fillId="0" borderId="38" xfId="19" applyNumberFormat="1" applyFont="1" applyBorder="1"/>
    <xf numFmtId="3" fontId="54" fillId="0" borderId="8" xfId="19" applyNumberFormat="1" applyFont="1" applyBorder="1"/>
    <xf numFmtId="49" fontId="54" fillId="0" borderId="42" xfId="19" applyNumberFormat="1" applyFont="1" applyBorder="1"/>
    <xf numFmtId="3" fontId="19" fillId="0" borderId="18" xfId="19" applyNumberFormat="1" applyFont="1" applyBorder="1"/>
    <xf numFmtId="3" fontId="31" fillId="0" borderId="18" xfId="19" applyNumberFormat="1" applyFont="1" applyBorder="1"/>
    <xf numFmtId="3" fontId="33" fillId="0" borderId="73" xfId="19" applyNumberFormat="1" applyFont="1" applyBorder="1"/>
    <xf numFmtId="3" fontId="33" fillId="0" borderId="6" xfId="19" applyNumberFormat="1" applyFont="1" applyBorder="1"/>
    <xf numFmtId="3" fontId="54" fillId="0" borderId="6" xfId="19" applyNumberFormat="1" applyFont="1" applyBorder="1"/>
    <xf numFmtId="3" fontId="27" fillId="0" borderId="23" xfId="19" applyNumberFormat="1" applyFont="1" applyBorder="1"/>
    <xf numFmtId="3" fontId="19" fillId="0" borderId="56" xfId="19" applyNumberFormat="1" applyFont="1" applyBorder="1"/>
    <xf numFmtId="3" fontId="33" fillId="0" borderId="10" xfId="19" applyNumberFormat="1" applyFont="1" applyBorder="1"/>
    <xf numFmtId="3" fontId="33" fillId="0" borderId="73" xfId="19" applyNumberFormat="1" applyFont="1" applyFill="1" applyBorder="1"/>
    <xf numFmtId="3" fontId="33" fillId="0" borderId="6" xfId="19" applyNumberFormat="1" applyFont="1" applyFill="1" applyBorder="1"/>
    <xf numFmtId="0" fontId="7" fillId="0" borderId="41" xfId="19" applyFont="1" applyBorder="1"/>
    <xf numFmtId="3" fontId="7" fillId="0" borderId="55" xfId="19" applyNumberFormat="1" applyFont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0" fontId="17" fillId="0" borderId="42" xfId="19" quotePrefix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27" fillId="0" borderId="2" xfId="19" applyNumberFormat="1" applyFont="1" applyBorder="1"/>
    <xf numFmtId="3" fontId="17" fillId="0" borderId="18" xfId="19" applyNumberFormat="1" applyFont="1" applyBorder="1"/>
    <xf numFmtId="0" fontId="7" fillId="0" borderId="74" xfId="19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4" xfId="19" applyNumberFormat="1" applyFont="1" applyBorder="1"/>
    <xf numFmtId="3" fontId="7" fillId="0" borderId="22" xfId="19" applyNumberFormat="1" applyFont="1" applyBorder="1"/>
    <xf numFmtId="0" fontId="52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2" fillId="0" borderId="0" xfId="19" applyNumberFormat="1" applyFont="1" applyFill="1" applyBorder="1"/>
    <xf numFmtId="3" fontId="52" fillId="0" borderId="0" xfId="19" applyNumberFormat="1" applyFont="1" applyBorder="1"/>
    <xf numFmtId="3" fontId="53" fillId="0" borderId="0" xfId="19" applyNumberFormat="1" applyFont="1" applyBorder="1"/>
    <xf numFmtId="164" fontId="56" fillId="0" borderId="0" xfId="0" applyNumberFormat="1" applyFont="1" applyFill="1" applyAlignment="1">
      <alignment vertical="center" wrapText="1"/>
    </xf>
    <xf numFmtId="164" fontId="51" fillId="0" borderId="17" xfId="0" applyNumberFormat="1" applyFont="1" applyFill="1" applyBorder="1" applyAlignment="1" applyProtection="1">
      <alignment vertical="center" wrapText="1"/>
    </xf>
    <xf numFmtId="164" fontId="51" fillId="0" borderId="18" xfId="0" applyNumberFormat="1" applyFont="1" applyFill="1" applyBorder="1" applyAlignment="1" applyProtection="1">
      <alignment vertical="center" wrapText="1"/>
    </xf>
    <xf numFmtId="164" fontId="2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4" fillId="0" borderId="0" xfId="0" applyFont="1" applyFill="1" applyAlignment="1" applyProtection="1">
      <alignment vertical="center" wrapText="1"/>
    </xf>
    <xf numFmtId="0" fontId="27" fillId="0" borderId="15" xfId="23" applyFont="1" applyFill="1" applyBorder="1" applyAlignment="1" applyProtection="1">
      <alignment horizontal="center" vertical="center" wrapText="1"/>
      <protection locked="0"/>
    </xf>
    <xf numFmtId="0" fontId="27" fillId="0" borderId="16" xfId="23" applyFont="1" applyFill="1" applyBorder="1" applyAlignment="1" applyProtection="1">
      <alignment horizontal="center" vertical="center"/>
      <protection locked="0"/>
    </xf>
    <xf numFmtId="0" fontId="27" fillId="0" borderId="28" xfId="23" applyFont="1" applyFill="1" applyBorder="1" applyAlignment="1" applyProtection="1">
      <alignment horizontal="center" vertical="center"/>
      <protection locked="0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0" fontId="33" fillId="0" borderId="58" xfId="19" applyFont="1" applyBorder="1"/>
    <xf numFmtId="0" fontId="33" fillId="0" borderId="56" xfId="19" applyFont="1" applyBorder="1"/>
    <xf numFmtId="0" fontId="33" fillId="0" borderId="38" xfId="19" applyFont="1" applyBorder="1"/>
    <xf numFmtId="164" fontId="63" fillId="0" borderId="18" xfId="21" applyNumberFormat="1" applyFont="1" applyFill="1" applyBorder="1" applyAlignment="1" applyProtection="1">
      <alignment horizontal="right" vertical="center" wrapText="1" indent="1"/>
    </xf>
    <xf numFmtId="164" fontId="63" fillId="0" borderId="20" xfId="21" applyNumberFormat="1" applyFont="1" applyFill="1" applyBorder="1" applyAlignment="1" applyProtection="1">
      <alignment horizontal="right" vertical="center" wrapText="1" indent="1"/>
    </xf>
    <xf numFmtId="164" fontId="20" fillId="0" borderId="28" xfId="21" applyNumberFormat="1" applyFont="1" applyFill="1" applyBorder="1" applyAlignment="1" applyProtection="1">
      <alignment horizontal="right" vertical="center" wrapText="1" indent="1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0" xfId="0" applyNumberFormat="1" applyFont="1" applyFill="1" applyAlignment="1">
      <alignment vertical="center" wrapText="1"/>
    </xf>
    <xf numFmtId="164" fontId="63" fillId="0" borderId="2" xfId="0" applyNumberFormat="1" applyFont="1" applyFill="1" applyBorder="1" applyAlignment="1" applyProtection="1">
      <alignment vertical="center" wrapText="1"/>
      <protection locked="0"/>
    </xf>
    <xf numFmtId="164" fontId="63" fillId="0" borderId="18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>
      <alignment vertical="center" wrapText="1"/>
    </xf>
    <xf numFmtId="164" fontId="72" fillId="0" borderId="18" xfId="0" applyNumberFormat="1" applyFont="1" applyFill="1" applyBorder="1" applyAlignment="1" applyProtection="1">
      <alignment vertical="center" wrapText="1"/>
    </xf>
    <xf numFmtId="164" fontId="73" fillId="0" borderId="0" xfId="0" applyNumberFormat="1" applyFont="1" applyFill="1" applyAlignment="1">
      <alignment vertical="center" wrapText="1"/>
    </xf>
    <xf numFmtId="164" fontId="74" fillId="0" borderId="0" xfId="0" applyNumberFormat="1" applyFont="1" applyFill="1" applyAlignment="1">
      <alignment vertical="center" wrapText="1"/>
    </xf>
    <xf numFmtId="164" fontId="76" fillId="0" borderId="0" xfId="0" applyNumberFormat="1" applyFont="1" applyFill="1" applyAlignment="1">
      <alignment vertical="center" wrapText="1"/>
    </xf>
    <xf numFmtId="164" fontId="64" fillId="0" borderId="0" xfId="0" applyNumberFormat="1" applyFont="1" applyFill="1" applyAlignment="1">
      <alignment vertical="center" wrapText="1"/>
    </xf>
    <xf numFmtId="164" fontId="26" fillId="0" borderId="4" xfId="0" applyNumberFormat="1" applyFont="1" applyFill="1" applyBorder="1" applyAlignment="1" applyProtection="1">
      <alignment vertical="center" wrapText="1"/>
      <protection locked="0"/>
    </xf>
    <xf numFmtId="49" fontId="2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6" xfId="0" applyNumberFormat="1" applyFont="1" applyFill="1" applyBorder="1" applyAlignment="1" applyProtection="1">
      <alignment vertical="center" wrapText="1"/>
      <protection locked="0"/>
    </xf>
    <xf numFmtId="49" fontId="7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1" xfId="0" applyNumberFormat="1" applyFont="1" applyFill="1" applyBorder="1" applyAlignment="1" applyProtection="1">
      <alignment vertical="center" wrapText="1"/>
      <protection locked="0"/>
    </xf>
    <xf numFmtId="49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0" xfId="0" applyFont="1" applyAlignment="1" applyProtection="1">
      <alignment horizontal="right" vertical="top"/>
    </xf>
    <xf numFmtId="49" fontId="78" fillId="0" borderId="17" xfId="0" applyNumberFormat="1" applyFont="1" applyFill="1" applyBorder="1" applyAlignment="1" applyProtection="1">
      <alignment horizontal="right" vertical="center"/>
    </xf>
    <xf numFmtId="49" fontId="78" fillId="0" borderId="45" xfId="0" applyNumberFormat="1" applyFont="1" applyFill="1" applyBorder="1" applyAlignment="1" applyProtection="1">
      <alignment horizontal="right" vertical="center"/>
    </xf>
    <xf numFmtId="0" fontId="79" fillId="0" borderId="0" xfId="0" applyFont="1" applyFill="1" applyAlignment="1" applyProtection="1">
      <alignment horizontal="right"/>
    </xf>
    <xf numFmtId="0" fontId="78" fillId="0" borderId="28" xfId="0" applyFont="1" applyFill="1" applyBorder="1" applyAlignment="1" applyProtection="1">
      <alignment horizontal="center" vertical="center" wrapText="1"/>
    </xf>
    <xf numFmtId="0" fontId="71" fillId="0" borderId="19" xfId="0" applyFont="1" applyFill="1" applyBorder="1" applyAlignment="1" applyProtection="1">
      <alignment horizontal="center" vertical="center" wrapText="1"/>
    </xf>
    <xf numFmtId="164" fontId="78" fillId="0" borderId="32" xfId="0" applyNumberFormat="1" applyFont="1" applyFill="1" applyBorder="1" applyAlignment="1" applyProtection="1">
      <alignment horizontal="center" vertical="center" wrapText="1"/>
    </xf>
    <xf numFmtId="164" fontId="67" fillId="0" borderId="19" xfId="0" applyNumberFormat="1" applyFont="1" applyFill="1" applyBorder="1" applyAlignment="1" applyProtection="1">
      <alignment horizontal="right" vertical="center" wrapText="1" indent="1"/>
    </xf>
    <xf numFmtId="164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4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3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0" xfId="0" applyFont="1" applyFill="1" applyAlignment="1" applyProtection="1">
      <alignment vertical="center" wrapText="1"/>
    </xf>
    <xf numFmtId="4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8" xfId="0" applyFont="1" applyFill="1" applyBorder="1" applyAlignment="1" applyProtection="1">
      <alignment horizontal="left" vertical="center"/>
    </xf>
    <xf numFmtId="0" fontId="68" fillId="0" borderId="2" xfId="0" applyFont="1" applyFill="1" applyBorder="1" applyAlignment="1" applyProtection="1">
      <alignment vertical="center" wrapText="1"/>
    </xf>
    <xf numFmtId="3" fontId="33" fillId="0" borderId="5" xfId="19" applyNumberFormat="1" applyFont="1" applyFill="1" applyBorder="1"/>
    <xf numFmtId="3" fontId="26" fillId="0" borderId="0" xfId="21" applyNumberFormat="1" applyFont="1" applyFill="1" applyProtection="1"/>
    <xf numFmtId="0" fontId="26" fillId="0" borderId="0" xfId="21" applyFont="1" applyFill="1" applyProtection="1"/>
    <xf numFmtId="3" fontId="25" fillId="0" borderId="27" xfId="21" applyNumberFormat="1" applyFont="1" applyFill="1" applyBorder="1" applyProtection="1"/>
    <xf numFmtId="3" fontId="26" fillId="0" borderId="20" xfId="21" applyNumberFormat="1" applyFont="1" applyFill="1" applyBorder="1" applyProtection="1"/>
    <xf numFmtId="3" fontId="26" fillId="0" borderId="18" xfId="21" applyNumberFormat="1" applyFont="1" applyFill="1" applyBorder="1" applyProtection="1"/>
    <xf numFmtId="3" fontId="26" fillId="0" borderId="23" xfId="21" applyNumberFormat="1" applyFont="1" applyFill="1" applyBorder="1" applyProtection="1"/>
    <xf numFmtId="164" fontId="63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6" fillId="0" borderId="2" xfId="0" applyNumberFormat="1" applyFont="1" applyFill="1" applyBorder="1" applyAlignment="1" applyProtection="1">
      <alignment vertical="center" wrapText="1"/>
    </xf>
    <xf numFmtId="3" fontId="46" fillId="0" borderId="0" xfId="0" applyNumberFormat="1" applyFont="1" applyFill="1" applyAlignment="1" applyProtection="1">
      <alignment vertical="center" wrapText="1"/>
    </xf>
    <xf numFmtId="165" fontId="70" fillId="0" borderId="22" xfId="26" applyNumberFormat="1" applyFont="1" applyFill="1" applyBorder="1" applyAlignment="1" applyProtection="1">
      <alignment horizontal="right" vertical="center" wrapText="1" indent="1"/>
    </xf>
    <xf numFmtId="3" fontId="67" fillId="0" borderId="21" xfId="26" applyNumberFormat="1" applyFont="1" applyBorder="1" applyAlignment="1">
      <alignment horizontal="right"/>
    </xf>
    <xf numFmtId="165" fontId="8" fillId="0" borderId="0" xfId="26" applyNumberFormat="1" applyFont="1" applyAlignment="1">
      <alignment horizontal="center"/>
    </xf>
    <xf numFmtId="165" fontId="13" fillId="0" borderId="0" xfId="26" applyNumberFormat="1" applyFont="1"/>
    <xf numFmtId="165" fontId="3" fillId="0" borderId="0" xfId="26" applyNumberFormat="1" applyFont="1"/>
    <xf numFmtId="165" fontId="43" fillId="0" borderId="0" xfId="26" applyNumberFormat="1" applyFont="1" applyAlignment="1">
      <alignment horizontal="centerContinuous"/>
    </xf>
    <xf numFmtId="165" fontId="8" fillId="0" borderId="0" xfId="26" applyNumberFormat="1" applyFont="1" applyAlignment="1">
      <alignment horizontal="right"/>
    </xf>
    <xf numFmtId="165" fontId="6" fillId="0" borderId="27" xfId="26" applyNumberFormat="1" applyFont="1" applyBorder="1" applyAlignment="1">
      <alignment horizontal="center" vertical="center"/>
    </xf>
    <xf numFmtId="165" fontId="1" fillId="0" borderId="36" xfId="26" applyNumberFormat="1" applyFont="1" applyBorder="1" applyAlignment="1"/>
    <xf numFmtId="165" fontId="13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3" fillId="0" borderId="0" xfId="26" applyNumberFormat="1" applyFont="1" applyBorder="1"/>
    <xf numFmtId="0" fontId="1" fillId="0" borderId="47" xfId="20" applyFont="1" applyBorder="1"/>
    <xf numFmtId="3" fontId="26" fillId="0" borderId="0" xfId="23" applyNumberFormat="1" applyFont="1" applyFill="1" applyProtection="1">
      <protection locked="0"/>
    </xf>
    <xf numFmtId="3" fontId="26" fillId="0" borderId="0" xfId="23" applyNumberFormat="1" applyFont="1" applyFill="1" applyAlignment="1" applyProtection="1">
      <alignment vertical="center"/>
    </xf>
    <xf numFmtId="3" fontId="26" fillId="0" borderId="11" xfId="23" applyNumberFormat="1" applyFont="1" applyFill="1" applyBorder="1" applyAlignment="1" applyProtection="1">
      <alignment vertical="center"/>
    </xf>
    <xf numFmtId="3" fontId="26" fillId="0" borderId="17" xfId="23" applyNumberFormat="1" applyFont="1" applyFill="1" applyBorder="1" applyAlignment="1" applyProtection="1">
      <alignment vertical="center"/>
      <protection locked="0"/>
    </xf>
    <xf numFmtId="164" fontId="25" fillId="0" borderId="18" xfId="23" applyNumberFormat="1" applyFont="1" applyFill="1" applyBorder="1" applyAlignment="1" applyProtection="1">
      <alignment vertical="center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3" fontId="26" fillId="0" borderId="18" xfId="23" applyNumberFormat="1" applyFont="1" applyFill="1" applyBorder="1" applyAlignment="1" applyProtection="1">
      <alignment vertical="center"/>
      <protection locked="0"/>
    </xf>
    <xf numFmtId="3" fontId="26" fillId="0" borderId="10" xfId="23" applyNumberFormat="1" applyFont="1" applyFill="1" applyBorder="1" applyAlignment="1" applyProtection="1">
      <alignment vertical="center"/>
      <protection locked="0"/>
    </xf>
    <xf numFmtId="3" fontId="26" fillId="0" borderId="23" xfId="23" applyNumberFormat="1" applyFont="1" applyFill="1" applyBorder="1" applyAlignment="1" applyProtection="1">
      <alignment vertical="center"/>
      <protection locked="0"/>
    </xf>
    <xf numFmtId="3" fontId="26" fillId="0" borderId="27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  <protection locked="0"/>
    </xf>
    <xf numFmtId="3" fontId="26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4" fontId="26" fillId="0" borderId="4" xfId="23" applyNumberFormat="1" applyFont="1" applyFill="1" applyBorder="1" applyAlignment="1" applyProtection="1">
      <alignment vertical="center"/>
      <protection locked="0"/>
    </xf>
    <xf numFmtId="3" fontId="26" fillId="0" borderId="11" xfId="23" applyNumberFormat="1" applyFont="1" applyFill="1" applyBorder="1" applyAlignment="1" applyProtection="1">
      <alignment vertical="center"/>
      <protection locked="0"/>
    </xf>
    <xf numFmtId="3" fontId="25" fillId="0" borderId="8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26" fillId="0" borderId="2" xfId="0" applyFont="1" applyBorder="1" applyAlignment="1" applyProtection="1">
      <alignment horizontal="left" vertical="center" wrapText="1" indent="1"/>
      <protection locked="0"/>
    </xf>
    <xf numFmtId="0" fontId="1" fillId="0" borderId="42" xfId="19" applyFont="1" applyBorder="1"/>
    <xf numFmtId="164" fontId="75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1" fillId="0" borderId="23" xfId="0" applyNumberFormat="1" applyFont="1" applyFill="1" applyBorder="1" applyAlignment="1" applyProtection="1">
      <alignment vertical="center" wrapText="1"/>
    </xf>
    <xf numFmtId="164" fontId="75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5" fillId="0" borderId="21" xfId="0" applyNumberFormat="1" applyFont="1" applyFill="1" applyBorder="1" applyAlignment="1" applyProtection="1">
      <alignment vertical="center" wrapText="1"/>
      <protection locked="0"/>
    </xf>
    <xf numFmtId="49" fontId="7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1" fillId="0" borderId="22" xfId="0" applyNumberFormat="1" applyFont="1" applyFill="1" applyBorder="1" applyAlignment="1" applyProtection="1">
      <alignment vertical="center" wrapText="1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0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3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26" applyNumberFormat="1" applyFont="1" applyFill="1" applyBorder="1" applyAlignment="1" applyProtection="1">
      <alignment horizontal="right" vertical="center" wrapText="1" indent="1"/>
    </xf>
    <xf numFmtId="0" fontId="83" fillId="0" borderId="0" xfId="0" applyFont="1" applyFill="1" applyAlignment="1" applyProtection="1">
      <alignment vertical="center" wrapText="1"/>
    </xf>
    <xf numFmtId="3" fontId="23" fillId="0" borderId="0" xfId="25" applyNumberFormat="1" applyFont="1"/>
    <xf numFmtId="3" fontId="81" fillId="0" borderId="0" xfId="25" applyNumberFormat="1" applyFont="1"/>
    <xf numFmtId="3" fontId="36" fillId="0" borderId="50" xfId="27" applyNumberFormat="1" applyFont="1" applyBorder="1" applyAlignment="1">
      <alignment horizontal="right" indent="2"/>
    </xf>
    <xf numFmtId="3" fontId="32" fillId="0" borderId="50" xfId="27" applyNumberFormat="1" applyFont="1" applyBorder="1" applyAlignment="1">
      <alignment horizontal="right" indent="2"/>
    </xf>
    <xf numFmtId="3" fontId="84" fillId="0" borderId="50" xfId="27" applyNumberFormat="1" applyFont="1" applyBorder="1" applyAlignment="1">
      <alignment horizontal="right" indent="2"/>
    </xf>
    <xf numFmtId="0" fontId="13" fillId="0" borderId="42" xfId="18" applyFont="1" applyBorder="1" applyAlignment="1">
      <alignment horizontal="left" wrapText="1"/>
    </xf>
    <xf numFmtId="3" fontId="32" fillId="0" borderId="32" xfId="27" applyNumberFormat="1" applyFont="1" applyBorder="1" applyAlignment="1">
      <alignment horizontal="right" indent="2"/>
    </xf>
    <xf numFmtId="3" fontId="36" fillId="0" borderId="36" xfId="27" applyNumberFormat="1" applyFont="1" applyBorder="1" applyAlignment="1">
      <alignment horizontal="right" indent="2"/>
    </xf>
    <xf numFmtId="0" fontId="14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76" fillId="0" borderId="0" xfId="0" applyFont="1" applyFill="1" applyAlignment="1" applyProtection="1">
      <alignment vertical="center" wrapText="1"/>
    </xf>
    <xf numFmtId="0" fontId="0" fillId="11" borderId="0" xfId="0" applyFill="1" applyAlignment="1" applyProtection="1">
      <alignment vertical="center" wrapText="1"/>
    </xf>
    <xf numFmtId="164" fontId="26" fillId="0" borderId="20" xfId="21" applyNumberFormat="1" applyFont="1" applyFill="1" applyBorder="1" applyAlignment="1" applyProtection="1">
      <alignment horizontal="center" vertical="center" wrapText="1"/>
    </xf>
    <xf numFmtId="164" fontId="26" fillId="1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1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21" applyNumberFormat="1" applyFont="1" applyFill="1" applyBorder="1" applyAlignment="1" applyProtection="1">
      <alignment horizontal="center" vertical="center" wrapText="1"/>
    </xf>
    <xf numFmtId="0" fontId="18" fillId="0" borderId="69" xfId="21" applyFont="1" applyFill="1" applyBorder="1" applyAlignment="1" applyProtection="1">
      <alignment vertical="center" wrapText="1"/>
    </xf>
    <xf numFmtId="0" fontId="25" fillId="0" borderId="67" xfId="21" applyFont="1" applyFill="1" applyBorder="1" applyAlignment="1" applyProtection="1">
      <alignment horizontal="left" vertical="center" wrapText="1" indent="1"/>
    </xf>
    <xf numFmtId="164" fontId="25" fillId="0" borderId="40" xfId="21" applyNumberFormat="1" applyFont="1" applyFill="1" applyBorder="1" applyAlignment="1" applyProtection="1">
      <alignment horizontal="center" vertical="center" wrapText="1"/>
    </xf>
    <xf numFmtId="164" fontId="25" fillId="0" borderId="27" xfId="21" applyNumberFormat="1" applyFont="1" applyFill="1" applyBorder="1" applyAlignment="1" applyProtection="1">
      <alignment horizontal="center" vertical="center" wrapText="1"/>
    </xf>
    <xf numFmtId="0" fontId="22" fillId="0" borderId="69" xfId="0" applyFont="1" applyBorder="1" applyAlignment="1" applyProtection="1">
      <alignment horizontal="lef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82" fillId="0" borderId="18" xfId="0" applyNumberFormat="1" applyFont="1" applyFill="1" applyBorder="1" applyAlignment="1" applyProtection="1">
      <alignment vertical="center" wrapText="1"/>
    </xf>
    <xf numFmtId="164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6" xfId="26" applyNumberFormat="1" applyFont="1" applyBorder="1"/>
    <xf numFmtId="0" fontId="1" fillId="0" borderId="36" xfId="20" applyFont="1" applyBorder="1"/>
    <xf numFmtId="165" fontId="21" fillId="0" borderId="29" xfId="26" applyNumberFormat="1" applyFont="1" applyBorder="1"/>
    <xf numFmtId="165" fontId="21" fillId="0" borderId="72" xfId="26" applyNumberFormat="1" applyFont="1" applyBorder="1"/>
    <xf numFmtId="165" fontId="21" fillId="0" borderId="53" xfId="26" applyNumberFormat="1" applyFont="1" applyBorder="1"/>
    <xf numFmtId="165" fontId="21" fillId="0" borderId="34" xfId="26" applyNumberFormat="1" applyFont="1" applyBorder="1"/>
    <xf numFmtId="165" fontId="21" fillId="0" borderId="35" xfId="26" applyNumberFormat="1" applyFont="1" applyBorder="1"/>
    <xf numFmtId="165" fontId="21" fillId="0" borderId="44" xfId="26" applyNumberFormat="1" applyFont="1" applyBorder="1"/>
    <xf numFmtId="165" fontId="28" fillId="0" borderId="44" xfId="26" applyNumberFormat="1" applyFont="1" applyBorder="1"/>
    <xf numFmtId="165" fontId="10" fillId="0" borderId="70" xfId="26" quotePrefix="1" applyNumberFormat="1" applyFont="1" applyBorder="1"/>
    <xf numFmtId="165" fontId="10" fillId="0" borderId="57" xfId="26" quotePrefix="1" applyNumberFormat="1" applyFont="1" applyBorder="1"/>
    <xf numFmtId="165" fontId="10" fillId="0" borderId="57" xfId="26" applyNumberFormat="1" applyFont="1" applyBorder="1"/>
    <xf numFmtId="165" fontId="21" fillId="0" borderId="43" xfId="26" applyNumberFormat="1" applyFont="1" applyBorder="1"/>
    <xf numFmtId="165" fontId="21" fillId="0" borderId="0" xfId="26" applyNumberFormat="1" applyFont="1" applyBorder="1"/>
    <xf numFmtId="165" fontId="21" fillId="0" borderId="48" xfId="26" applyNumberFormat="1" applyFont="1" applyBorder="1"/>
    <xf numFmtId="0" fontId="18" fillId="0" borderId="67" xfId="21" applyFont="1" applyFill="1" applyBorder="1" applyAlignment="1" applyProtection="1">
      <alignment horizontal="left" vertical="center" wrapText="1" indent="1"/>
    </xf>
    <xf numFmtId="0" fontId="23" fillId="0" borderId="49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vertical="center" wrapText="1" indent="1"/>
    </xf>
    <xf numFmtId="0" fontId="24" fillId="0" borderId="67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vertical="center" wrapText="1"/>
    </xf>
    <xf numFmtId="0" fontId="24" fillId="0" borderId="67" xfId="0" applyFont="1" applyBorder="1" applyAlignment="1" applyProtection="1">
      <alignment wrapText="1"/>
    </xf>
    <xf numFmtId="0" fontId="24" fillId="0" borderId="69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8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1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7" xfId="21" applyFont="1" applyFill="1" applyBorder="1" applyAlignment="1" applyProtection="1">
      <alignment horizontal="center" vertical="center" wrapText="1"/>
    </xf>
    <xf numFmtId="0" fontId="28" fillId="0" borderId="38" xfId="18" applyFont="1" applyBorder="1"/>
    <xf numFmtId="0" fontId="28" fillId="0" borderId="41" xfId="18" applyFont="1" applyBorder="1" applyAlignment="1">
      <alignment wrapText="1"/>
    </xf>
    <xf numFmtId="0" fontId="28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5" fontId="49" fillId="0" borderId="27" xfId="18" applyNumberFormat="1" applyFont="1" applyBorder="1" applyAlignment="1">
      <alignment horizontal="center"/>
    </xf>
    <xf numFmtId="0" fontId="20" fillId="0" borderId="49" xfId="21" applyFont="1" applyFill="1" applyBorder="1" applyAlignment="1" applyProtection="1">
      <alignment horizontal="left" indent="6"/>
    </xf>
    <xf numFmtId="1" fontId="18" fillId="0" borderId="67" xfId="21" applyNumberFormat="1" applyFont="1" applyFill="1" applyBorder="1" applyAlignment="1" applyProtection="1">
      <alignment horizontal="right" vertical="center" wrapText="1" indent="1"/>
    </xf>
    <xf numFmtId="1" fontId="18" fillId="0" borderId="19" xfId="21" applyNumberFormat="1" applyFont="1" applyFill="1" applyBorder="1" applyAlignment="1" applyProtection="1">
      <alignment horizontal="right" vertical="center" wrapText="1" indent="1"/>
    </xf>
    <xf numFmtId="1" fontId="18" fillId="0" borderId="44" xfId="21" applyNumberFormat="1" applyFont="1" applyFill="1" applyBorder="1" applyAlignment="1" applyProtection="1">
      <alignment horizontal="right" vertical="center" wrapText="1" indent="1"/>
    </xf>
    <xf numFmtId="1" fontId="23" fillId="0" borderId="58" xfId="27" applyNumberFormat="1" applyFont="1" applyBorder="1" applyAlignment="1" applyProtection="1">
      <alignment horizontal="right" wrapText="1" indent="1"/>
    </xf>
    <xf numFmtId="1" fontId="20" fillId="0" borderId="50" xfId="21" applyNumberFormat="1" applyFont="1" applyFill="1" applyBorder="1" applyAlignment="1" applyProtection="1">
      <alignment horizontal="right" vertical="center" wrapText="1" indent="1"/>
    </xf>
    <xf numFmtId="1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41" xfId="27" applyNumberFormat="1" applyFont="1" applyBorder="1" applyAlignment="1" applyProtection="1">
      <alignment horizontal="right" wrapText="1" indent="1"/>
    </xf>
    <xf numFmtId="1" fontId="26" fillId="0" borderId="36" xfId="21" applyNumberFormat="1" applyFont="1" applyFill="1" applyBorder="1" applyAlignment="1" applyProtection="1">
      <alignment horizontal="right" vertical="center" wrapText="1" indent="1"/>
    </xf>
    <xf numFmtId="1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38" xfId="27" applyNumberFormat="1" applyFont="1" applyBorder="1" applyAlignment="1" applyProtection="1">
      <alignment horizontal="right" wrapText="1" indent="1"/>
    </xf>
    <xf numFmtId="1" fontId="26" fillId="0" borderId="32" xfId="21" applyNumberFormat="1" applyFont="1" applyFill="1" applyBorder="1" applyAlignment="1" applyProtection="1">
      <alignment horizontal="right" vertical="center" wrapText="1" indent="1"/>
    </xf>
    <xf numFmtId="1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7" xfId="27" applyNumberFormat="1" applyFont="1" applyBorder="1" applyAlignment="1" applyProtection="1">
      <alignment horizontal="right" wrapText="1" indent="1"/>
    </xf>
    <xf numFmtId="1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6" xfId="21" applyNumberFormat="1" applyFont="1" applyFill="1" applyBorder="1" applyAlignment="1" applyProtection="1">
      <alignment horizontal="right" vertical="center" wrapText="1" indent="1"/>
    </xf>
    <xf numFmtId="1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2" xfId="21" applyNumberFormat="1" applyFont="1" applyFill="1" applyBorder="1" applyAlignment="1" applyProtection="1">
      <alignment horizontal="right" vertical="center" wrapText="1" indent="1"/>
    </xf>
    <xf numFmtId="1" fontId="25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19" xfId="21" applyNumberFormat="1" applyFont="1" applyFill="1" applyBorder="1" applyAlignment="1" applyProtection="1">
      <alignment horizontal="right" vertical="center" wrapText="1" indent="1"/>
    </xf>
    <xf numFmtId="1" fontId="20" fillId="0" borderId="20" xfId="21" applyNumberFormat="1" applyFont="1" applyFill="1" applyBorder="1" applyAlignment="1" applyProtection="1">
      <alignment horizontal="right" vertical="center" wrapText="1" indent="1"/>
    </xf>
    <xf numFmtId="1" fontId="26" fillId="0" borderId="50" xfId="21" applyNumberFormat="1" applyFont="1" applyFill="1" applyBorder="1" applyAlignment="1" applyProtection="1">
      <alignment horizontal="right" vertical="center" wrapText="1" indent="1"/>
    </xf>
    <xf numFmtId="1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7" xfId="21" applyNumberFormat="1" applyFont="1" applyFill="1" applyBorder="1" applyAlignment="1" applyProtection="1">
      <alignment horizontal="right" vertical="center" wrapText="1" indent="1"/>
    </xf>
    <xf numFmtId="1" fontId="18" fillId="0" borderId="45" xfId="21" applyNumberFormat="1" applyFont="1" applyFill="1" applyBorder="1" applyAlignment="1" applyProtection="1">
      <alignment horizontal="right" vertical="center" wrapText="1" indent="1"/>
    </xf>
    <xf numFmtId="1" fontId="20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27" xfId="21" applyNumberFormat="1" applyFont="1" applyFill="1" applyBorder="1" applyAlignment="1" applyProtection="1">
      <alignment horizontal="right" vertical="center" wrapText="1" indent="1"/>
    </xf>
    <xf numFmtId="1" fontId="23" fillId="0" borderId="27" xfId="27" applyNumberFormat="1" applyFont="1" applyBorder="1" applyAlignment="1" applyProtection="1">
      <alignment horizontal="right" wrapText="1" indent="1"/>
    </xf>
    <xf numFmtId="1" fontId="18" fillId="0" borderId="52" xfId="21" applyNumberFormat="1" applyFont="1" applyFill="1" applyBorder="1" applyAlignment="1" applyProtection="1">
      <alignment horizontal="right" vertical="center" wrapText="1" indent="1"/>
    </xf>
    <xf numFmtId="1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8" xfId="21" applyNumberFormat="1" applyFont="1" applyFill="1" applyBorder="1" applyAlignment="1" applyProtection="1">
      <alignment horizontal="right" vertical="center" wrapText="1" indent="1"/>
    </xf>
    <xf numFmtId="1" fontId="20" fillId="0" borderId="58" xfId="27" applyNumberFormat="1" applyFont="1" applyFill="1" applyBorder="1" applyAlignment="1" applyProtection="1">
      <alignment horizontal="right" wrapText="1" indent="1"/>
    </xf>
    <xf numFmtId="1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42" xfId="27" applyNumberFormat="1" applyFont="1" applyFill="1" applyBorder="1" applyAlignment="1" applyProtection="1">
      <alignment horizontal="right" wrapText="1" indent="1"/>
    </xf>
    <xf numFmtId="1" fontId="20" fillId="0" borderId="56" xfId="27" applyNumberFormat="1" applyFont="1" applyFill="1" applyBorder="1" applyAlignment="1" applyProtection="1">
      <alignment horizontal="right" wrapText="1" indent="1"/>
    </xf>
    <xf numFmtId="1" fontId="20" fillId="0" borderId="56" xfId="27" applyNumberFormat="1" applyFont="1" applyFill="1" applyBorder="1" applyAlignment="1" applyProtection="1">
      <alignment horizontal="right" vertical="center" wrapText="1" indent="1"/>
    </xf>
    <xf numFmtId="1" fontId="20" fillId="0" borderId="42" xfId="27" applyNumberFormat="1" applyFont="1" applyFill="1" applyBorder="1" applyAlignment="1" applyProtection="1">
      <alignment horizontal="right" vertical="center" wrapText="1" indent="1"/>
    </xf>
    <xf numFmtId="1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6" xfId="21" applyNumberFormat="1" applyFont="1" applyFill="1" applyBorder="1" applyAlignment="1" applyProtection="1">
      <alignment horizontal="right" vertical="center" wrapText="1" indent="1"/>
    </xf>
    <xf numFmtId="1" fontId="20" fillId="0" borderId="41" xfId="27" applyNumberFormat="1" applyFont="1" applyFill="1" applyBorder="1" applyAlignment="1" applyProtection="1">
      <alignment horizontal="right" vertical="center" wrapText="1" indent="1"/>
    </xf>
    <xf numFmtId="1" fontId="20" fillId="0" borderId="38" xfId="27" applyNumberFormat="1" applyFont="1" applyFill="1" applyBorder="1" applyAlignment="1" applyProtection="1">
      <alignment horizontal="right" vertical="center" wrapText="1" indent="1"/>
    </xf>
    <xf numFmtId="1" fontId="20" fillId="0" borderId="56" xfId="21" applyNumberFormat="1" applyFont="1" applyFill="1" applyBorder="1" applyAlignment="1" applyProtection="1">
      <alignment horizontal="right" vertical="center" wrapText="1" indent="1"/>
    </xf>
    <xf numFmtId="1" fontId="2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56" xfId="0" applyNumberFormat="1" applyFont="1" applyBorder="1" applyAlignment="1" applyProtection="1">
      <alignment horizontal="right" vertical="center" wrapText="1" indent="1"/>
    </xf>
    <xf numFmtId="1" fontId="23" fillId="0" borderId="42" xfId="0" applyNumberFormat="1" applyFont="1" applyBorder="1" applyAlignment="1" applyProtection="1">
      <alignment horizontal="right" vertical="center" wrapText="1" indent="1"/>
    </xf>
    <xf numFmtId="1" fontId="20" fillId="0" borderId="41" xfId="21" applyNumberFormat="1" applyFont="1" applyFill="1" applyBorder="1" applyAlignment="1" applyProtection="1">
      <alignment horizontal="right" vertical="center" wrapText="1" indent="1"/>
    </xf>
    <xf numFmtId="1" fontId="20" fillId="0" borderId="38" xfId="21" applyNumberFormat="1" applyFont="1" applyFill="1" applyBorder="1" applyAlignment="1" applyProtection="1">
      <alignment horizontal="right" vertical="center" wrapText="1" indent="1"/>
    </xf>
    <xf numFmtId="1" fontId="24" fillId="0" borderId="44" xfId="0" applyNumberFormat="1" applyFont="1" applyBorder="1" applyAlignment="1" applyProtection="1">
      <alignment horizontal="right" vertical="center" wrapText="1" indent="1"/>
    </xf>
    <xf numFmtId="1" fontId="24" fillId="0" borderId="19" xfId="0" applyNumberFormat="1" applyFont="1" applyBorder="1" applyAlignment="1" applyProtection="1">
      <alignment horizontal="right" vertical="center" wrapText="1" indent="1"/>
    </xf>
    <xf numFmtId="1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" fontId="22" fillId="0" borderId="44" xfId="0" quotePrefix="1" applyNumberFormat="1" applyFont="1" applyBorder="1" applyAlignment="1" applyProtection="1">
      <alignment horizontal="right" vertical="center" wrapText="1" indent="1"/>
    </xf>
    <xf numFmtId="1" fontId="22" fillId="0" borderId="19" xfId="0" quotePrefix="1" applyNumberFormat="1" applyFont="1" applyBorder="1" applyAlignment="1" applyProtection="1">
      <alignment horizontal="right" vertical="center" wrapText="1" indent="1"/>
    </xf>
    <xf numFmtId="1" fontId="31" fillId="0" borderId="24" xfId="21" applyNumberFormat="1" applyFont="1" applyFill="1" applyBorder="1" applyAlignment="1" applyProtection="1">
      <alignment horizontal="right" vertical="center" indent="1"/>
    </xf>
    <xf numFmtId="1" fontId="31" fillId="0" borderId="0" xfId="21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Fill="1" applyBorder="1" applyAlignment="1" applyProtection="1">
      <alignment horizontal="right" vertical="center" indent="1"/>
    </xf>
    <xf numFmtId="1" fontId="7" fillId="0" borderId="14" xfId="21" applyNumberFormat="1" applyFont="1" applyFill="1" applyBorder="1" applyAlignment="1" applyProtection="1">
      <alignment horizontal="right" vertical="center" wrapText="1" indent="1"/>
    </xf>
    <xf numFmtId="1" fontId="7" fillId="0" borderId="67" xfId="21" applyNumberFormat="1" applyFont="1" applyFill="1" applyBorder="1" applyAlignment="1" applyProtection="1">
      <alignment horizontal="right" vertical="center" wrapText="1" indent="1"/>
    </xf>
    <xf numFmtId="1" fontId="7" fillId="0" borderId="19" xfId="21" applyNumberFormat="1" applyFont="1" applyFill="1" applyBorder="1" applyAlignment="1" applyProtection="1">
      <alignment horizontal="right" vertical="center" wrapText="1" indent="1"/>
    </xf>
    <xf numFmtId="1" fontId="18" fillId="0" borderId="62" xfId="21" applyNumberFormat="1" applyFont="1" applyFill="1" applyBorder="1" applyAlignment="1" applyProtection="1">
      <alignment horizontal="right" vertical="center" wrapText="1" indent="1"/>
    </xf>
    <xf numFmtId="1" fontId="6" fillId="0" borderId="51" xfId="21" applyNumberFormat="1" applyFont="1" applyFill="1" applyBorder="1" applyAlignment="1" applyProtection="1">
      <alignment horizontal="right" vertical="center" wrapText="1" indent="1"/>
    </xf>
    <xf numFmtId="1" fontId="31" fillId="0" borderId="24" xfId="21" applyNumberFormat="1" applyFont="1" applyFill="1" applyBorder="1" applyAlignment="1" applyProtection="1">
      <alignment horizontal="right" indent="1"/>
    </xf>
    <xf numFmtId="1" fontId="5" fillId="0" borderId="24" xfId="0" applyNumberFormat="1" applyFont="1" applyFill="1" applyBorder="1" applyAlignment="1" applyProtection="1">
      <alignment horizontal="right" vertical="center" indent="1"/>
    </xf>
    <xf numFmtId="1" fontId="7" fillId="0" borderId="27" xfId="21" applyNumberFormat="1" applyFont="1" applyFill="1" applyBorder="1" applyAlignment="1" applyProtection="1">
      <alignment horizontal="right" vertical="center" wrapText="1" indent="1"/>
    </xf>
    <xf numFmtId="1" fontId="7" fillId="0" borderId="33" xfId="21" applyNumberFormat="1" applyFont="1" applyFill="1" applyBorder="1" applyAlignment="1" applyProtection="1">
      <alignment horizontal="right" vertical="center" wrapText="1" indent="1"/>
    </xf>
    <xf numFmtId="1" fontId="18" fillId="0" borderId="33" xfId="21" applyNumberFormat="1" applyFont="1" applyFill="1" applyBorder="1" applyAlignment="1" applyProtection="1">
      <alignment horizontal="right" vertical="center" wrapText="1" indent="1"/>
    </xf>
    <xf numFmtId="1" fontId="20" fillId="0" borderId="56" xfId="27" applyNumberFormat="1" applyFont="1" applyFill="1" applyBorder="1" applyAlignment="1" applyProtection="1">
      <alignment horizontal="right" indent="1"/>
    </xf>
    <xf numFmtId="1" fontId="26" fillId="0" borderId="42" xfId="27" applyNumberFormat="1" applyFont="1" applyFill="1" applyBorder="1" applyAlignment="1" applyProtection="1">
      <alignment horizontal="right" vertical="center" wrapText="1" indent="1"/>
    </xf>
    <xf numFmtId="1" fontId="20" fillId="0" borderId="74" xfId="27" applyNumberFormat="1" applyFont="1" applyFill="1" applyBorder="1" applyAlignment="1" applyProtection="1">
      <alignment horizontal="right" vertical="center" wrapText="1" indent="1"/>
    </xf>
    <xf numFmtId="1" fontId="20" fillId="0" borderId="42" xfId="21" applyNumberFormat="1" applyFont="1" applyFill="1" applyBorder="1" applyAlignment="1" applyProtection="1">
      <alignment horizontal="right" vertical="center" wrapText="1" indent="1"/>
    </xf>
    <xf numFmtId="1" fontId="10" fillId="0" borderId="0" xfId="21" applyNumberFormat="1" applyFont="1" applyFill="1" applyAlignment="1">
      <alignment horizontal="right" indent="1"/>
    </xf>
    <xf numFmtId="1" fontId="20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6" fillId="0" borderId="17" xfId="21" applyNumberFormat="1" applyFont="1" applyFill="1" applyBorder="1" applyAlignment="1" applyProtection="1">
      <alignment horizontal="right" vertical="center" wrapText="1" indent="1"/>
    </xf>
    <xf numFmtId="164" fontId="26" fillId="0" borderId="22" xfId="21" applyNumberFormat="1" applyFont="1" applyFill="1" applyBorder="1" applyAlignment="1" applyProtection="1">
      <alignment horizontal="right" vertical="center" wrapText="1" indent="1"/>
    </xf>
    <xf numFmtId="164" fontId="18" fillId="0" borderId="17" xfId="21" applyNumberFormat="1" applyFont="1" applyFill="1" applyBorder="1" applyAlignment="1" applyProtection="1">
      <alignment horizontal="right" vertical="center" wrapText="1" indent="1"/>
    </xf>
    <xf numFmtId="164" fontId="18" fillId="0" borderId="18" xfId="21" applyNumberFormat="1" applyFont="1" applyFill="1" applyBorder="1" applyAlignment="1" applyProtection="1">
      <alignment horizontal="right" vertical="center" wrapText="1" indent="1"/>
    </xf>
    <xf numFmtId="164" fontId="18" fillId="0" borderId="22" xfId="21" applyNumberFormat="1" applyFont="1" applyFill="1" applyBorder="1" applyAlignment="1" applyProtection="1">
      <alignment horizontal="right" vertical="center" wrapText="1" indent="1"/>
    </xf>
    <xf numFmtId="164" fontId="18" fillId="0" borderId="20" xfId="21" applyNumberFormat="1" applyFont="1" applyFill="1" applyBorder="1" applyAlignment="1" applyProtection="1">
      <alignment horizontal="right" vertical="center" wrapText="1" indent="1"/>
    </xf>
    <xf numFmtId="164" fontId="6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7" xfId="0" applyNumberFormat="1" applyFont="1" applyFill="1" applyBorder="1" applyAlignment="1" applyProtection="1">
      <alignment vertical="center" wrapText="1"/>
    </xf>
    <xf numFmtId="164" fontId="6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</xf>
    <xf numFmtId="164" fontId="63" fillId="0" borderId="19" xfId="0" applyNumberFormat="1" applyFont="1" applyFill="1" applyBorder="1" applyAlignment="1" applyProtection="1">
      <alignment horizontal="right" vertical="center" wrapText="1" indent="1"/>
    </xf>
    <xf numFmtId="164" fontId="72" fillId="0" borderId="19" xfId="0" applyNumberFormat="1" applyFont="1" applyFill="1" applyBorder="1" applyAlignment="1" applyProtection="1">
      <alignment horizontal="right" vertical="center" wrapText="1" indent="1"/>
    </xf>
    <xf numFmtId="3" fontId="63" fillId="0" borderId="18" xfId="25" applyNumberFormat="1" applyFont="1" applyBorder="1" applyAlignment="1">
      <alignment horizontal="right"/>
    </xf>
    <xf numFmtId="165" fontId="64" fillId="0" borderId="44" xfId="26" applyNumberFormat="1" applyFont="1" applyBorder="1"/>
    <xf numFmtId="3" fontId="75" fillId="0" borderId="10" xfId="19" applyNumberFormat="1" applyFont="1" applyBorder="1"/>
    <xf numFmtId="164" fontId="63" fillId="0" borderId="23" xfId="21" applyNumberFormat="1" applyFont="1" applyFill="1" applyBorder="1" applyAlignment="1" applyProtection="1">
      <alignment horizontal="right" vertical="center" wrapText="1" indent="1"/>
    </xf>
    <xf numFmtId="164" fontId="6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49" fontId="6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2" fillId="0" borderId="8" xfId="0" applyNumberFormat="1" applyFont="1" applyFill="1" applyBorder="1" applyAlignment="1" applyProtection="1">
      <alignment vertical="center" wrapText="1"/>
      <protection locked="0"/>
    </xf>
    <xf numFmtId="164" fontId="82" fillId="0" borderId="2" xfId="0" applyNumberFormat="1" applyFont="1" applyFill="1" applyBorder="1" applyAlignment="1" applyProtection="1">
      <alignment vertical="center" wrapText="1"/>
      <protection locked="0"/>
    </xf>
    <xf numFmtId="164" fontId="82" fillId="0" borderId="0" xfId="0" applyNumberFormat="1" applyFont="1" applyFill="1" applyAlignment="1">
      <alignment vertical="center" wrapText="1"/>
    </xf>
    <xf numFmtId="164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4" fontId="33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33" fillId="0" borderId="2" xfId="28" applyNumberFormat="1" applyFont="1" applyFill="1" applyBorder="1" applyAlignment="1" applyProtection="1">
      <alignment vertical="center" wrapText="1"/>
      <protection locked="0"/>
    </xf>
    <xf numFmtId="164" fontId="6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25" applyFont="1"/>
    <xf numFmtId="0" fontId="28" fillId="0" borderId="12" xfId="24" applyFont="1" applyBorder="1"/>
    <xf numFmtId="0" fontId="62" fillId="0" borderId="0" xfId="25" applyFont="1"/>
    <xf numFmtId="3" fontId="24" fillId="0" borderId="0" xfId="25" applyNumberFormat="1" applyFont="1"/>
    <xf numFmtId="3" fontId="37" fillId="0" borderId="0" xfId="25" applyNumberFormat="1" applyFont="1"/>
    <xf numFmtId="164" fontId="63" fillId="0" borderId="40" xfId="23" applyNumberFormat="1" applyFont="1" applyFill="1" applyBorder="1" applyAlignment="1" applyProtection="1">
      <alignment vertical="center"/>
    </xf>
    <xf numFmtId="164" fontId="63" fillId="0" borderId="18" xfId="23" applyNumberFormat="1" applyFont="1" applyFill="1" applyBorder="1" applyAlignment="1" applyProtection="1">
      <alignment vertical="center"/>
    </xf>
    <xf numFmtId="164" fontId="63" fillId="0" borderId="17" xfId="23" applyNumberFormat="1" applyFont="1" applyFill="1" applyBorder="1" applyAlignment="1" applyProtection="1">
      <alignment vertical="center"/>
    </xf>
    <xf numFmtId="0" fontId="13" fillId="0" borderId="56" xfId="18" applyFont="1" applyBorder="1" applyAlignment="1">
      <alignment wrapText="1"/>
    </xf>
    <xf numFmtId="3" fontId="75" fillId="0" borderId="6" xfId="19" applyNumberFormat="1" applyFont="1" applyBorder="1"/>
    <xf numFmtId="3" fontId="75" fillId="0" borderId="73" xfId="19" applyNumberFormat="1" applyFont="1" applyBorder="1"/>
    <xf numFmtId="0" fontId="21" fillId="0" borderId="0" xfId="0" applyFont="1" applyAlignment="1">
      <alignment horizontal="center" wrapText="1"/>
    </xf>
    <xf numFmtId="164" fontId="63" fillId="0" borderId="40" xfId="21" applyNumberFormat="1" applyFont="1" applyFill="1" applyBorder="1" applyAlignment="1" applyProtection="1">
      <alignment horizontal="center" vertical="center" wrapText="1"/>
    </xf>
    <xf numFmtId="164" fontId="6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11" borderId="4" xfId="28" applyNumberFormat="1" applyFont="1" applyFill="1" applyBorder="1" applyAlignment="1" applyProtection="1">
      <alignment vertical="center" wrapText="1"/>
      <protection locked="0"/>
    </xf>
    <xf numFmtId="3" fontId="1" fillId="0" borderId="47" xfId="26" applyNumberFormat="1" applyFont="1" applyFill="1" applyBorder="1" applyAlignment="1" applyProtection="1">
      <alignment horizontal="left"/>
      <protection locked="0"/>
    </xf>
    <xf numFmtId="3" fontId="1" fillId="9" borderId="47" xfId="26" applyNumberFormat="1" applyFont="1" applyFill="1" applyBorder="1" applyAlignment="1" applyProtection="1">
      <alignment horizontal="left"/>
      <protection locked="0"/>
    </xf>
    <xf numFmtId="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68" fillId="11" borderId="22" xfId="26" applyNumberFormat="1" applyFont="1" applyFill="1" applyBorder="1" applyAlignment="1" applyProtection="1">
      <alignment horizontal="right" vertical="center" wrapText="1" indent="1"/>
    </xf>
    <xf numFmtId="164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5" applyNumberFormat="1" applyFont="1" applyBorder="1" applyAlignment="1">
      <alignment horizontal="right"/>
    </xf>
    <xf numFmtId="3" fontId="63" fillId="0" borderId="2" xfId="25" applyNumberFormat="1" applyFont="1" applyBorder="1" applyAlignment="1">
      <alignment horizontal="right"/>
    </xf>
    <xf numFmtId="3" fontId="67" fillId="0" borderId="2" xfId="25" applyNumberFormat="1" applyFont="1" applyBorder="1" applyAlignment="1">
      <alignment horizontal="right"/>
    </xf>
    <xf numFmtId="3" fontId="67" fillId="0" borderId="18" xfId="25" applyNumberFormat="1" applyFont="1" applyBorder="1" applyAlignment="1">
      <alignment horizontal="right"/>
    </xf>
    <xf numFmtId="3" fontId="67" fillId="0" borderId="22" xfId="26" applyNumberFormat="1" applyFont="1" applyBorder="1" applyAlignment="1">
      <alignment horizontal="right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5" fontId="1" fillId="0" borderId="32" xfId="26" applyNumberFormat="1" applyFont="1" applyBorder="1" applyAlignment="1"/>
    <xf numFmtId="165" fontId="64" fillId="0" borderId="53" xfId="26" applyNumberFormat="1" applyFont="1" applyBorder="1"/>
    <xf numFmtId="0" fontId="86" fillId="0" borderId="0" xfId="19" applyFont="1"/>
    <xf numFmtId="0" fontId="85" fillId="0" borderId="41" xfId="0" quotePrefix="1" applyFont="1" applyFill="1" applyBorder="1" applyAlignment="1">
      <alignment vertical="center"/>
    </xf>
    <xf numFmtId="164" fontId="75" fillId="0" borderId="18" xfId="0" applyNumberFormat="1" applyFont="1" applyFill="1" applyBorder="1" applyAlignment="1" applyProtection="1">
      <alignment vertical="center" wrapText="1"/>
    </xf>
    <xf numFmtId="164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11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2" xfId="26" applyNumberFormat="1" applyFont="1" applyBorder="1" applyAlignment="1">
      <alignment horizontal="right"/>
    </xf>
    <xf numFmtId="3" fontId="63" fillId="0" borderId="2" xfId="26" quotePrefix="1" applyNumberFormat="1" applyFont="1" applyBorder="1" applyAlignment="1">
      <alignment horizontal="right"/>
    </xf>
    <xf numFmtId="165" fontId="64" fillId="0" borderId="36" xfId="26" applyNumberFormat="1" applyFont="1" applyBorder="1" applyAlignment="1"/>
    <xf numFmtId="3" fontId="30" fillId="0" borderId="36" xfId="27" applyNumberFormat="1" applyFont="1" applyBorder="1" applyAlignment="1">
      <alignment horizontal="right" indent="2"/>
    </xf>
    <xf numFmtId="3" fontId="30" fillId="0" borderId="50" xfId="27" applyNumberFormat="1" applyFont="1" applyBorder="1" applyAlignment="1">
      <alignment horizontal="right" indent="2"/>
    </xf>
    <xf numFmtId="3" fontId="30" fillId="0" borderId="32" xfId="27" applyNumberFormat="1" applyFont="1" applyBorder="1" applyAlignment="1">
      <alignment horizontal="right" indent="2"/>
    </xf>
    <xf numFmtId="3" fontId="62" fillId="0" borderId="32" xfId="18" applyNumberFormat="1" applyFont="1" applyBorder="1" applyAlignment="1">
      <alignment horizontal="right" indent="2"/>
    </xf>
    <xf numFmtId="0" fontId="41" fillId="0" borderId="42" xfId="18" applyFont="1" applyBorder="1"/>
    <xf numFmtId="3" fontId="41" fillId="0" borderId="36" xfId="18" applyNumberFormat="1" applyBorder="1" applyAlignment="1">
      <alignment horizontal="right" indent="2"/>
    </xf>
    <xf numFmtId="0" fontId="41" fillId="0" borderId="0" xfId="19" applyFont="1"/>
    <xf numFmtId="3" fontId="75" fillId="0" borderId="5" xfId="19" applyNumberFormat="1" applyFont="1" applyFill="1" applyBorder="1"/>
    <xf numFmtId="3" fontId="41" fillId="0" borderId="0" xfId="19" applyNumberFormat="1" applyFont="1"/>
    <xf numFmtId="164" fontId="26" fillId="0" borderId="40" xfId="21" applyNumberFormat="1" applyFont="1" applyFill="1" applyBorder="1" applyAlignment="1" applyProtection="1">
      <alignment horizontal="center" vertical="center" wrapText="1"/>
    </xf>
    <xf numFmtId="164" fontId="68" fillId="0" borderId="0" xfId="0" applyNumberFormat="1" applyFont="1" applyFill="1" applyAlignment="1" applyProtection="1">
      <alignment horizontal="center" vertical="center" wrapText="1"/>
    </xf>
    <xf numFmtId="164" fontId="68" fillId="0" borderId="0" xfId="0" applyNumberFormat="1" applyFont="1" applyFill="1" applyAlignment="1" applyProtection="1">
      <alignment vertical="center" wrapText="1"/>
    </xf>
    <xf numFmtId="164" fontId="79" fillId="0" borderId="0" xfId="0" applyNumberFormat="1" applyFont="1" applyFill="1" applyAlignment="1" applyProtection="1">
      <alignment horizontal="right" wrapText="1"/>
    </xf>
    <xf numFmtId="164" fontId="78" fillId="0" borderId="13" xfId="0" applyNumberFormat="1" applyFont="1" applyFill="1" applyBorder="1" applyAlignment="1" applyProtection="1">
      <alignment horizontal="center" vertical="center" wrapText="1"/>
    </xf>
    <xf numFmtId="164" fontId="78" fillId="0" borderId="14" xfId="0" applyNumberFormat="1" applyFont="1" applyFill="1" applyBorder="1" applyAlignment="1" applyProtection="1">
      <alignment horizontal="center" vertical="center" wrapText="1"/>
    </xf>
    <xf numFmtId="164" fontId="78" fillId="0" borderId="19" xfId="0" applyNumberFormat="1" applyFont="1" applyFill="1" applyBorder="1" applyAlignment="1" applyProtection="1">
      <alignment horizontal="center" vertical="center" wrapText="1"/>
    </xf>
    <xf numFmtId="164" fontId="71" fillId="0" borderId="13" xfId="0" applyNumberFormat="1" applyFont="1" applyFill="1" applyBorder="1" applyAlignment="1" applyProtection="1">
      <alignment horizontal="center" vertical="center" wrapText="1"/>
    </xf>
    <xf numFmtId="164" fontId="71" fillId="0" borderId="14" xfId="0" applyNumberFormat="1" applyFont="1" applyFill="1" applyBorder="1" applyAlignment="1" applyProtection="1">
      <alignment horizontal="center" vertical="center" wrapText="1"/>
    </xf>
    <xf numFmtId="164" fontId="71" fillId="0" borderId="19" xfId="0" applyNumberFormat="1" applyFont="1" applyFill="1" applyBorder="1" applyAlignment="1" applyProtection="1">
      <alignment horizontal="center" vertical="center" wrapText="1"/>
    </xf>
    <xf numFmtId="164" fontId="66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66" fillId="0" borderId="11" xfId="28" applyNumberFormat="1" applyFont="1" applyFill="1" applyBorder="1" applyAlignment="1" applyProtection="1">
      <alignment vertical="center" wrapText="1"/>
      <protection locked="0"/>
    </xf>
    <xf numFmtId="49" fontId="6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4" xfId="0" applyNumberFormat="1" applyFont="1" applyFill="1" applyBorder="1" applyAlignment="1" applyProtection="1">
      <alignment vertical="center" wrapText="1"/>
      <protection locked="0"/>
    </xf>
    <xf numFmtId="164" fontId="66" fillId="0" borderId="17" xfId="0" applyNumberFormat="1" applyFont="1" applyFill="1" applyBorder="1" applyAlignment="1" applyProtection="1">
      <alignment vertical="center" wrapText="1"/>
    </xf>
    <xf numFmtId="164" fontId="66" fillId="0" borderId="9" xfId="28" applyNumberFormat="1" applyFont="1" applyFill="1" applyBorder="1" applyAlignment="1" applyProtection="1">
      <alignment vertical="center" wrapText="1"/>
      <protection locked="0"/>
    </xf>
    <xf numFmtId="49" fontId="6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3" xfId="0" applyNumberFormat="1" applyFont="1" applyFill="1" applyBorder="1" applyAlignment="1" applyProtection="1">
      <alignment vertical="center" wrapText="1"/>
      <protection locked="0"/>
    </xf>
    <xf numFmtId="164" fontId="66" fillId="0" borderId="20" xfId="0" applyNumberFormat="1" applyFont="1" applyFill="1" applyBorder="1" applyAlignment="1" applyProtection="1">
      <alignment vertical="center" wrapText="1"/>
    </xf>
    <xf numFmtId="164" fontId="66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6" fillId="0" borderId="8" xfId="28" applyNumberFormat="1" applyFont="1" applyFill="1" applyBorder="1" applyAlignment="1" applyProtection="1">
      <alignment vertical="center" wrapText="1"/>
      <protection locked="0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2" xfId="0" applyNumberFormat="1" applyFont="1" applyFill="1" applyBorder="1" applyAlignment="1" applyProtection="1">
      <alignment vertical="center" wrapText="1"/>
      <protection locked="0"/>
    </xf>
    <xf numFmtId="164" fontId="66" fillId="0" borderId="18" xfId="0" applyNumberFormat="1" applyFont="1" applyFill="1" applyBorder="1" applyAlignment="1" applyProtection="1">
      <alignment vertical="center" wrapText="1"/>
    </xf>
    <xf numFmtId="164" fontId="66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6" fillId="0" borderId="8" xfId="21" applyFont="1" applyFill="1" applyBorder="1" applyAlignment="1" applyProtection="1">
      <alignment horizontal="left"/>
      <protection locked="0"/>
    </xf>
    <xf numFmtId="164" fontId="69" fillId="0" borderId="18" xfId="0" applyNumberFormat="1" applyFont="1" applyFill="1" applyBorder="1" applyAlignment="1" applyProtection="1">
      <alignment vertical="center" wrapText="1"/>
    </xf>
    <xf numFmtId="164" fontId="69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9" fillId="0" borderId="8" xfId="28" applyNumberFormat="1" applyFont="1" applyFill="1" applyBorder="1" applyAlignment="1" applyProtection="1">
      <alignment vertical="center" wrapText="1"/>
      <protection locked="0"/>
    </xf>
    <xf numFmtId="164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9" fillId="0" borderId="2" xfId="0" applyNumberFormat="1" applyFont="1" applyFill="1" applyBorder="1" applyAlignment="1" applyProtection="1">
      <alignment vertical="center" wrapText="1"/>
      <protection locked="0"/>
    </xf>
    <xf numFmtId="164" fontId="68" fillId="0" borderId="48" xfId="0" applyNumberFormat="1" applyFont="1" applyFill="1" applyBorder="1" applyAlignment="1">
      <alignment vertical="center" wrapText="1"/>
    </xf>
    <xf numFmtId="164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42" xfId="28" applyFont="1" applyFill="1" applyBorder="1" applyAlignment="1">
      <alignment vertical="center"/>
    </xf>
    <xf numFmtId="0" fontId="88" fillId="0" borderId="41" xfId="28" applyFont="1" applyFill="1" applyBorder="1" applyAlignment="1">
      <alignment vertical="center"/>
    </xf>
    <xf numFmtId="164" fontId="71" fillId="0" borderId="18" xfId="0" applyNumberFormat="1" applyFont="1" applyFill="1" applyBorder="1" applyAlignment="1" applyProtection="1">
      <alignment vertical="center" wrapText="1"/>
    </xf>
    <xf numFmtId="0" fontId="89" fillId="0" borderId="41" xfId="28" applyFont="1" applyFill="1" applyBorder="1" applyAlignment="1">
      <alignment vertical="center"/>
    </xf>
    <xf numFmtId="0" fontId="90" fillId="0" borderId="41" xfId="28" applyFont="1" applyFill="1" applyBorder="1" applyAlignment="1">
      <alignment vertical="center"/>
    </xf>
    <xf numFmtId="164" fontId="69" fillId="0" borderId="9" xfId="28" applyNumberFormat="1" applyFont="1" applyFill="1" applyBorder="1" applyAlignment="1" applyProtection="1">
      <alignment vertical="center" wrapText="1"/>
      <protection locked="0"/>
    </xf>
    <xf numFmtId="164" fontId="69" fillId="0" borderId="23" xfId="0" applyNumberFormat="1" applyFont="1" applyFill="1" applyBorder="1" applyAlignment="1" applyProtection="1">
      <alignment vertical="center" wrapText="1"/>
    </xf>
    <xf numFmtId="164" fontId="91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68" fillId="0" borderId="11" xfId="0" applyNumberFormat="1" applyFont="1" applyFill="1" applyBorder="1" applyAlignment="1" applyProtection="1">
      <alignment vertical="center" wrapText="1"/>
      <protection locked="0"/>
    </xf>
    <xf numFmtId="49" fontId="6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4" xfId="0" applyNumberFormat="1" applyFont="1" applyFill="1" applyBorder="1" applyAlignment="1" applyProtection="1">
      <alignment vertical="center" wrapText="1"/>
      <protection locked="0"/>
    </xf>
    <xf numFmtId="164" fontId="68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8" fillId="0" borderId="8" xfId="0" applyNumberFormat="1" applyFont="1" applyFill="1" applyBorder="1" applyAlignment="1" applyProtection="1">
      <alignment vertical="center" wrapText="1"/>
      <protection locked="0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2" xfId="0" applyNumberFormat="1" applyFont="1" applyFill="1" applyBorder="1" applyAlignment="1" applyProtection="1">
      <alignment vertical="center" wrapText="1"/>
      <protection locked="0"/>
    </xf>
    <xf numFmtId="164" fontId="65" fillId="0" borderId="18" xfId="0" applyNumberFormat="1" applyFont="1" applyFill="1" applyBorder="1" applyAlignment="1" applyProtection="1">
      <alignment vertical="center" wrapText="1"/>
    </xf>
    <xf numFmtId="164" fontId="92" fillId="0" borderId="18" xfId="0" applyNumberFormat="1" applyFont="1" applyFill="1" applyBorder="1" applyAlignment="1" applyProtection="1">
      <alignment vertical="center" wrapText="1"/>
    </xf>
    <xf numFmtId="0" fontId="68" fillId="0" borderId="42" xfId="21" quotePrefix="1" applyFont="1" applyFill="1" applyBorder="1" applyAlignment="1" applyProtection="1">
      <alignment horizontal="left"/>
      <protection locked="0"/>
    </xf>
    <xf numFmtId="164" fontId="68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83" fillId="0" borderId="42" xfId="21" quotePrefix="1" applyFont="1" applyFill="1" applyBorder="1" applyProtection="1">
      <protection locked="0"/>
    </xf>
    <xf numFmtId="49" fontId="8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8" fillId="0" borderId="47" xfId="21" quotePrefix="1" applyFont="1" applyFill="1" applyBorder="1" applyProtection="1">
      <protection locked="0"/>
    </xf>
    <xf numFmtId="164" fontId="67" fillId="0" borderId="18" xfId="0" applyNumberFormat="1" applyFont="1" applyFill="1" applyBorder="1" applyAlignment="1" applyProtection="1">
      <alignment vertical="center" wrapText="1"/>
    </xf>
    <xf numFmtId="164" fontId="91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3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83" fillId="0" borderId="8" xfId="0" applyNumberFormat="1" applyFont="1" applyFill="1" applyBorder="1" applyAlignment="1" applyProtection="1">
      <alignment vertical="center" wrapText="1"/>
      <protection locked="0"/>
    </xf>
    <xf numFmtId="164" fontId="8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3" fillId="0" borderId="2" xfId="0" applyNumberFormat="1" applyFont="1" applyFill="1" applyBorder="1" applyAlignment="1" applyProtection="1">
      <alignment vertical="center" wrapText="1"/>
      <protection locked="0"/>
    </xf>
    <xf numFmtId="0" fontId="90" fillId="0" borderId="42" xfId="0" quotePrefix="1" applyFont="1" applyFill="1" applyBorder="1" applyAlignment="1">
      <alignment vertical="center" wrapText="1"/>
    </xf>
    <xf numFmtId="0" fontId="90" fillId="0" borderId="42" xfId="0" quotePrefix="1" applyFont="1" applyFill="1" applyBorder="1" applyAlignment="1">
      <alignment vertical="center"/>
    </xf>
    <xf numFmtId="0" fontId="93" fillId="0" borderId="42" xfId="0" applyFont="1" applyFill="1" applyBorder="1" applyAlignment="1">
      <alignment vertical="center"/>
    </xf>
    <xf numFmtId="0" fontId="90" fillId="0" borderId="41" xfId="0" quotePrefix="1" applyFont="1" applyFill="1" applyBorder="1" applyAlignment="1">
      <alignment vertical="center"/>
    </xf>
    <xf numFmtId="0" fontId="93" fillId="0" borderId="41" xfId="0" applyFont="1" applyFill="1" applyBorder="1" applyAlignment="1">
      <alignment vertical="center"/>
    </xf>
    <xf numFmtId="164" fontId="69" fillId="0" borderId="8" xfId="0" applyNumberFormat="1" applyFont="1" applyFill="1" applyBorder="1" applyAlignment="1" applyProtection="1">
      <alignment vertical="center" wrapText="1"/>
      <protection locked="0"/>
    </xf>
    <xf numFmtId="4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90" fillId="0" borderId="8" xfId="27" applyNumberFormat="1" applyFont="1" applyFill="1" applyBorder="1" applyAlignment="1">
      <alignment vertical="center"/>
    </xf>
    <xf numFmtId="3" fontId="90" fillId="0" borderId="2" xfId="27" applyNumberFormat="1" applyFont="1" applyFill="1" applyBorder="1" applyAlignment="1">
      <alignment vertical="center"/>
    </xf>
    <xf numFmtId="164" fontId="83" fillId="0" borderId="18" xfId="0" applyNumberFormat="1" applyFont="1" applyFill="1" applyBorder="1" applyAlignment="1" applyProtection="1">
      <alignment vertical="center" wrapText="1"/>
    </xf>
    <xf numFmtId="0" fontId="90" fillId="0" borderId="42" xfId="0" applyFont="1" applyFill="1" applyBorder="1" applyAlignment="1">
      <alignment vertical="center"/>
    </xf>
    <xf numFmtId="0" fontId="90" fillId="0" borderId="47" xfId="0" applyFont="1" applyFill="1" applyBorder="1" applyAlignment="1">
      <alignment vertical="center"/>
    </xf>
    <xf numFmtId="164" fontId="80" fillId="0" borderId="18" xfId="0" applyNumberFormat="1" applyFont="1" applyFill="1" applyBorder="1" applyAlignment="1" applyProtection="1">
      <alignment vertical="center" wrapText="1"/>
    </xf>
    <xf numFmtId="0" fontId="90" fillId="0" borderId="42" xfId="0" applyFont="1" applyFill="1" applyBorder="1" applyAlignment="1">
      <alignment vertical="center" wrapText="1"/>
    </xf>
    <xf numFmtId="164" fontId="94" fillId="0" borderId="2" xfId="0" applyNumberFormat="1" applyFont="1" applyFill="1" applyBorder="1" applyAlignment="1" applyProtection="1">
      <alignment vertical="center" wrapText="1"/>
      <protection locked="0"/>
    </xf>
    <xf numFmtId="164" fontId="94" fillId="0" borderId="18" xfId="0" applyNumberFormat="1" applyFont="1" applyFill="1" applyBorder="1" applyAlignment="1" applyProtection="1">
      <alignment vertical="center" wrapText="1"/>
    </xf>
    <xf numFmtId="0" fontId="85" fillId="0" borderId="42" xfId="0" applyFont="1" applyFill="1" applyBorder="1" applyAlignment="1">
      <alignment vertical="center"/>
    </xf>
    <xf numFmtId="3" fontId="85" fillId="0" borderId="8" xfId="27" applyNumberFormat="1" applyFont="1" applyFill="1" applyBorder="1" applyAlignment="1">
      <alignment vertical="center"/>
    </xf>
    <xf numFmtId="3" fontId="85" fillId="0" borderId="2" xfId="27" applyNumberFormat="1" applyFont="1" applyFill="1" applyBorder="1" applyAlignment="1">
      <alignment vertical="center"/>
    </xf>
    <xf numFmtId="164" fontId="95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95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70" fillId="0" borderId="18" xfId="0" applyNumberFormat="1" applyFont="1" applyFill="1" applyBorder="1" applyAlignment="1" applyProtection="1">
      <alignment vertical="center" wrapText="1"/>
    </xf>
    <xf numFmtId="0" fontId="91" fillId="0" borderId="42" xfId="21" applyFont="1" applyFill="1" applyBorder="1" applyProtection="1">
      <protection locked="0"/>
    </xf>
    <xf numFmtId="0" fontId="68" fillId="0" borderId="42" xfId="21" quotePrefix="1" applyFont="1" applyFill="1" applyBorder="1" applyProtection="1">
      <protection locked="0"/>
    </xf>
    <xf numFmtId="0" fontId="90" fillId="0" borderId="47" xfId="0" quotePrefix="1" applyFont="1" applyFill="1" applyBorder="1" applyAlignment="1">
      <alignment vertical="center"/>
    </xf>
    <xf numFmtId="0" fontId="85" fillId="0" borderId="29" xfId="0" quotePrefix="1" applyFont="1" applyFill="1" applyBorder="1" applyAlignment="1">
      <alignment vertical="center"/>
    </xf>
    <xf numFmtId="164" fontId="64" fillId="0" borderId="29" xfId="0" applyNumberFormat="1" applyFont="1" applyFill="1" applyBorder="1" applyAlignment="1" applyProtection="1">
      <alignment vertical="center" wrapText="1"/>
      <protection locked="0"/>
    </xf>
    <xf numFmtId="49" fontId="64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4" fillId="0" borderId="72" xfId="0" applyNumberFormat="1" applyFont="1" applyFill="1" applyBorder="1" applyAlignment="1" applyProtection="1">
      <alignment vertical="center" wrapText="1"/>
      <protection locked="0"/>
    </xf>
    <xf numFmtId="164" fontId="72" fillId="0" borderId="53" xfId="0" applyNumberFormat="1" applyFont="1" applyFill="1" applyBorder="1" applyAlignment="1" applyProtection="1">
      <alignment vertical="center" wrapText="1"/>
    </xf>
    <xf numFmtId="164" fontId="96" fillId="0" borderId="34" xfId="0" applyNumberFormat="1" applyFont="1" applyFill="1" applyBorder="1" applyAlignment="1" applyProtection="1">
      <alignment horizontal="left" vertical="center" wrapText="1"/>
    </xf>
    <xf numFmtId="164" fontId="67" fillId="7" borderId="33" xfId="0" applyNumberFormat="1" applyFont="1" applyFill="1" applyBorder="1" applyAlignment="1" applyProtection="1">
      <alignment vertical="center" wrapText="1"/>
    </xf>
    <xf numFmtId="164" fontId="67" fillId="0" borderId="27" xfId="0" applyNumberFormat="1" applyFont="1" applyFill="1" applyBorder="1" applyAlignment="1" applyProtection="1">
      <alignment vertical="center" wrapText="1"/>
    </xf>
    <xf numFmtId="164" fontId="68" fillId="0" borderId="0" xfId="0" applyNumberFormat="1" applyFont="1" applyFill="1" applyAlignment="1">
      <alignment horizontal="center" vertical="center" wrapText="1"/>
    </xf>
    <xf numFmtId="164" fontId="6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4" fillId="0" borderId="8" xfId="0" applyNumberFormat="1" applyFont="1" applyFill="1" applyBorder="1" applyAlignment="1" applyProtection="1">
      <alignment vertical="center" wrapText="1"/>
      <protection locked="0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4" fillId="0" borderId="2" xfId="0" applyNumberFormat="1" applyFont="1" applyFill="1" applyBorder="1" applyAlignment="1" applyProtection="1">
      <alignment vertical="center" wrapText="1"/>
      <protection locked="0"/>
    </xf>
    <xf numFmtId="164" fontId="64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4" fontId="63" fillId="0" borderId="38" xfId="28" applyNumberFormat="1" applyFont="1" applyFill="1" applyBorder="1" applyAlignment="1" applyProtection="1">
      <alignment horizontal="left" vertical="center" wrapText="1"/>
      <protection locked="0"/>
    </xf>
    <xf numFmtId="164" fontId="63" fillId="0" borderId="8" xfId="28" applyNumberFormat="1" applyFont="1" applyFill="1" applyBorder="1" applyAlignment="1" applyProtection="1">
      <alignment vertical="center" wrapText="1"/>
      <protection locked="0"/>
    </xf>
    <xf numFmtId="0" fontId="97" fillId="0" borderId="42" xfId="28" applyFont="1" applyFill="1" applyBorder="1" applyAlignment="1">
      <alignment vertical="center"/>
    </xf>
    <xf numFmtId="164" fontId="72" fillId="0" borderId="8" xfId="28" applyNumberFormat="1" applyFont="1" applyFill="1" applyBorder="1" applyAlignment="1" applyProtection="1">
      <alignment vertical="center" wrapText="1"/>
      <protection locked="0"/>
    </xf>
    <xf numFmtId="164" fontId="72" fillId="0" borderId="2" xfId="0" applyNumberFormat="1" applyFont="1" applyFill="1" applyBorder="1" applyAlignment="1" applyProtection="1">
      <alignment vertical="center" wrapText="1"/>
      <protection locked="0"/>
    </xf>
    <xf numFmtId="0" fontId="97" fillId="0" borderId="41" xfId="28" applyFont="1" applyFill="1" applyBorder="1" applyAlignment="1">
      <alignment vertical="center"/>
    </xf>
    <xf numFmtId="0" fontId="63" fillId="0" borderId="42" xfId="21" applyFont="1" applyFill="1" applyBorder="1" applyProtection="1">
      <protection locked="0"/>
    </xf>
    <xf numFmtId="164" fontId="75" fillId="0" borderId="2" xfId="0" applyNumberFormat="1" applyFont="1" applyFill="1" applyBorder="1" applyAlignment="1" applyProtection="1">
      <alignment vertical="center" wrapText="1"/>
      <protection locked="0"/>
    </xf>
    <xf numFmtId="164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26" fillId="0" borderId="2" xfId="28" applyNumberFormat="1" applyFont="1" applyFill="1" applyBorder="1" applyAlignment="1" applyProtection="1">
      <alignment vertical="center" wrapText="1"/>
      <protection locked="0"/>
    </xf>
    <xf numFmtId="164" fontId="64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63" fillId="0" borderId="4" xfId="0" applyNumberFormat="1" applyFont="1" applyFill="1" applyBorder="1" applyAlignment="1" applyProtection="1">
      <alignment vertical="center" wrapText="1"/>
      <protection locked="0"/>
    </xf>
    <xf numFmtId="49" fontId="6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17" xfId="0" applyNumberFormat="1" applyFont="1" applyFill="1" applyBorder="1" applyAlignment="1" applyProtection="1">
      <alignment vertical="center" wrapText="1"/>
    </xf>
    <xf numFmtId="164" fontId="75" fillId="0" borderId="23" xfId="0" applyNumberFormat="1" applyFont="1" applyFill="1" applyBorder="1" applyAlignment="1" applyProtection="1">
      <alignment vertical="center" wrapText="1"/>
    </xf>
    <xf numFmtId="164" fontId="75" fillId="0" borderId="10" xfId="28" applyNumberFormat="1" applyFont="1" applyFill="1" applyBorder="1" applyAlignment="1" applyProtection="1">
      <alignment horizontal="left" vertical="center" wrapText="1"/>
      <protection locked="0"/>
    </xf>
    <xf numFmtId="164" fontId="75" fillId="0" borderId="6" xfId="28" applyNumberFormat="1" applyFont="1" applyFill="1" applyBorder="1" applyAlignment="1" applyProtection="1">
      <alignment vertical="center" wrapText="1"/>
      <protection locked="0"/>
    </xf>
    <xf numFmtId="164" fontId="33" fillId="0" borderId="18" xfId="0" applyNumberFormat="1" applyFont="1" applyFill="1" applyBorder="1" applyAlignment="1" applyProtection="1">
      <alignment vertical="center" wrapText="1"/>
    </xf>
    <xf numFmtId="164" fontId="75" fillId="0" borderId="7" xfId="28" applyNumberFormat="1" applyFont="1" applyFill="1" applyBorder="1" applyAlignment="1" applyProtection="1">
      <alignment horizontal="left" vertical="center" wrapText="1"/>
      <protection locked="0"/>
    </xf>
    <xf numFmtId="164" fontId="75" fillId="0" borderId="1" xfId="28" applyNumberFormat="1" applyFont="1" applyFill="1" applyBorder="1" applyAlignment="1" applyProtection="1">
      <alignment vertical="center" wrapText="1"/>
      <protection locked="0"/>
    </xf>
    <xf numFmtId="49" fontId="7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1" xfId="0" applyNumberFormat="1" applyFont="1" applyFill="1" applyBorder="1" applyAlignment="1" applyProtection="1">
      <alignment vertical="center" wrapText="1"/>
      <protection locked="0"/>
    </xf>
    <xf numFmtId="164" fontId="75" fillId="0" borderId="40" xfId="0" applyNumberFormat="1" applyFont="1" applyFill="1" applyBorder="1" applyAlignment="1" applyProtection="1">
      <alignment vertical="center" wrapText="1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3" fillId="0" borderId="0" xfId="0" applyFont="1" applyFill="1" applyAlignment="1" applyProtection="1">
      <alignment horizontal="right" vertical="center" wrapText="1" indent="1"/>
    </xf>
    <xf numFmtId="164" fontId="7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2" fillId="0" borderId="44" xfId="0" applyNumberFormat="1" applyFont="1" applyFill="1" applyBorder="1" applyAlignment="1" applyProtection="1">
      <alignment horizontal="right" vertical="center" wrapText="1" indent="1"/>
    </xf>
    <xf numFmtId="4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6" applyNumberFormat="1" applyFont="1" applyBorder="1" applyAlignment="1">
      <alignment horizontal="right"/>
    </xf>
    <xf numFmtId="3" fontId="66" fillId="0" borderId="2" xfId="26" quotePrefix="1" applyNumberFormat="1" applyFont="1" applyBorder="1" applyAlignment="1">
      <alignment horizontal="right"/>
    </xf>
    <xf numFmtId="4" fontId="64" fillId="11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0" xfId="20" applyFont="1"/>
    <xf numFmtId="0" fontId="41" fillId="0" borderId="0" xfId="20" applyFont="1" applyAlignment="1">
      <alignment vertical="center"/>
    </xf>
    <xf numFmtId="0" fontId="41" fillId="0" borderId="0" xfId="20" applyFont="1" applyFill="1" applyBorder="1"/>
    <xf numFmtId="0" fontId="41" fillId="0" borderId="0" xfId="20" applyFont="1" applyBorder="1"/>
    <xf numFmtId="0" fontId="1" fillId="0" borderId="30" xfId="20" applyFont="1" applyBorder="1" applyAlignment="1">
      <alignment horizontal="left"/>
    </xf>
    <xf numFmtId="0" fontId="41" fillId="0" borderId="59" xfId="18" applyFont="1" applyBorder="1"/>
    <xf numFmtId="3" fontId="41" fillId="0" borderId="48" xfId="18" applyNumberFormat="1" applyFont="1" applyBorder="1" applyAlignment="1">
      <alignment horizontal="right" indent="2"/>
    </xf>
    <xf numFmtId="3" fontId="98" fillId="0" borderId="50" xfId="27" applyNumberFormat="1" applyFont="1" applyBorder="1" applyAlignment="1">
      <alignment horizontal="right" indent="2"/>
    </xf>
    <xf numFmtId="3" fontId="63" fillId="0" borderId="18" xfId="0" applyNumberFormat="1" applyFont="1" applyBorder="1" applyAlignment="1" applyProtection="1">
      <alignment horizontal="right" vertical="center" indent="1"/>
      <protection locked="0"/>
    </xf>
    <xf numFmtId="3" fontId="75" fillId="0" borderId="8" xfId="19" applyNumberFormat="1" applyFont="1" applyBorder="1"/>
    <xf numFmtId="3" fontId="75" fillId="0" borderId="5" xfId="19" applyNumberFormat="1" applyFont="1" applyBorder="1"/>
    <xf numFmtId="3" fontId="75" fillId="0" borderId="10" xfId="19" applyNumberFormat="1" applyFont="1" applyFill="1" applyBorder="1"/>
    <xf numFmtId="3" fontId="75" fillId="0" borderId="2" xfId="19" applyNumberFormat="1" applyFont="1" applyBorder="1"/>
    <xf numFmtId="164" fontId="31" fillId="0" borderId="24" xfId="21" applyNumberFormat="1" applyFont="1" applyFill="1" applyBorder="1" applyAlignment="1" applyProtection="1">
      <alignment horizontal="left" vertical="center"/>
    </xf>
    <xf numFmtId="164" fontId="6" fillId="0" borderId="0" xfId="21" applyNumberFormat="1" applyFont="1" applyFill="1" applyBorder="1" applyAlignment="1" applyProtection="1">
      <alignment horizontal="center" vertical="center"/>
    </xf>
    <xf numFmtId="164" fontId="31" fillId="0" borderId="24" xfId="21" applyNumberFormat="1" applyFont="1" applyFill="1" applyBorder="1" applyAlignment="1" applyProtection="1">
      <alignment horizontal="left"/>
    </xf>
    <xf numFmtId="0" fontId="21" fillId="0" borderId="0" xfId="21" applyFont="1" applyFill="1" applyAlignment="1" applyProtection="1">
      <alignment horizontal="center"/>
    </xf>
    <xf numFmtId="164" fontId="27" fillId="0" borderId="24" xfId="21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7" fillId="0" borderId="61" xfId="0" applyNumberFormat="1" applyFont="1" applyFill="1" applyBorder="1" applyAlignment="1" applyProtection="1">
      <alignment horizontal="center" vertical="center" wrapText="1"/>
    </xf>
    <xf numFmtId="164" fontId="27" fillId="0" borderId="59" xfId="0" applyNumberFormat="1" applyFont="1" applyFill="1" applyBorder="1" applyAlignment="1" applyProtection="1">
      <alignment horizontal="center" vertical="center" wrapText="1"/>
    </xf>
    <xf numFmtId="164" fontId="39" fillId="0" borderId="51" xfId="0" applyNumberFormat="1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center" vertical="center" wrapText="1"/>
    </xf>
    <xf numFmtId="164" fontId="27" fillId="0" borderId="74" xfId="0" applyNumberFormat="1" applyFont="1" applyFill="1" applyBorder="1" applyAlignment="1" applyProtection="1">
      <alignment horizontal="center" vertical="center" wrapText="1"/>
    </xf>
    <xf numFmtId="164" fontId="87" fillId="0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68" fillId="0" borderId="12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Alignment="1" applyProtection="1">
      <alignment horizontal="left" vertical="center" wrapText="1"/>
    </xf>
    <xf numFmtId="0" fontId="68" fillId="11" borderId="12" xfId="0" applyFont="1" applyFill="1" applyBorder="1" applyAlignment="1" applyProtection="1">
      <alignment horizontal="left" vertical="center" wrapText="1"/>
    </xf>
    <xf numFmtId="0" fontId="68" fillId="11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1" fillId="0" borderId="4" xfId="25" applyBorder="1" applyAlignment="1">
      <alignment horizontal="left"/>
    </xf>
    <xf numFmtId="0" fontId="18" fillId="0" borderId="4" xfId="25" applyFont="1" applyBorder="1" applyAlignment="1">
      <alignment horizontal="center"/>
    </xf>
    <xf numFmtId="0" fontId="41" fillId="0" borderId="4" xfId="25" applyBorder="1" applyAlignment="1">
      <alignment horizontal="center"/>
    </xf>
    <xf numFmtId="0" fontId="41" fillId="0" borderId="17" xfId="25" applyBorder="1" applyAlignment="1">
      <alignment horizontal="center"/>
    </xf>
    <xf numFmtId="0" fontId="18" fillId="0" borderId="6" xfId="25" applyFont="1" applyBorder="1" applyAlignment="1">
      <alignment horizontal="center" vertical="top" wrapText="1"/>
    </xf>
    <xf numFmtId="0" fontId="18" fillId="0" borderId="3" xfId="25" applyFont="1" applyBorder="1" applyAlignment="1">
      <alignment horizontal="center" vertical="top" wrapText="1"/>
    </xf>
    <xf numFmtId="0" fontId="21" fillId="0" borderId="0" xfId="21" applyFont="1" applyFill="1" applyAlignment="1">
      <alignment horizontal="center" wrapText="1"/>
    </xf>
    <xf numFmtId="0" fontId="21" fillId="0" borderId="0" xfId="21" applyFont="1" applyFill="1" applyAlignment="1">
      <alignment horizontal="center"/>
    </xf>
    <xf numFmtId="0" fontId="21" fillId="0" borderId="0" xfId="23" applyFont="1" applyFill="1" applyAlignment="1" applyProtection="1">
      <alignment horizontal="center" wrapText="1"/>
    </xf>
    <xf numFmtId="0" fontId="21" fillId="0" borderId="0" xfId="23" applyFont="1" applyFill="1" applyAlignment="1" applyProtection="1">
      <alignment horizontal="center"/>
    </xf>
    <xf numFmtId="0" fontId="19" fillId="0" borderId="67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8" fillId="0" borderId="61" xfId="18" applyFont="1" applyBorder="1" applyAlignment="1">
      <alignment horizontal="center" vertical="center" wrapText="1"/>
    </xf>
    <xf numFmtId="0" fontId="28" fillId="0" borderId="38" xfId="18" applyFont="1" applyBorder="1" applyAlignment="1">
      <alignment horizontal="center" vertical="center" wrapText="1"/>
    </xf>
    <xf numFmtId="0" fontId="28" fillId="0" borderId="59" xfId="18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1" fillId="0" borderId="0" xfId="0" applyFont="1" applyAlignment="1" applyProtection="1">
      <alignment horizontal="right"/>
    </xf>
    <xf numFmtId="0" fontId="27" fillId="0" borderId="34" xfId="0" applyFont="1" applyBorder="1" applyAlignment="1" applyProtection="1">
      <alignment horizontal="left" vertical="center" indent="2"/>
    </xf>
    <xf numFmtId="0" fontId="27" fillId="0" borderId="44" xfId="0" applyFont="1" applyBorder="1" applyAlignment="1" applyProtection="1">
      <alignment horizontal="left" vertical="center" indent="2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8/Rendelet%20m&#243;dos&#237;t&#225;sai/2018.j&#250;nius%2028/15-2018.(VI.29.)%20&#246;nk.rendelet%20mell&#233;klete-K&#246;llts&#233;gvet&#233;s%20rend.m&#243;d.%202018.j&#250;n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7">
          <cell r="C157">
            <v>6</v>
          </cell>
        </row>
        <row r="158">
          <cell r="C158"/>
        </row>
      </sheetData>
      <sheetData sheetId="10">
        <row r="157">
          <cell r="C157"/>
        </row>
        <row r="158">
          <cell r="C15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topLeftCell="B1" zoomScaleNormal="100" zoomScaleSheetLayoutView="100" workbookViewId="0">
      <selection activeCell="J3" sqref="J3"/>
    </sheetView>
  </sheetViews>
  <sheetFormatPr defaultRowHeight="15.75" x14ac:dyDescent="0.25"/>
  <cols>
    <col min="1" max="1" width="9.5" style="208" customWidth="1"/>
    <col min="2" max="2" width="91.6640625" style="208" customWidth="1"/>
    <col min="3" max="3" width="21.6640625" style="372" customWidth="1"/>
    <col min="4" max="4" width="18" style="219" hidden="1" customWidth="1"/>
    <col min="5" max="5" width="14.5" style="219" hidden="1" customWidth="1"/>
    <col min="6" max="6" width="15.33203125" style="219" hidden="1" customWidth="1"/>
    <col min="7" max="7" width="11.1640625" style="219" hidden="1" customWidth="1"/>
    <col min="8" max="8" width="15.5" style="544" hidden="1" customWidth="1"/>
    <col min="9" max="9" width="17.83203125" style="545" hidden="1" customWidth="1"/>
    <col min="10" max="10" width="9.33203125" style="219" customWidth="1"/>
    <col min="11" max="16384" width="9.33203125" style="219"/>
  </cols>
  <sheetData>
    <row r="1" spans="1:9" ht="15.95" customHeight="1" x14ac:dyDescent="0.25">
      <c r="A1" s="1003" t="s">
        <v>20</v>
      </c>
      <c r="B1" s="1003"/>
      <c r="C1" s="1003"/>
    </row>
    <row r="2" spans="1:9" ht="15.95" customHeight="1" thickBot="1" x14ac:dyDescent="0.3">
      <c r="A2" s="1002" t="s">
        <v>128</v>
      </c>
      <c r="B2" s="1002"/>
      <c r="C2" s="146" t="s">
        <v>598</v>
      </c>
    </row>
    <row r="3" spans="1:9" ht="38.1" customHeight="1" thickBot="1" x14ac:dyDescent="0.3">
      <c r="A3" s="22" t="s">
        <v>74</v>
      </c>
      <c r="B3" s="23" t="s">
        <v>22</v>
      </c>
      <c r="C3" s="35" t="s">
        <v>622</v>
      </c>
      <c r="D3" s="208" t="s">
        <v>606</v>
      </c>
      <c r="E3" s="208" t="s">
        <v>607</v>
      </c>
      <c r="F3" s="208" t="s">
        <v>608</v>
      </c>
      <c r="G3" s="208"/>
    </row>
    <row r="4" spans="1:9" s="220" customFormat="1" ht="12" customHeight="1" thickBot="1" x14ac:dyDescent="0.25">
      <c r="A4" s="214" t="s">
        <v>471</v>
      </c>
      <c r="B4" s="215" t="s">
        <v>472</v>
      </c>
      <c r="C4" s="216" t="s">
        <v>473</v>
      </c>
      <c r="H4" s="544"/>
      <c r="I4" s="545"/>
    </row>
    <row r="5" spans="1:9" s="221" customFormat="1" ht="12" customHeight="1" thickBot="1" x14ac:dyDescent="0.25">
      <c r="A5" s="19" t="s">
        <v>23</v>
      </c>
      <c r="B5" s="20" t="s">
        <v>189</v>
      </c>
      <c r="C5" s="137">
        <f t="shared" ref="C5:C36" si="0">SUM(D5:F5)</f>
        <v>1329580680</v>
      </c>
      <c r="D5" s="319">
        <f>+D6+D7+D8+D9+D10+D11</f>
        <v>1329580680</v>
      </c>
      <c r="E5" s="137">
        <f>+E6+E7+E8+E9+E10+E11</f>
        <v>0</v>
      </c>
      <c r="F5" s="137">
        <f>+F6+F7+F8+F9+F10+F11</f>
        <v>0</v>
      </c>
      <c r="H5" s="546">
        <f>'1.2.sz.mell. '!C5+'1.3.sz.mell.'!C5+'1.4.sz.mell. '!C5</f>
        <v>1329580680</v>
      </c>
      <c r="I5" s="546">
        <f t="shared" ref="I5:I68" si="1">C5-H5</f>
        <v>0</v>
      </c>
    </row>
    <row r="6" spans="1:9" s="221" customFormat="1" ht="12" customHeight="1" thickBot="1" x14ac:dyDescent="0.25">
      <c r="A6" s="14" t="s">
        <v>99</v>
      </c>
      <c r="B6" s="222" t="s">
        <v>190</v>
      </c>
      <c r="C6" s="772">
        <f t="shared" si="0"/>
        <v>227855923</v>
      </c>
      <c r="D6" s="260">
        <v>227855923</v>
      </c>
      <c r="E6" s="260"/>
      <c r="F6" s="260"/>
      <c r="H6" s="546">
        <f>'1.2.sz.mell. '!C6+'1.3.sz.mell.'!C6+'1.4.sz.mell. '!C6</f>
        <v>227855923</v>
      </c>
      <c r="I6" s="547">
        <f t="shared" si="1"/>
        <v>0</v>
      </c>
    </row>
    <row r="7" spans="1:9" s="221" customFormat="1" ht="12" customHeight="1" thickBot="1" x14ac:dyDescent="0.25">
      <c r="A7" s="13" t="s">
        <v>100</v>
      </c>
      <c r="B7" s="223" t="s">
        <v>191</v>
      </c>
      <c r="C7" s="499">
        <f t="shared" si="0"/>
        <v>225469302</v>
      </c>
      <c r="D7" s="141">
        <f>224734134+735168</f>
        <v>225469302</v>
      </c>
      <c r="E7" s="141"/>
      <c r="F7" s="141"/>
      <c r="H7" s="546">
        <f>'1.2.sz.mell. '!C7+'1.3.sz.mell.'!C7+'1.4.sz.mell. '!C7</f>
        <v>225469302</v>
      </c>
      <c r="I7" s="548">
        <f t="shared" si="1"/>
        <v>0</v>
      </c>
    </row>
    <row r="8" spans="1:9" s="221" customFormat="1" ht="12" customHeight="1" thickBot="1" x14ac:dyDescent="0.25">
      <c r="A8" s="13" t="s">
        <v>101</v>
      </c>
      <c r="B8" s="223" t="s">
        <v>588</v>
      </c>
      <c r="C8" s="499">
        <f t="shared" si="0"/>
        <v>637304158</v>
      </c>
      <c r="D8" s="141">
        <f>126991000+65060600+119410000+192410145+62092600+71339813</f>
        <v>637304158</v>
      </c>
      <c r="E8" s="141"/>
      <c r="F8" s="141"/>
      <c r="H8" s="546">
        <f>'1.2.sz.mell. '!C8+'1.3.sz.mell.'!C8+'1.4.sz.mell. '!C8</f>
        <v>637304158</v>
      </c>
      <c r="I8" s="548">
        <f t="shared" si="1"/>
        <v>0</v>
      </c>
    </row>
    <row r="9" spans="1:9" s="221" customFormat="1" ht="12" customHeight="1" thickBot="1" x14ac:dyDescent="0.25">
      <c r="A9" s="13" t="s">
        <v>102</v>
      </c>
      <c r="B9" s="223" t="s">
        <v>193</v>
      </c>
      <c r="C9" s="499">
        <f t="shared" si="0"/>
        <v>34688156</v>
      </c>
      <c r="D9" s="141">
        <f>16122040+12622000+1398336+4545780</f>
        <v>34688156</v>
      </c>
      <c r="E9" s="141"/>
      <c r="F9" s="141"/>
      <c r="H9" s="546">
        <f>'1.2.sz.mell. '!C9+'1.3.sz.mell.'!C9+'1.4.sz.mell. '!C9</f>
        <v>34688156</v>
      </c>
      <c r="I9" s="548">
        <f t="shared" si="1"/>
        <v>0</v>
      </c>
    </row>
    <row r="10" spans="1:9" s="221" customFormat="1" ht="12" customHeight="1" thickBot="1" x14ac:dyDescent="0.25">
      <c r="A10" s="13" t="s">
        <v>125</v>
      </c>
      <c r="B10" s="133" t="s">
        <v>474</v>
      </c>
      <c r="C10" s="499">
        <f t="shared" si="0"/>
        <v>204263141</v>
      </c>
      <c r="D10" s="141">
        <f>16254886+63796813+190231327+1309600+1013108-68342593</f>
        <v>204263141</v>
      </c>
      <c r="E10" s="141"/>
      <c r="F10" s="141"/>
      <c r="H10" s="546">
        <f>'1.2.sz.mell. '!C10+'1.3.sz.mell.'!C10+'1.4.sz.mell. '!C10</f>
        <v>204263141</v>
      </c>
      <c r="I10" s="548">
        <f t="shared" si="1"/>
        <v>0</v>
      </c>
    </row>
    <row r="11" spans="1:9" s="221" customFormat="1" ht="12" customHeight="1" thickBot="1" x14ac:dyDescent="0.25">
      <c r="A11" s="15" t="s">
        <v>103</v>
      </c>
      <c r="B11" s="134" t="s">
        <v>475</v>
      </c>
      <c r="C11" s="773">
        <f t="shared" si="0"/>
        <v>0</v>
      </c>
      <c r="D11" s="125"/>
      <c r="E11" s="138"/>
      <c r="F11" s="138"/>
      <c r="H11" s="546">
        <f>'1.2.sz.mell. '!C11+'1.3.sz.mell.'!C11+'1.4.sz.mell. '!C11</f>
        <v>0</v>
      </c>
      <c r="I11" s="549">
        <f t="shared" si="1"/>
        <v>0</v>
      </c>
    </row>
    <row r="12" spans="1:9" s="221" customFormat="1" ht="12" customHeight="1" thickBot="1" x14ac:dyDescent="0.25">
      <c r="A12" s="19" t="s">
        <v>24</v>
      </c>
      <c r="B12" s="132" t="s">
        <v>194</v>
      </c>
      <c r="C12" s="137">
        <f t="shared" si="0"/>
        <v>277012584</v>
      </c>
      <c r="D12" s="319">
        <f>+D13+D14+D15+D16+D17</f>
        <v>254383192</v>
      </c>
      <c r="E12" s="137">
        <f>+E13+E14+E15+E16+E17</f>
        <v>3116857</v>
      </c>
      <c r="F12" s="137">
        <f>+F13+F14+F15+F16+F17</f>
        <v>19512535</v>
      </c>
      <c r="H12" s="546">
        <f>'1.2.sz.mell. '!C12+'1.3.sz.mell.'!C12+'1.4.sz.mell. '!C12</f>
        <v>277012584</v>
      </c>
      <c r="I12" s="546">
        <f t="shared" si="1"/>
        <v>0</v>
      </c>
    </row>
    <row r="13" spans="1:9" s="221" customFormat="1" ht="12" customHeight="1" thickBot="1" x14ac:dyDescent="0.25">
      <c r="A13" s="14" t="s">
        <v>105</v>
      </c>
      <c r="B13" s="222" t="s">
        <v>195</v>
      </c>
      <c r="C13" s="772">
        <f t="shared" si="0"/>
        <v>0</v>
      </c>
      <c r="D13" s="321"/>
      <c r="E13" s="139"/>
      <c r="F13" s="139"/>
      <c r="H13" s="546">
        <f>'1.2.sz.mell. '!C13+'1.3.sz.mell.'!C13+'1.4.sz.mell. '!C13</f>
        <v>0</v>
      </c>
      <c r="I13" s="547">
        <f t="shared" si="1"/>
        <v>0</v>
      </c>
    </row>
    <row r="14" spans="1:9" s="221" customFormat="1" ht="12" customHeight="1" thickBot="1" x14ac:dyDescent="0.25">
      <c r="A14" s="13" t="s">
        <v>106</v>
      </c>
      <c r="B14" s="223" t="s">
        <v>196</v>
      </c>
      <c r="C14" s="363">
        <f t="shared" si="0"/>
        <v>0</v>
      </c>
      <c r="D14" s="125"/>
      <c r="E14" s="138"/>
      <c r="F14" s="138"/>
      <c r="H14" s="546">
        <f>'1.2.sz.mell. '!C14+'1.3.sz.mell.'!C14+'1.4.sz.mell. '!C14</f>
        <v>0</v>
      </c>
      <c r="I14" s="548">
        <f t="shared" si="1"/>
        <v>0</v>
      </c>
    </row>
    <row r="15" spans="1:9" s="221" customFormat="1" ht="12" customHeight="1" thickBot="1" x14ac:dyDescent="0.25">
      <c r="A15" s="13" t="s">
        <v>107</v>
      </c>
      <c r="B15" s="223" t="s">
        <v>365</v>
      </c>
      <c r="C15" s="363">
        <f t="shared" si="0"/>
        <v>0</v>
      </c>
      <c r="D15" s="125"/>
      <c r="E15" s="138"/>
      <c r="F15" s="138"/>
      <c r="H15" s="546">
        <f>'1.2.sz.mell. '!C15+'1.3.sz.mell.'!C15+'1.4.sz.mell. '!C15</f>
        <v>0</v>
      </c>
      <c r="I15" s="548">
        <f t="shared" si="1"/>
        <v>0</v>
      </c>
    </row>
    <row r="16" spans="1:9" s="221" customFormat="1" ht="12" customHeight="1" thickBot="1" x14ac:dyDescent="0.25">
      <c r="A16" s="13" t="s">
        <v>108</v>
      </c>
      <c r="B16" s="223" t="s">
        <v>366</v>
      </c>
      <c r="C16" s="363">
        <f t="shared" si="0"/>
        <v>0</v>
      </c>
      <c r="D16" s="125"/>
      <c r="E16" s="138"/>
      <c r="F16" s="138"/>
      <c r="H16" s="546">
        <f>'1.2.sz.mell. '!C16+'1.3.sz.mell.'!C16+'1.4.sz.mell. '!C16</f>
        <v>0</v>
      </c>
      <c r="I16" s="548">
        <f t="shared" si="1"/>
        <v>0</v>
      </c>
    </row>
    <row r="17" spans="1:9" s="221" customFormat="1" ht="12" customHeight="1" thickBot="1" x14ac:dyDescent="0.25">
      <c r="A17" s="13" t="s">
        <v>109</v>
      </c>
      <c r="B17" s="223" t="s">
        <v>197</v>
      </c>
      <c r="C17" s="499">
        <f t="shared" si="0"/>
        <v>277012584</v>
      </c>
      <c r="D17" s="301">
        <f>3900000+4320000+125887110+24250000-344442+81177781+3810743+11382000</f>
        <v>254383192</v>
      </c>
      <c r="E17" s="298">
        <f>3096237+20620</f>
        <v>3116857</v>
      </c>
      <c r="F17" s="141">
        <v>19512535</v>
      </c>
      <c r="H17" s="546">
        <f>'1.2.sz.mell. '!C17+'1.3.sz.mell.'!C17+'1.4.sz.mell. '!C17</f>
        <v>277012584</v>
      </c>
      <c r="I17" s="548">
        <f t="shared" si="1"/>
        <v>0</v>
      </c>
    </row>
    <row r="18" spans="1:9" s="221" customFormat="1" ht="12" customHeight="1" thickBot="1" x14ac:dyDescent="0.25">
      <c r="A18" s="15" t="s">
        <v>118</v>
      </c>
      <c r="B18" s="134" t="s">
        <v>198</v>
      </c>
      <c r="C18" s="773">
        <f t="shared" si="0"/>
        <v>85930791</v>
      </c>
      <c r="D18" s="300">
        <v>85531256</v>
      </c>
      <c r="E18" s="211"/>
      <c r="F18" s="211">
        <v>399535</v>
      </c>
      <c r="H18" s="546">
        <f>'1.2.sz.mell. '!C18+'1.3.sz.mell.'!C18+'1.4.sz.mell. '!C18</f>
        <v>85930791</v>
      </c>
      <c r="I18" s="549">
        <f t="shared" si="1"/>
        <v>0</v>
      </c>
    </row>
    <row r="19" spans="1:9" s="221" customFormat="1" ht="12" customHeight="1" thickBot="1" x14ac:dyDescent="0.25">
      <c r="A19" s="19" t="s">
        <v>25</v>
      </c>
      <c r="B19" s="20" t="s">
        <v>199</v>
      </c>
      <c r="C19" s="137">
        <f t="shared" si="0"/>
        <v>73301322</v>
      </c>
      <c r="D19" s="319">
        <f>+D20+D21+D22+D23+D24</f>
        <v>73301322</v>
      </c>
      <c r="E19" s="137">
        <f>+E20+E21+E22+E23+E24</f>
        <v>0</v>
      </c>
      <c r="F19" s="137">
        <f>+F20+F21+F22+F23+F24</f>
        <v>0</v>
      </c>
      <c r="H19" s="546">
        <f>'1.2.sz.mell. '!C19+'1.3.sz.mell.'!C19+'1.4.sz.mell. '!C19</f>
        <v>73301322</v>
      </c>
      <c r="I19" s="546">
        <f t="shared" si="1"/>
        <v>0</v>
      </c>
    </row>
    <row r="20" spans="1:9" s="221" customFormat="1" ht="12" customHeight="1" thickBot="1" x14ac:dyDescent="0.25">
      <c r="A20" s="14" t="s">
        <v>88</v>
      </c>
      <c r="B20" s="222" t="s">
        <v>200</v>
      </c>
      <c r="C20" s="774">
        <f t="shared" si="0"/>
        <v>0</v>
      </c>
      <c r="D20" s="351"/>
      <c r="E20" s="295"/>
      <c r="F20" s="295"/>
      <c r="H20" s="546">
        <f>'1.2.sz.mell. '!C20+'1.3.sz.mell.'!C20+'1.4.sz.mell. '!C20</f>
        <v>0</v>
      </c>
      <c r="I20" s="547">
        <f t="shared" si="1"/>
        <v>0</v>
      </c>
    </row>
    <row r="21" spans="1:9" s="221" customFormat="1" ht="12" customHeight="1" thickBot="1" x14ac:dyDescent="0.25">
      <c r="A21" s="13" t="s">
        <v>89</v>
      </c>
      <c r="B21" s="223" t="s">
        <v>201</v>
      </c>
      <c r="C21" s="775">
        <f t="shared" si="0"/>
        <v>0</v>
      </c>
      <c r="D21" s="296"/>
      <c r="E21" s="141"/>
      <c r="F21" s="141"/>
      <c r="H21" s="546">
        <f>'1.2.sz.mell. '!C21+'1.3.sz.mell.'!C21+'1.4.sz.mell. '!C21</f>
        <v>0</v>
      </c>
      <c r="I21" s="548">
        <f t="shared" si="1"/>
        <v>0</v>
      </c>
    </row>
    <row r="22" spans="1:9" s="221" customFormat="1" ht="12" customHeight="1" thickBot="1" x14ac:dyDescent="0.25">
      <c r="A22" s="13" t="s">
        <v>90</v>
      </c>
      <c r="B22" s="223" t="s">
        <v>367</v>
      </c>
      <c r="C22" s="363">
        <f t="shared" si="0"/>
        <v>0</v>
      </c>
      <c r="D22" s="296"/>
      <c r="E22" s="141"/>
      <c r="F22" s="141"/>
      <c r="H22" s="546">
        <f>'1.2.sz.mell. '!C22+'1.3.sz.mell.'!C22+'1.4.sz.mell. '!C22</f>
        <v>0</v>
      </c>
      <c r="I22" s="548">
        <f t="shared" si="1"/>
        <v>0</v>
      </c>
    </row>
    <row r="23" spans="1:9" s="221" customFormat="1" ht="12" customHeight="1" thickBot="1" x14ac:dyDescent="0.25">
      <c r="A23" s="13" t="s">
        <v>91</v>
      </c>
      <c r="B23" s="223" t="s">
        <v>368</v>
      </c>
      <c r="C23" s="363">
        <f t="shared" si="0"/>
        <v>0</v>
      </c>
      <c r="D23" s="296"/>
      <c r="E23" s="141"/>
      <c r="F23" s="141"/>
      <c r="H23" s="546">
        <f>'1.2.sz.mell. '!C23+'1.3.sz.mell.'!C23+'1.4.sz.mell. '!C23</f>
        <v>0</v>
      </c>
      <c r="I23" s="548">
        <f t="shared" si="1"/>
        <v>0</v>
      </c>
    </row>
    <row r="24" spans="1:9" s="221" customFormat="1" ht="12" customHeight="1" thickBot="1" x14ac:dyDescent="0.25">
      <c r="A24" s="13" t="s">
        <v>136</v>
      </c>
      <c r="B24" s="223" t="s">
        <v>202</v>
      </c>
      <c r="C24" s="363">
        <f t="shared" si="0"/>
        <v>73301322</v>
      </c>
      <c r="D24" s="296">
        <f>5866130+3779393+3796748+59859051</f>
        <v>73301322</v>
      </c>
      <c r="E24" s="141"/>
      <c r="F24" s="141"/>
      <c r="H24" s="546">
        <f>'1.2.sz.mell. '!C24+'1.3.sz.mell.'!C24+'1.4.sz.mell. '!C24</f>
        <v>73301322</v>
      </c>
      <c r="I24" s="548">
        <f t="shared" si="1"/>
        <v>0</v>
      </c>
    </row>
    <row r="25" spans="1:9" s="221" customFormat="1" ht="12" customHeight="1" thickBot="1" x14ac:dyDescent="0.25">
      <c r="A25" s="15" t="s">
        <v>137</v>
      </c>
      <c r="B25" s="224" t="s">
        <v>203</v>
      </c>
      <c r="C25" s="773">
        <f t="shared" si="0"/>
        <v>68947847</v>
      </c>
      <c r="D25" s="300">
        <f>9645523+3796748+55505576</f>
        <v>68947847</v>
      </c>
      <c r="E25" s="211"/>
      <c r="F25" s="211"/>
      <c r="H25" s="546">
        <f>'1.2.sz.mell. '!C25+'1.3.sz.mell.'!C25+'1.4.sz.mell. '!C25</f>
        <v>68947847</v>
      </c>
      <c r="I25" s="549">
        <f t="shared" si="1"/>
        <v>0</v>
      </c>
    </row>
    <row r="26" spans="1:9" s="221" customFormat="1" ht="12" customHeight="1" thickBot="1" x14ac:dyDescent="0.25">
      <c r="A26" s="19" t="s">
        <v>138</v>
      </c>
      <c r="B26" s="20" t="s">
        <v>204</v>
      </c>
      <c r="C26" s="137">
        <f t="shared" si="0"/>
        <v>352658000</v>
      </c>
      <c r="D26" s="322">
        <f>+D27+D31+D32+D33</f>
        <v>352658000</v>
      </c>
      <c r="E26" s="142">
        <f>+E27+E31+E32+E33</f>
        <v>0</v>
      </c>
      <c r="F26" s="142">
        <f>+F27+F31+F32+F33</f>
        <v>0</v>
      </c>
      <c r="H26" s="546">
        <f>'1.2.sz.mell. '!C26+'1.3.sz.mell.'!C26+'1.4.sz.mell. '!C26</f>
        <v>352658000</v>
      </c>
      <c r="I26" s="546">
        <f t="shared" si="1"/>
        <v>0</v>
      </c>
    </row>
    <row r="27" spans="1:9" s="221" customFormat="1" ht="12" customHeight="1" thickBot="1" x14ac:dyDescent="0.25">
      <c r="A27" s="14" t="s">
        <v>205</v>
      </c>
      <c r="B27" s="222" t="s">
        <v>476</v>
      </c>
      <c r="C27" s="772">
        <f t="shared" si="0"/>
        <v>308654000</v>
      </c>
      <c r="D27" s="352">
        <f>SUM(D28:D30)</f>
        <v>308654000</v>
      </c>
      <c r="E27" s="217"/>
      <c r="F27" s="217"/>
      <c r="H27" s="546">
        <f>'1.2.sz.mell. '!C27+'1.3.sz.mell.'!C27+'1.4.sz.mell. '!C27</f>
        <v>308654000</v>
      </c>
      <c r="I27" s="547">
        <f t="shared" si="1"/>
        <v>0</v>
      </c>
    </row>
    <row r="28" spans="1:9" s="221" customFormat="1" ht="12" customHeight="1" thickBot="1" x14ac:dyDescent="0.25">
      <c r="A28" s="13" t="s">
        <v>206</v>
      </c>
      <c r="B28" s="223" t="s">
        <v>211</v>
      </c>
      <c r="C28" s="363">
        <f t="shared" si="0"/>
        <v>77500000</v>
      </c>
      <c r="D28" s="125">
        <f>7500000+70000000</f>
        <v>77500000</v>
      </c>
      <c r="E28" s="138"/>
      <c r="F28" s="138"/>
      <c r="H28" s="546">
        <f>'1.2.sz.mell. '!C28+'1.3.sz.mell.'!C28+'1.4.sz.mell. '!C28</f>
        <v>77500000</v>
      </c>
      <c r="I28" s="548">
        <f t="shared" si="1"/>
        <v>0</v>
      </c>
    </row>
    <row r="29" spans="1:9" s="221" customFormat="1" ht="12" customHeight="1" thickBot="1" x14ac:dyDescent="0.25">
      <c r="A29" s="13" t="s">
        <v>207</v>
      </c>
      <c r="B29" s="223" t="s">
        <v>574</v>
      </c>
      <c r="C29" s="363">
        <f t="shared" si="0"/>
        <v>231154000</v>
      </c>
      <c r="D29" s="125">
        <v>231154000</v>
      </c>
      <c r="E29" s="138"/>
      <c r="F29" s="138"/>
      <c r="H29" s="546">
        <f>'1.2.sz.mell. '!C29+'1.3.sz.mell.'!C29+'1.4.sz.mell. '!C29</f>
        <v>231154000</v>
      </c>
      <c r="I29" s="548">
        <f t="shared" si="1"/>
        <v>0</v>
      </c>
    </row>
    <row r="30" spans="1:9" s="221" customFormat="1" ht="12" customHeight="1" thickBot="1" x14ac:dyDescent="0.25">
      <c r="A30" s="13" t="s">
        <v>208</v>
      </c>
      <c r="B30" s="223" t="s">
        <v>575</v>
      </c>
      <c r="C30" s="363">
        <f t="shared" si="0"/>
        <v>0</v>
      </c>
      <c r="D30" s="296"/>
      <c r="E30" s="141"/>
      <c r="F30" s="141"/>
      <c r="H30" s="546">
        <f>'1.2.sz.mell. '!C30+'1.3.sz.mell.'!C30+'1.4.sz.mell. '!C30</f>
        <v>0</v>
      </c>
      <c r="I30" s="548">
        <f t="shared" si="1"/>
        <v>0</v>
      </c>
    </row>
    <row r="31" spans="1:9" s="221" customFormat="1" ht="12" customHeight="1" thickBot="1" x14ac:dyDescent="0.25">
      <c r="A31" s="13" t="s">
        <v>576</v>
      </c>
      <c r="B31" s="223" t="s">
        <v>213</v>
      </c>
      <c r="C31" s="363">
        <f t="shared" si="0"/>
        <v>28000000</v>
      </c>
      <c r="D31" s="125">
        <v>28000000</v>
      </c>
      <c r="E31" s="138"/>
      <c r="F31" s="138"/>
      <c r="H31" s="546">
        <f>'1.2.sz.mell. '!C31+'1.3.sz.mell.'!C31+'1.4.sz.mell. '!C31</f>
        <v>28000000</v>
      </c>
      <c r="I31" s="548">
        <f t="shared" si="1"/>
        <v>0</v>
      </c>
    </row>
    <row r="32" spans="1:9" s="221" customFormat="1" ht="12" customHeight="1" thickBot="1" x14ac:dyDescent="0.25">
      <c r="A32" s="13" t="s">
        <v>210</v>
      </c>
      <c r="B32" s="223" t="s">
        <v>214</v>
      </c>
      <c r="C32" s="363">
        <f t="shared" si="0"/>
        <v>4000</v>
      </c>
      <c r="D32" s="125">
        <f>4000+4500000-4500000</f>
        <v>4000</v>
      </c>
      <c r="E32" s="138"/>
      <c r="F32" s="138"/>
      <c r="H32" s="546">
        <f>'1.2.sz.mell. '!C32+'1.3.sz.mell.'!C32+'1.4.sz.mell. '!C32</f>
        <v>4000</v>
      </c>
      <c r="I32" s="548">
        <f t="shared" si="1"/>
        <v>0</v>
      </c>
    </row>
    <row r="33" spans="1:9" s="221" customFormat="1" ht="12" customHeight="1" thickBot="1" x14ac:dyDescent="0.25">
      <c r="A33" s="15" t="s">
        <v>577</v>
      </c>
      <c r="B33" s="224" t="s">
        <v>215</v>
      </c>
      <c r="C33" s="773">
        <f t="shared" si="0"/>
        <v>16000000</v>
      </c>
      <c r="D33" s="300">
        <f>1500000+2000000+1000000+7000000+4500000</f>
        <v>16000000</v>
      </c>
      <c r="E33" s="211"/>
      <c r="F33" s="211"/>
      <c r="H33" s="546">
        <f>'1.2.sz.mell. '!C33+'1.3.sz.mell.'!C33+'1.4.sz.mell. '!C33</f>
        <v>16000000</v>
      </c>
      <c r="I33" s="549">
        <f t="shared" si="1"/>
        <v>0</v>
      </c>
    </row>
    <row r="34" spans="1:9" s="221" customFormat="1" ht="12" customHeight="1" thickBot="1" x14ac:dyDescent="0.25">
      <c r="A34" s="19" t="s">
        <v>27</v>
      </c>
      <c r="B34" s="20" t="s">
        <v>479</v>
      </c>
      <c r="C34" s="137">
        <f t="shared" si="0"/>
        <v>444032260</v>
      </c>
      <c r="D34" s="319">
        <f>SUM(D35:D45)</f>
        <v>49980812</v>
      </c>
      <c r="E34" s="137">
        <f>SUM(E35:E45)</f>
        <v>8419440</v>
      </c>
      <c r="F34" s="137">
        <f>SUM(F35:F45)</f>
        <v>385632008</v>
      </c>
      <c r="H34" s="546">
        <f>'1.2.sz.mell. '!C34+'1.3.sz.mell.'!C34+'1.4.sz.mell. '!C34</f>
        <v>444032260</v>
      </c>
      <c r="I34" s="546">
        <f t="shared" si="1"/>
        <v>0</v>
      </c>
    </row>
    <row r="35" spans="1:9" s="221" customFormat="1" ht="12" customHeight="1" thickBot="1" x14ac:dyDescent="0.25">
      <c r="A35" s="14" t="s">
        <v>92</v>
      </c>
      <c r="B35" s="222" t="s">
        <v>218</v>
      </c>
      <c r="C35" s="772">
        <f t="shared" si="0"/>
        <v>12179000</v>
      </c>
      <c r="D35" s="325">
        <v>12159000</v>
      </c>
      <c r="E35" s="260"/>
      <c r="F35" s="260">
        <v>20000</v>
      </c>
      <c r="H35" s="546">
        <f>'1.2.sz.mell. '!C35+'1.3.sz.mell.'!C35+'1.4.sz.mell. '!C35</f>
        <v>12179000</v>
      </c>
      <c r="I35" s="547">
        <f t="shared" si="1"/>
        <v>0</v>
      </c>
    </row>
    <row r="36" spans="1:9" s="221" customFormat="1" ht="12.75" customHeight="1" thickBot="1" x14ac:dyDescent="0.25">
      <c r="A36" s="13" t="s">
        <v>93</v>
      </c>
      <c r="B36" s="223" t="s">
        <v>219</v>
      </c>
      <c r="C36" s="363">
        <f t="shared" si="0"/>
        <v>81975580</v>
      </c>
      <c r="D36" s="296">
        <f>13910169+100000+62992+7239600</f>
        <v>21312761</v>
      </c>
      <c r="E36" s="141">
        <f>500000+1198440+380000+4150000</f>
        <v>6228440</v>
      </c>
      <c r="F36" s="260">
        <f>52063316+2371063</f>
        <v>54434379</v>
      </c>
      <c r="H36" s="546">
        <f>'1.2.sz.mell. '!C36+'1.3.sz.mell.'!C36+'1.4.sz.mell. '!C36</f>
        <v>81975580</v>
      </c>
      <c r="I36" s="548">
        <f t="shared" si="1"/>
        <v>0</v>
      </c>
    </row>
    <row r="37" spans="1:9" s="221" customFormat="1" ht="12" customHeight="1" thickBot="1" x14ac:dyDescent="0.25">
      <c r="A37" s="13" t="s">
        <v>94</v>
      </c>
      <c r="B37" s="223" t="s">
        <v>220</v>
      </c>
      <c r="C37" s="363">
        <f t="shared" ref="C37:C87" si="2">SUM(D37:F37)</f>
        <v>103069200</v>
      </c>
      <c r="D37" s="296">
        <f>500000+300000+50000+1400000+947000+300000+52200</f>
        <v>3549200</v>
      </c>
      <c r="E37" s="141">
        <v>300000</v>
      </c>
      <c r="F37" s="260">
        <v>99220000</v>
      </c>
      <c r="H37" s="546">
        <f>'1.2.sz.mell. '!C37+'1.3.sz.mell.'!C37+'1.4.sz.mell. '!C37</f>
        <v>103069200</v>
      </c>
      <c r="I37" s="548">
        <f t="shared" si="1"/>
        <v>0</v>
      </c>
    </row>
    <row r="38" spans="1:9" s="221" customFormat="1" ht="12" customHeight="1" thickBot="1" x14ac:dyDescent="0.25">
      <c r="A38" s="13" t="s">
        <v>140</v>
      </c>
      <c r="B38" s="223" t="s">
        <v>221</v>
      </c>
      <c r="C38" s="363">
        <f t="shared" si="2"/>
        <v>430000</v>
      </c>
      <c r="D38" s="296">
        <v>430000</v>
      </c>
      <c r="E38" s="141"/>
      <c r="F38" s="260"/>
      <c r="H38" s="546">
        <f>'1.2.sz.mell. '!C38+'1.3.sz.mell.'!C38+'1.4.sz.mell. '!C38</f>
        <v>430000</v>
      </c>
      <c r="I38" s="548">
        <f t="shared" si="1"/>
        <v>0</v>
      </c>
    </row>
    <row r="39" spans="1:9" s="221" customFormat="1" ht="12" customHeight="1" thickBot="1" x14ac:dyDescent="0.25">
      <c r="A39" s="13" t="s">
        <v>141</v>
      </c>
      <c r="B39" s="223" t="s">
        <v>222</v>
      </c>
      <c r="C39" s="499">
        <f t="shared" si="2"/>
        <v>175085653</v>
      </c>
      <c r="D39" s="296">
        <v>-4000000</v>
      </c>
      <c r="E39" s="141"/>
      <c r="F39" s="260">
        <v>179085653</v>
      </c>
      <c r="H39" s="546">
        <f>'1.2.sz.mell. '!C39+'1.3.sz.mell.'!C39+'1.4.sz.mell. '!C39</f>
        <v>175085653</v>
      </c>
      <c r="I39" s="548">
        <f t="shared" si="1"/>
        <v>0</v>
      </c>
    </row>
    <row r="40" spans="1:9" s="221" customFormat="1" ht="12" customHeight="1" thickBot="1" x14ac:dyDescent="0.25">
      <c r="A40" s="13" t="s">
        <v>142</v>
      </c>
      <c r="B40" s="223" t="s">
        <v>223</v>
      </c>
      <c r="C40" s="363">
        <f t="shared" si="2"/>
        <v>48118270</v>
      </c>
      <c r="D40" s="296">
        <f>3283000+5162000+81000+13500+378000+81000+14094+17008+2636692</f>
        <v>11666294</v>
      </c>
      <c r="E40" s="141">
        <f>135000+324000+103000+1229000</f>
        <v>1791000</v>
      </c>
      <c r="F40" s="260">
        <f>34020789+640187</f>
        <v>34660976</v>
      </c>
      <c r="H40" s="546">
        <f>'1.2.sz.mell. '!C40+'1.3.sz.mell.'!C40+'1.4.sz.mell. '!C40</f>
        <v>48118270</v>
      </c>
      <c r="I40" s="548">
        <f t="shared" si="1"/>
        <v>0</v>
      </c>
    </row>
    <row r="41" spans="1:9" s="221" customFormat="1" ht="12" customHeight="1" thickBot="1" x14ac:dyDescent="0.25">
      <c r="A41" s="13" t="s">
        <v>143</v>
      </c>
      <c r="B41" s="223" t="s">
        <v>224</v>
      </c>
      <c r="C41" s="363">
        <f t="shared" si="2"/>
        <v>18210000</v>
      </c>
      <c r="D41" s="296"/>
      <c r="E41" s="141"/>
      <c r="F41" s="260">
        <v>18210000</v>
      </c>
      <c r="H41" s="546">
        <f>'1.2.sz.mell. '!C41+'1.3.sz.mell.'!C41+'1.4.sz.mell. '!C41</f>
        <v>18210000</v>
      </c>
      <c r="I41" s="548">
        <f t="shared" si="1"/>
        <v>0</v>
      </c>
    </row>
    <row r="42" spans="1:9" s="221" customFormat="1" ht="12" customHeight="1" thickBot="1" x14ac:dyDescent="0.25">
      <c r="A42" s="13" t="s">
        <v>144</v>
      </c>
      <c r="B42" s="223" t="s">
        <v>585</v>
      </c>
      <c r="C42" s="363">
        <f t="shared" si="2"/>
        <v>31000</v>
      </c>
      <c r="D42" s="296">
        <v>30000</v>
      </c>
      <c r="E42" s="141"/>
      <c r="F42" s="260">
        <v>1000</v>
      </c>
      <c r="H42" s="546">
        <f>'1.2.sz.mell. '!C42+'1.3.sz.mell.'!C42+'1.4.sz.mell. '!C42</f>
        <v>31000</v>
      </c>
      <c r="I42" s="548">
        <f t="shared" si="1"/>
        <v>0</v>
      </c>
    </row>
    <row r="43" spans="1:9" s="221" customFormat="1" ht="12" customHeight="1" thickBot="1" x14ac:dyDescent="0.25">
      <c r="A43" s="13" t="s">
        <v>216</v>
      </c>
      <c r="B43" s="223" t="s">
        <v>226</v>
      </c>
      <c r="C43" s="363">
        <f t="shared" si="2"/>
        <v>0</v>
      </c>
      <c r="D43" s="296"/>
      <c r="E43" s="141"/>
      <c r="F43" s="260"/>
      <c r="H43" s="546">
        <f>'1.2.sz.mell. '!C43+'1.3.sz.mell.'!C43+'1.4.sz.mell. '!C43</f>
        <v>0</v>
      </c>
      <c r="I43" s="548">
        <f t="shared" si="1"/>
        <v>0</v>
      </c>
    </row>
    <row r="44" spans="1:9" s="221" customFormat="1" ht="12" customHeight="1" thickBot="1" x14ac:dyDescent="0.25">
      <c r="A44" s="15" t="s">
        <v>217</v>
      </c>
      <c r="B44" s="224" t="s">
        <v>480</v>
      </c>
      <c r="C44" s="363">
        <f t="shared" si="2"/>
        <v>500000</v>
      </c>
      <c r="D44" s="300">
        <v>500000</v>
      </c>
      <c r="E44" s="211"/>
      <c r="F44" s="260"/>
      <c r="H44" s="546">
        <f>'1.2.sz.mell. '!C44+'1.3.sz.mell.'!C44+'1.4.sz.mell. '!C44</f>
        <v>500000</v>
      </c>
      <c r="I44" s="548">
        <f t="shared" si="1"/>
        <v>0</v>
      </c>
    </row>
    <row r="45" spans="1:9" s="221" customFormat="1" ht="12" customHeight="1" thickBot="1" x14ac:dyDescent="0.25">
      <c r="A45" s="15" t="s">
        <v>481</v>
      </c>
      <c r="B45" s="134" t="s">
        <v>227</v>
      </c>
      <c r="C45" s="773">
        <f t="shared" si="2"/>
        <v>4433557</v>
      </c>
      <c r="D45" s="300">
        <f>60000+600000+501164+3172393</f>
        <v>4333557</v>
      </c>
      <c r="E45" s="211">
        <v>100000</v>
      </c>
      <c r="F45" s="260"/>
      <c r="H45" s="546">
        <f>'1.2.sz.mell. '!C45+'1.3.sz.mell.'!C45+'1.4.sz.mell. '!C45</f>
        <v>4433557</v>
      </c>
      <c r="I45" s="549">
        <f t="shared" si="1"/>
        <v>0</v>
      </c>
    </row>
    <row r="46" spans="1:9" s="221" customFormat="1" ht="12" customHeight="1" thickBot="1" x14ac:dyDescent="0.25">
      <c r="A46" s="19" t="s">
        <v>28</v>
      </c>
      <c r="B46" s="20" t="s">
        <v>228</v>
      </c>
      <c r="C46" s="137">
        <f t="shared" si="2"/>
        <v>30332500</v>
      </c>
      <c r="D46" s="319">
        <f>SUM(D47:D51)</f>
        <v>30332500</v>
      </c>
      <c r="E46" s="137">
        <f>SUM(E47:E51)</f>
        <v>0</v>
      </c>
      <c r="F46" s="137">
        <f>SUM(F47:F51)</f>
        <v>0</v>
      </c>
      <c r="H46" s="546">
        <f>'1.2.sz.mell. '!C46+'1.3.sz.mell.'!C46+'1.4.sz.mell. '!C46</f>
        <v>30332500</v>
      </c>
      <c r="I46" s="546">
        <f t="shared" si="1"/>
        <v>0</v>
      </c>
    </row>
    <row r="47" spans="1:9" s="221" customFormat="1" ht="12" customHeight="1" thickBot="1" x14ac:dyDescent="0.25">
      <c r="A47" s="14" t="s">
        <v>95</v>
      </c>
      <c r="B47" s="222" t="s">
        <v>232</v>
      </c>
      <c r="C47" s="774">
        <f t="shared" si="2"/>
        <v>0</v>
      </c>
      <c r="D47" s="325"/>
      <c r="E47" s="260"/>
      <c r="F47" s="260"/>
      <c r="H47" s="546">
        <f>'1.2.sz.mell. '!C47+'1.3.sz.mell.'!C47+'1.4.sz.mell. '!C47</f>
        <v>0</v>
      </c>
      <c r="I47" s="547">
        <f t="shared" si="1"/>
        <v>0</v>
      </c>
    </row>
    <row r="48" spans="1:9" s="221" customFormat="1" ht="12" customHeight="1" thickBot="1" x14ac:dyDescent="0.25">
      <c r="A48" s="13" t="s">
        <v>96</v>
      </c>
      <c r="B48" s="223" t="s">
        <v>233</v>
      </c>
      <c r="C48" s="363">
        <f t="shared" si="2"/>
        <v>30332500</v>
      </c>
      <c r="D48" s="296">
        <v>30332500</v>
      </c>
      <c r="E48" s="141"/>
      <c r="F48" s="141"/>
      <c r="H48" s="546">
        <f>'1.2.sz.mell. '!C48+'1.3.sz.mell.'!C48+'1.4.sz.mell. '!C48</f>
        <v>30332500</v>
      </c>
      <c r="I48" s="548">
        <f t="shared" si="1"/>
        <v>0</v>
      </c>
    </row>
    <row r="49" spans="1:9" s="221" customFormat="1" ht="12" customHeight="1" thickBot="1" x14ac:dyDescent="0.25">
      <c r="A49" s="13" t="s">
        <v>229</v>
      </c>
      <c r="B49" s="223" t="s">
        <v>234</v>
      </c>
      <c r="C49" s="363">
        <f t="shared" si="2"/>
        <v>0</v>
      </c>
      <c r="D49" s="296"/>
      <c r="E49" s="141"/>
      <c r="F49" s="141"/>
      <c r="H49" s="546">
        <f>'1.2.sz.mell. '!C49+'1.3.sz.mell.'!C49+'1.4.sz.mell. '!C49</f>
        <v>0</v>
      </c>
      <c r="I49" s="548">
        <f t="shared" si="1"/>
        <v>0</v>
      </c>
    </row>
    <row r="50" spans="1:9" s="221" customFormat="1" ht="12" customHeight="1" thickBot="1" x14ac:dyDescent="0.25">
      <c r="A50" s="13" t="s">
        <v>230</v>
      </c>
      <c r="B50" s="223" t="s">
        <v>235</v>
      </c>
      <c r="C50" s="363">
        <f t="shared" si="2"/>
        <v>0</v>
      </c>
      <c r="D50" s="296"/>
      <c r="E50" s="141"/>
      <c r="F50" s="141"/>
      <c r="H50" s="546">
        <f>'1.2.sz.mell. '!C50+'1.3.sz.mell.'!C50+'1.4.sz.mell. '!C50</f>
        <v>0</v>
      </c>
      <c r="I50" s="548">
        <f t="shared" si="1"/>
        <v>0</v>
      </c>
    </row>
    <row r="51" spans="1:9" s="221" customFormat="1" ht="12" customHeight="1" thickBot="1" x14ac:dyDescent="0.25">
      <c r="A51" s="15" t="s">
        <v>231</v>
      </c>
      <c r="B51" s="134" t="s">
        <v>236</v>
      </c>
      <c r="C51" s="776">
        <f t="shared" si="2"/>
        <v>0</v>
      </c>
      <c r="D51" s="300"/>
      <c r="E51" s="211"/>
      <c r="F51" s="211"/>
      <c r="H51" s="546">
        <f>'1.2.sz.mell. '!C51+'1.3.sz.mell.'!C51+'1.4.sz.mell. '!C51</f>
        <v>0</v>
      </c>
      <c r="I51" s="549">
        <f t="shared" si="1"/>
        <v>0</v>
      </c>
    </row>
    <row r="52" spans="1:9" s="221" customFormat="1" ht="12" customHeight="1" thickBot="1" x14ac:dyDescent="0.25">
      <c r="A52" s="19" t="s">
        <v>145</v>
      </c>
      <c r="B52" s="662" t="s">
        <v>237</v>
      </c>
      <c r="C52" s="347">
        <f t="shared" si="2"/>
        <v>5224000</v>
      </c>
      <c r="D52" s="319">
        <f>SUM(D53:D55)</f>
        <v>5224000</v>
      </c>
      <c r="E52" s="137">
        <f>SUM(E53:E55)</f>
        <v>0</v>
      </c>
      <c r="F52" s="137">
        <f>SUM(F53:F55)</f>
        <v>0</v>
      </c>
      <c r="H52" s="546">
        <f>'1.2.sz.mell. '!C52+'1.3.sz.mell.'!C52+'1.4.sz.mell. '!C52</f>
        <v>5224000</v>
      </c>
      <c r="I52" s="546">
        <f t="shared" si="1"/>
        <v>0</v>
      </c>
    </row>
    <row r="53" spans="1:9" s="221" customFormat="1" ht="12" customHeight="1" thickBot="1" x14ac:dyDescent="0.25">
      <c r="A53" s="14" t="s">
        <v>97</v>
      </c>
      <c r="B53" s="222" t="s">
        <v>238</v>
      </c>
      <c r="C53" s="777">
        <f t="shared" si="2"/>
        <v>0</v>
      </c>
      <c r="D53" s="321"/>
      <c r="E53" s="139"/>
      <c r="F53" s="139"/>
      <c r="H53" s="546">
        <f>'1.2.sz.mell. '!C53+'1.3.sz.mell.'!C53+'1.4.sz.mell. '!C53</f>
        <v>0</v>
      </c>
      <c r="I53" s="547">
        <f t="shared" si="1"/>
        <v>0</v>
      </c>
    </row>
    <row r="54" spans="1:9" s="221" customFormat="1" ht="12" customHeight="1" thickBot="1" x14ac:dyDescent="0.25">
      <c r="A54" s="13" t="s">
        <v>98</v>
      </c>
      <c r="B54" s="223" t="s">
        <v>369</v>
      </c>
      <c r="C54" s="363">
        <f t="shared" si="2"/>
        <v>1866000</v>
      </c>
      <c r="D54" s="296">
        <f>1566000+300000</f>
        <v>1866000</v>
      </c>
      <c r="E54" s="141"/>
      <c r="F54" s="141"/>
      <c r="H54" s="546">
        <f>'1.2.sz.mell. '!C54+'1.3.sz.mell.'!C54+'1.4.sz.mell. '!C54</f>
        <v>1866000</v>
      </c>
      <c r="I54" s="548">
        <f t="shared" si="1"/>
        <v>0</v>
      </c>
    </row>
    <row r="55" spans="1:9" s="221" customFormat="1" ht="12" customHeight="1" thickBot="1" x14ac:dyDescent="0.25">
      <c r="A55" s="13" t="s">
        <v>241</v>
      </c>
      <c r="B55" s="223" t="s">
        <v>239</v>
      </c>
      <c r="C55" s="499">
        <f t="shared" si="2"/>
        <v>3358000</v>
      </c>
      <c r="D55" s="296">
        <f>2900000+20000+30000+408000</f>
        <v>3358000</v>
      </c>
      <c r="E55" s="141"/>
      <c r="F55" s="141"/>
      <c r="H55" s="546">
        <f>'1.2.sz.mell. '!C55+'1.3.sz.mell.'!C55+'1.4.sz.mell. '!C55</f>
        <v>3358000</v>
      </c>
      <c r="I55" s="548">
        <f t="shared" si="1"/>
        <v>0</v>
      </c>
    </row>
    <row r="56" spans="1:9" s="221" customFormat="1" ht="12" customHeight="1" thickBot="1" x14ac:dyDescent="0.25">
      <c r="A56" s="15" t="s">
        <v>242</v>
      </c>
      <c r="B56" s="134" t="s">
        <v>240</v>
      </c>
      <c r="C56" s="773">
        <f t="shared" si="2"/>
        <v>0</v>
      </c>
      <c r="D56" s="126"/>
      <c r="E56" s="140"/>
      <c r="F56" s="140"/>
      <c r="H56" s="546">
        <f>'1.2.sz.mell. '!C56+'1.3.sz.mell.'!C56+'1.4.sz.mell. '!C56</f>
        <v>0</v>
      </c>
      <c r="I56" s="549">
        <f t="shared" si="1"/>
        <v>0</v>
      </c>
    </row>
    <row r="57" spans="1:9" s="221" customFormat="1" ht="12" customHeight="1" thickBot="1" x14ac:dyDescent="0.25">
      <c r="A57" s="19" t="s">
        <v>30</v>
      </c>
      <c r="B57" s="132" t="s">
        <v>243</v>
      </c>
      <c r="C57" s="137">
        <f t="shared" si="2"/>
        <v>0</v>
      </c>
      <c r="D57" s="319">
        <f>SUM(D58:D60)</f>
        <v>0</v>
      </c>
      <c r="E57" s="137">
        <f>SUM(E58:E60)</f>
        <v>0</v>
      </c>
      <c r="F57" s="137">
        <f>SUM(F58:F60)</f>
        <v>0</v>
      </c>
      <c r="H57" s="546">
        <f>'1.2.sz.mell. '!C57+'1.3.sz.mell.'!C57+'1.4.sz.mell. '!C57</f>
        <v>0</v>
      </c>
      <c r="I57" s="546">
        <f t="shared" si="1"/>
        <v>0</v>
      </c>
    </row>
    <row r="58" spans="1:9" s="221" customFormat="1" ht="12" customHeight="1" thickBot="1" x14ac:dyDescent="0.25">
      <c r="A58" s="14" t="s">
        <v>146</v>
      </c>
      <c r="B58" s="222" t="s">
        <v>245</v>
      </c>
      <c r="C58" s="774">
        <f t="shared" si="2"/>
        <v>0</v>
      </c>
      <c r="D58" s="296"/>
      <c r="E58" s="141"/>
      <c r="F58" s="141"/>
      <c r="H58" s="546">
        <f>'1.2.sz.mell. '!C58+'1.3.sz.mell.'!C58+'1.4.sz.mell. '!C58</f>
        <v>0</v>
      </c>
      <c r="I58" s="547">
        <f t="shared" si="1"/>
        <v>0</v>
      </c>
    </row>
    <row r="59" spans="1:9" s="221" customFormat="1" ht="12" customHeight="1" thickBot="1" x14ac:dyDescent="0.25">
      <c r="A59" s="13" t="s">
        <v>147</v>
      </c>
      <c r="B59" s="223" t="s">
        <v>370</v>
      </c>
      <c r="C59" s="775">
        <f t="shared" si="2"/>
        <v>0</v>
      </c>
      <c r="D59" s="296"/>
      <c r="E59" s="141"/>
      <c r="F59" s="141"/>
      <c r="H59" s="546">
        <f>'1.2.sz.mell. '!C59+'1.3.sz.mell.'!C59+'1.4.sz.mell. '!C59</f>
        <v>0</v>
      </c>
      <c r="I59" s="548">
        <f t="shared" si="1"/>
        <v>0</v>
      </c>
    </row>
    <row r="60" spans="1:9" s="221" customFormat="1" ht="12" customHeight="1" thickBot="1" x14ac:dyDescent="0.25">
      <c r="A60" s="13" t="s">
        <v>169</v>
      </c>
      <c r="B60" s="223" t="s">
        <v>246</v>
      </c>
      <c r="C60" s="775">
        <f t="shared" si="2"/>
        <v>0</v>
      </c>
      <c r="D60" s="296"/>
      <c r="E60" s="141"/>
      <c r="F60" s="141"/>
      <c r="H60" s="546">
        <f>'1.2.sz.mell. '!C60+'1.3.sz.mell.'!C60+'1.4.sz.mell. '!C60</f>
        <v>0</v>
      </c>
      <c r="I60" s="548">
        <f t="shared" si="1"/>
        <v>0</v>
      </c>
    </row>
    <row r="61" spans="1:9" s="221" customFormat="1" ht="12" customHeight="1" thickBot="1" x14ac:dyDescent="0.25">
      <c r="A61" s="15" t="s">
        <v>244</v>
      </c>
      <c r="B61" s="134" t="s">
        <v>247</v>
      </c>
      <c r="C61" s="776">
        <f t="shared" si="2"/>
        <v>0</v>
      </c>
      <c r="D61" s="296"/>
      <c r="E61" s="141"/>
      <c r="F61" s="141"/>
      <c r="H61" s="546">
        <f>'1.2.sz.mell. '!C61+'1.3.sz.mell.'!C61+'1.4.sz.mell. '!C61</f>
        <v>0</v>
      </c>
      <c r="I61" s="549">
        <f t="shared" si="1"/>
        <v>0</v>
      </c>
    </row>
    <row r="62" spans="1:9" s="221" customFormat="1" ht="12" customHeight="1" thickBot="1" x14ac:dyDescent="0.25">
      <c r="A62" s="279" t="s">
        <v>482</v>
      </c>
      <c r="B62" s="20" t="s">
        <v>248</v>
      </c>
      <c r="C62" s="137">
        <f t="shared" si="2"/>
        <v>2512141346</v>
      </c>
      <c r="D62" s="322">
        <f>+D5+D12+D19+D26+D34+D46+D52+D57</f>
        <v>2095460506</v>
      </c>
      <c r="E62" s="142">
        <f>+E5+E12+E19+E26+E34+E46+E52+E57</f>
        <v>11536297</v>
      </c>
      <c r="F62" s="142">
        <f>+F5+F12+F19+F26+F34+F46+F52+F57</f>
        <v>405144543</v>
      </c>
      <c r="H62" s="546">
        <f>'1.2.sz.mell. '!C62+'1.3.sz.mell.'!C62+'1.4.sz.mell. '!C62</f>
        <v>2512141346</v>
      </c>
      <c r="I62" s="546">
        <f t="shared" si="1"/>
        <v>0</v>
      </c>
    </row>
    <row r="63" spans="1:9" s="221" customFormat="1" ht="12" customHeight="1" thickBot="1" x14ac:dyDescent="0.25">
      <c r="A63" s="280" t="s">
        <v>249</v>
      </c>
      <c r="B63" s="132" t="s">
        <v>250</v>
      </c>
      <c r="C63" s="137">
        <f t="shared" si="2"/>
        <v>193478462</v>
      </c>
      <c r="D63" s="319">
        <f>SUM(D64:D66)</f>
        <v>193478462</v>
      </c>
      <c r="E63" s="137">
        <f>SUM(E64:E66)</f>
        <v>0</v>
      </c>
      <c r="F63" s="137">
        <f>SUM(F64:F66)</f>
        <v>0</v>
      </c>
      <c r="H63" s="546">
        <f>'1.2.sz.mell. '!C63+'1.3.sz.mell.'!C63+'1.4.sz.mell. '!C63</f>
        <v>193478462</v>
      </c>
      <c r="I63" s="546">
        <f t="shared" si="1"/>
        <v>0</v>
      </c>
    </row>
    <row r="64" spans="1:9" s="221" customFormat="1" ht="12" customHeight="1" thickBot="1" x14ac:dyDescent="0.25">
      <c r="A64" s="14" t="s">
        <v>281</v>
      </c>
      <c r="B64" s="222" t="s">
        <v>251</v>
      </c>
      <c r="C64" s="772">
        <f t="shared" si="2"/>
        <v>93478462</v>
      </c>
      <c r="D64" s="296">
        <v>93478462</v>
      </c>
      <c r="E64" s="141"/>
      <c r="F64" s="141"/>
      <c r="H64" s="546">
        <f>'1.2.sz.mell. '!C64+'1.3.sz.mell.'!C64+'1.4.sz.mell. '!C64</f>
        <v>93478462</v>
      </c>
      <c r="I64" s="547">
        <f t="shared" si="1"/>
        <v>0</v>
      </c>
    </row>
    <row r="65" spans="1:9" s="221" customFormat="1" ht="12" customHeight="1" thickBot="1" x14ac:dyDescent="0.25">
      <c r="A65" s="13" t="s">
        <v>290</v>
      </c>
      <c r="B65" s="223" t="s">
        <v>252</v>
      </c>
      <c r="C65" s="363">
        <f t="shared" si="2"/>
        <v>100000000</v>
      </c>
      <c r="D65" s="296">
        <v>100000000</v>
      </c>
      <c r="E65" s="141"/>
      <c r="F65" s="141"/>
      <c r="H65" s="546">
        <f>'1.2.sz.mell. '!C65+'1.3.sz.mell.'!C65+'1.4.sz.mell. '!C65</f>
        <v>100000000</v>
      </c>
      <c r="I65" s="548">
        <f t="shared" si="1"/>
        <v>0</v>
      </c>
    </row>
    <row r="66" spans="1:9" s="221" customFormat="1" ht="12" customHeight="1" thickBot="1" x14ac:dyDescent="0.25">
      <c r="A66" s="15" t="s">
        <v>291</v>
      </c>
      <c r="B66" s="281" t="s">
        <v>483</v>
      </c>
      <c r="C66" s="776">
        <f t="shared" si="2"/>
        <v>0</v>
      </c>
      <c r="D66" s="296"/>
      <c r="E66" s="141"/>
      <c r="F66" s="141"/>
      <c r="H66" s="546">
        <f>'1.2.sz.mell. '!C66+'1.3.sz.mell.'!C66+'1.4.sz.mell. '!C66</f>
        <v>0</v>
      </c>
      <c r="I66" s="549">
        <f t="shared" si="1"/>
        <v>0</v>
      </c>
    </row>
    <row r="67" spans="1:9" s="221" customFormat="1" ht="12" customHeight="1" thickBot="1" x14ac:dyDescent="0.25">
      <c r="A67" s="280" t="s">
        <v>254</v>
      </c>
      <c r="B67" s="132" t="s">
        <v>255</v>
      </c>
      <c r="C67" s="137">
        <f t="shared" si="2"/>
        <v>0</v>
      </c>
      <c r="D67" s="319">
        <f>SUM(D68:D71)</f>
        <v>0</v>
      </c>
      <c r="E67" s="137">
        <f>SUM(E68:E71)</f>
        <v>0</v>
      </c>
      <c r="F67" s="137">
        <f>SUM(F68:F71)</f>
        <v>0</v>
      </c>
      <c r="H67" s="546">
        <f>'1.2.sz.mell. '!C67+'1.3.sz.mell.'!C67+'1.4.sz.mell. '!C67</f>
        <v>0</v>
      </c>
      <c r="I67" s="546">
        <f t="shared" si="1"/>
        <v>0</v>
      </c>
    </row>
    <row r="68" spans="1:9" s="221" customFormat="1" ht="12" customHeight="1" thickBot="1" x14ac:dyDescent="0.25">
      <c r="A68" s="14" t="s">
        <v>126</v>
      </c>
      <c r="B68" s="222" t="s">
        <v>256</v>
      </c>
      <c r="C68" s="774">
        <f t="shared" si="2"/>
        <v>0</v>
      </c>
      <c r="D68" s="296"/>
      <c r="E68" s="141"/>
      <c r="F68" s="141"/>
      <c r="H68" s="546">
        <f>'1.2.sz.mell. '!C68+'1.3.sz.mell.'!C68+'1.4.sz.mell. '!C68</f>
        <v>0</v>
      </c>
      <c r="I68" s="547">
        <f t="shared" si="1"/>
        <v>0</v>
      </c>
    </row>
    <row r="69" spans="1:9" s="221" customFormat="1" ht="12" customHeight="1" thickBot="1" x14ac:dyDescent="0.25">
      <c r="A69" s="13" t="s">
        <v>127</v>
      </c>
      <c r="B69" s="223" t="s">
        <v>257</v>
      </c>
      <c r="C69" s="775">
        <f t="shared" si="2"/>
        <v>0</v>
      </c>
      <c r="D69" s="296"/>
      <c r="E69" s="141"/>
      <c r="F69" s="141"/>
      <c r="H69" s="546">
        <f>'1.2.sz.mell. '!C69+'1.3.sz.mell.'!C69+'1.4.sz.mell. '!C69</f>
        <v>0</v>
      </c>
      <c r="I69" s="548">
        <f t="shared" ref="I69:I87" si="3">C69-H69</f>
        <v>0</v>
      </c>
    </row>
    <row r="70" spans="1:9" s="221" customFormat="1" ht="12" customHeight="1" thickBot="1" x14ac:dyDescent="0.25">
      <c r="A70" s="13" t="s">
        <v>282</v>
      </c>
      <c r="B70" s="223" t="s">
        <v>258</v>
      </c>
      <c r="C70" s="775">
        <f t="shared" si="2"/>
        <v>0</v>
      </c>
      <c r="D70" s="296"/>
      <c r="E70" s="141"/>
      <c r="F70" s="141"/>
      <c r="H70" s="546">
        <f>'1.2.sz.mell. '!C70+'1.3.sz.mell.'!C70+'1.4.sz.mell. '!C70</f>
        <v>0</v>
      </c>
      <c r="I70" s="548">
        <f t="shared" si="3"/>
        <v>0</v>
      </c>
    </row>
    <row r="71" spans="1:9" s="221" customFormat="1" ht="12" customHeight="1" thickBot="1" x14ac:dyDescent="0.25">
      <c r="A71" s="15" t="s">
        <v>283</v>
      </c>
      <c r="B71" s="134" t="s">
        <v>259</v>
      </c>
      <c r="C71" s="776">
        <f t="shared" si="2"/>
        <v>0</v>
      </c>
      <c r="D71" s="296"/>
      <c r="E71" s="141"/>
      <c r="F71" s="141"/>
      <c r="H71" s="546">
        <f>'1.2.sz.mell. '!C71+'1.3.sz.mell.'!C71+'1.4.sz.mell. '!C71</f>
        <v>0</v>
      </c>
      <c r="I71" s="549">
        <f t="shared" si="3"/>
        <v>0</v>
      </c>
    </row>
    <row r="72" spans="1:9" s="221" customFormat="1" ht="12" customHeight="1" thickBot="1" x14ac:dyDescent="0.25">
      <c r="A72" s="280" t="s">
        <v>260</v>
      </c>
      <c r="B72" s="132" t="s">
        <v>261</v>
      </c>
      <c r="C72" s="137">
        <f t="shared" si="2"/>
        <v>620677200</v>
      </c>
      <c r="D72" s="319">
        <f>SUM(D73:D74)</f>
        <v>594503730</v>
      </c>
      <c r="E72" s="137">
        <f>SUM(E73:E74)</f>
        <v>3212174</v>
      </c>
      <c r="F72" s="137">
        <f>SUM(F73:F74)</f>
        <v>22961296</v>
      </c>
      <c r="H72" s="546">
        <f>'1.2.sz.mell. '!C72+'1.3.sz.mell.'!C72+'1.4.sz.mell. '!C72</f>
        <v>620677200</v>
      </c>
      <c r="I72" s="546">
        <f t="shared" si="3"/>
        <v>0</v>
      </c>
    </row>
    <row r="73" spans="1:9" s="221" customFormat="1" ht="12" customHeight="1" thickBot="1" x14ac:dyDescent="0.25">
      <c r="A73" s="14" t="s">
        <v>284</v>
      </c>
      <c r="B73" s="222" t="s">
        <v>262</v>
      </c>
      <c r="C73" s="772">
        <f t="shared" si="2"/>
        <v>620677200</v>
      </c>
      <c r="D73" s="296">
        <f>569119704-28+25384054</f>
        <v>594503730</v>
      </c>
      <c r="E73" s="141">
        <f>3148853+63321</f>
        <v>3212174</v>
      </c>
      <c r="F73" s="141">
        <f>22961296</f>
        <v>22961296</v>
      </c>
      <c r="H73" s="546">
        <f>'1.2.sz.mell. '!C73+'1.3.sz.mell.'!C73+'1.4.sz.mell. '!C73</f>
        <v>620677200</v>
      </c>
      <c r="I73" s="547">
        <f t="shared" si="3"/>
        <v>0</v>
      </c>
    </row>
    <row r="74" spans="1:9" s="221" customFormat="1" ht="12" customHeight="1" thickBot="1" x14ac:dyDescent="0.25">
      <c r="A74" s="15" t="s">
        <v>285</v>
      </c>
      <c r="B74" s="134" t="s">
        <v>263</v>
      </c>
      <c r="C74" s="776">
        <f t="shared" si="2"/>
        <v>0</v>
      </c>
      <c r="D74" s="296"/>
      <c r="E74" s="141"/>
      <c r="F74" s="141"/>
      <c r="H74" s="546">
        <f>'1.2.sz.mell. '!C74+'1.3.sz.mell.'!C74+'1.4.sz.mell. '!C74</f>
        <v>0</v>
      </c>
      <c r="I74" s="549">
        <f t="shared" si="3"/>
        <v>0</v>
      </c>
    </row>
    <row r="75" spans="1:9" s="221" customFormat="1" ht="12" customHeight="1" thickBot="1" x14ac:dyDescent="0.25">
      <c r="A75" s="280" t="s">
        <v>264</v>
      </c>
      <c r="B75" s="132" t="s">
        <v>265</v>
      </c>
      <c r="C75" s="137">
        <f t="shared" si="2"/>
        <v>0</v>
      </c>
      <c r="D75" s="319">
        <f>SUM(D76:D78)</f>
        <v>0</v>
      </c>
      <c r="E75" s="137">
        <f>SUM(E76:E78)</f>
        <v>0</v>
      </c>
      <c r="F75" s="137">
        <f>SUM(F76:F78)</f>
        <v>0</v>
      </c>
      <c r="H75" s="546">
        <f>'1.2.sz.mell. '!C75+'1.3.sz.mell.'!C75+'1.4.sz.mell. '!C75</f>
        <v>0</v>
      </c>
      <c r="I75" s="546">
        <f t="shared" si="3"/>
        <v>0</v>
      </c>
    </row>
    <row r="76" spans="1:9" s="221" customFormat="1" ht="12" customHeight="1" thickBot="1" x14ac:dyDescent="0.25">
      <c r="A76" s="14" t="s">
        <v>286</v>
      </c>
      <c r="B76" s="222" t="s">
        <v>266</v>
      </c>
      <c r="C76" s="774">
        <f t="shared" si="2"/>
        <v>0</v>
      </c>
      <c r="D76" s="296"/>
      <c r="E76" s="141"/>
      <c r="F76" s="141"/>
      <c r="H76" s="546">
        <f>'1.2.sz.mell. '!C76+'1.3.sz.mell.'!C76+'1.4.sz.mell. '!C76</f>
        <v>0</v>
      </c>
      <c r="I76" s="547">
        <f t="shared" si="3"/>
        <v>0</v>
      </c>
    </row>
    <row r="77" spans="1:9" s="221" customFormat="1" ht="12" customHeight="1" thickBot="1" x14ac:dyDescent="0.25">
      <c r="A77" s="13" t="s">
        <v>287</v>
      </c>
      <c r="B77" s="223" t="s">
        <v>267</v>
      </c>
      <c r="C77" s="775">
        <f t="shared" si="2"/>
        <v>0</v>
      </c>
      <c r="D77" s="296"/>
      <c r="E77" s="141"/>
      <c r="F77" s="141"/>
      <c r="H77" s="546">
        <f>'1.2.sz.mell. '!C77+'1.3.sz.mell.'!C77+'1.4.sz.mell. '!C77</f>
        <v>0</v>
      </c>
      <c r="I77" s="548">
        <f t="shared" si="3"/>
        <v>0</v>
      </c>
    </row>
    <row r="78" spans="1:9" s="221" customFormat="1" ht="12" customHeight="1" thickBot="1" x14ac:dyDescent="0.25">
      <c r="A78" s="15" t="s">
        <v>288</v>
      </c>
      <c r="B78" s="134" t="s">
        <v>268</v>
      </c>
      <c r="C78" s="776">
        <f t="shared" si="2"/>
        <v>0</v>
      </c>
      <c r="D78" s="296"/>
      <c r="E78" s="141"/>
      <c r="F78" s="141"/>
      <c r="H78" s="546">
        <f>'1.2.sz.mell. '!C78+'1.3.sz.mell.'!C78+'1.4.sz.mell. '!C78</f>
        <v>0</v>
      </c>
      <c r="I78" s="549">
        <f t="shared" si="3"/>
        <v>0</v>
      </c>
    </row>
    <row r="79" spans="1:9" s="221" customFormat="1" ht="12" customHeight="1" thickBot="1" x14ac:dyDescent="0.25">
      <c r="A79" s="280" t="s">
        <v>269</v>
      </c>
      <c r="B79" s="132" t="s">
        <v>289</v>
      </c>
      <c r="C79" s="137">
        <f t="shared" si="2"/>
        <v>0</v>
      </c>
      <c r="D79" s="319">
        <f>SUM(D80:D83)</f>
        <v>0</v>
      </c>
      <c r="E79" s="137">
        <f>SUM(E80:E83)</f>
        <v>0</v>
      </c>
      <c r="F79" s="137">
        <f>SUM(F80:F83)</f>
        <v>0</v>
      </c>
      <c r="H79" s="546">
        <f>'1.2.sz.mell. '!C79+'1.3.sz.mell.'!C79+'1.4.sz.mell. '!C79</f>
        <v>0</v>
      </c>
      <c r="I79" s="546">
        <f t="shared" si="3"/>
        <v>0</v>
      </c>
    </row>
    <row r="80" spans="1:9" s="221" customFormat="1" ht="12" customHeight="1" thickBot="1" x14ac:dyDescent="0.25">
      <c r="A80" s="226" t="s">
        <v>270</v>
      </c>
      <c r="B80" s="222" t="s">
        <v>271</v>
      </c>
      <c r="C80" s="774">
        <f t="shared" si="2"/>
        <v>0</v>
      </c>
      <c r="D80" s="296"/>
      <c r="E80" s="141"/>
      <c r="F80" s="141"/>
      <c r="H80" s="546">
        <f>'1.2.sz.mell. '!C80+'1.3.sz.mell.'!C80+'1.4.sz.mell. '!C80</f>
        <v>0</v>
      </c>
      <c r="I80" s="547">
        <f t="shared" si="3"/>
        <v>0</v>
      </c>
    </row>
    <row r="81" spans="1:9" s="221" customFormat="1" ht="12" customHeight="1" thickBot="1" x14ac:dyDescent="0.25">
      <c r="A81" s="227" t="s">
        <v>272</v>
      </c>
      <c r="B81" s="223" t="s">
        <v>273</v>
      </c>
      <c r="C81" s="775">
        <f t="shared" si="2"/>
        <v>0</v>
      </c>
      <c r="D81" s="296"/>
      <c r="E81" s="141"/>
      <c r="F81" s="141"/>
      <c r="H81" s="546">
        <f>'1.2.sz.mell. '!C81+'1.3.sz.mell.'!C81+'1.4.sz.mell. '!C81</f>
        <v>0</v>
      </c>
      <c r="I81" s="548">
        <f t="shared" si="3"/>
        <v>0</v>
      </c>
    </row>
    <row r="82" spans="1:9" s="221" customFormat="1" ht="12" customHeight="1" thickBot="1" x14ac:dyDescent="0.25">
      <c r="A82" s="227" t="s">
        <v>274</v>
      </c>
      <c r="B82" s="223" t="s">
        <v>275</v>
      </c>
      <c r="C82" s="775">
        <f t="shared" si="2"/>
        <v>0</v>
      </c>
      <c r="D82" s="296"/>
      <c r="E82" s="141"/>
      <c r="F82" s="141"/>
      <c r="H82" s="546">
        <f>'1.2.sz.mell. '!C82+'1.3.sz.mell.'!C82+'1.4.sz.mell. '!C82</f>
        <v>0</v>
      </c>
      <c r="I82" s="548">
        <f t="shared" si="3"/>
        <v>0</v>
      </c>
    </row>
    <row r="83" spans="1:9" s="221" customFormat="1" ht="12" customHeight="1" thickBot="1" x14ac:dyDescent="0.25">
      <c r="A83" s="228" t="s">
        <v>276</v>
      </c>
      <c r="B83" s="134" t="s">
        <v>277</v>
      </c>
      <c r="C83" s="776">
        <f t="shared" si="2"/>
        <v>0</v>
      </c>
      <c r="D83" s="296"/>
      <c r="E83" s="141"/>
      <c r="F83" s="141"/>
      <c r="H83" s="546">
        <f>'1.2.sz.mell. '!C83+'1.3.sz.mell.'!C83+'1.4.sz.mell. '!C83</f>
        <v>0</v>
      </c>
      <c r="I83" s="549">
        <f t="shared" si="3"/>
        <v>0</v>
      </c>
    </row>
    <row r="84" spans="1:9" s="221" customFormat="1" ht="12" customHeight="1" thickBot="1" x14ac:dyDescent="0.25">
      <c r="A84" s="280" t="s">
        <v>278</v>
      </c>
      <c r="B84" s="132" t="s">
        <v>484</v>
      </c>
      <c r="C84" s="137">
        <f t="shared" si="2"/>
        <v>0</v>
      </c>
      <c r="D84" s="326"/>
      <c r="E84" s="261"/>
      <c r="F84" s="261"/>
      <c r="H84" s="546">
        <f>'1.2.sz.mell. '!C84+'1.3.sz.mell.'!C84+'1.4.sz.mell. '!C84</f>
        <v>0</v>
      </c>
      <c r="I84" s="546">
        <f t="shared" si="3"/>
        <v>0</v>
      </c>
    </row>
    <row r="85" spans="1:9" s="221" customFormat="1" ht="13.5" customHeight="1" thickBot="1" x14ac:dyDescent="0.25">
      <c r="A85" s="280" t="s">
        <v>280</v>
      </c>
      <c r="B85" s="132" t="s">
        <v>279</v>
      </c>
      <c r="C85" s="137">
        <f t="shared" si="2"/>
        <v>0</v>
      </c>
      <c r="D85" s="326"/>
      <c r="E85" s="261"/>
      <c r="F85" s="261"/>
      <c r="H85" s="546">
        <f>'1.2.sz.mell. '!C85+'1.3.sz.mell.'!C85+'1.4.sz.mell. '!C85</f>
        <v>0</v>
      </c>
      <c r="I85" s="546">
        <f t="shared" si="3"/>
        <v>0</v>
      </c>
    </row>
    <row r="86" spans="1:9" s="221" customFormat="1" ht="15.75" customHeight="1" thickBot="1" x14ac:dyDescent="0.25">
      <c r="A86" s="280" t="s">
        <v>292</v>
      </c>
      <c r="B86" s="229" t="s">
        <v>485</v>
      </c>
      <c r="C86" s="137">
        <f t="shared" si="2"/>
        <v>814155662</v>
      </c>
      <c r="D86" s="322">
        <f>+D63+D67+D72+D75+D79+D85+D84</f>
        <v>787982192</v>
      </c>
      <c r="E86" s="142">
        <f>+E63+E67+E72+E75+E79+E85+E84</f>
        <v>3212174</v>
      </c>
      <c r="F86" s="142">
        <f>+F63+F67+F72+F75+F79+F85+F84</f>
        <v>22961296</v>
      </c>
      <c r="H86" s="546">
        <f>'1.2.sz.mell. '!C86+'1.3.sz.mell.'!C86+'1.4.sz.mell. '!C86</f>
        <v>814155662</v>
      </c>
      <c r="I86" s="546">
        <f t="shared" si="3"/>
        <v>0</v>
      </c>
    </row>
    <row r="87" spans="1:9" s="221" customFormat="1" ht="16.5" customHeight="1" thickBot="1" x14ac:dyDescent="0.25">
      <c r="A87" s="282" t="s">
        <v>486</v>
      </c>
      <c r="B87" s="230" t="s">
        <v>487</v>
      </c>
      <c r="C87" s="137">
        <f t="shared" si="2"/>
        <v>3326297008</v>
      </c>
      <c r="D87" s="322">
        <f>+D62+D86</f>
        <v>2883442698</v>
      </c>
      <c r="E87" s="142">
        <f>+E62+E86</f>
        <v>14748471</v>
      </c>
      <c r="F87" s="142">
        <f>+F62+F86</f>
        <v>428105839</v>
      </c>
      <c r="H87" s="546">
        <f>'1.2.sz.mell. '!C87+'1.3.sz.mell.'!C87+'1.4.sz.mell. '!C87</f>
        <v>3326297008</v>
      </c>
      <c r="I87" s="546">
        <f t="shared" si="3"/>
        <v>0</v>
      </c>
    </row>
    <row r="88" spans="1:9" s="221" customFormat="1" ht="83.25" customHeight="1" thickBot="1" x14ac:dyDescent="0.25">
      <c r="A88" s="4"/>
      <c r="B88" s="5"/>
      <c r="C88" s="143"/>
      <c r="H88" s="546">
        <f>'1.2.sz.mell. '!C88+'1.3.sz.mell.'!C88+'1.4.sz.mell. '!C88</f>
        <v>0</v>
      </c>
      <c r="I88" s="544"/>
    </row>
    <row r="89" spans="1:9" ht="16.5" customHeight="1" thickBot="1" x14ac:dyDescent="0.3">
      <c r="A89" s="1003" t="s">
        <v>52</v>
      </c>
      <c r="B89" s="1003"/>
      <c r="C89" s="1003"/>
      <c r="H89" s="546">
        <f>'1.2.sz.mell. '!C89+'1.3.sz.mell.'!C89+'1.4.sz.mell. '!C89</f>
        <v>0</v>
      </c>
      <c r="I89" s="544"/>
    </row>
    <row r="90" spans="1:9" s="231" customFormat="1" ht="16.5" customHeight="1" thickBot="1" x14ac:dyDescent="0.3">
      <c r="A90" s="1004" t="s">
        <v>129</v>
      </c>
      <c r="B90" s="1004"/>
      <c r="C90" s="79" t="s">
        <v>598</v>
      </c>
      <c r="H90" s="546" t="e">
        <f>'1.2.sz.mell. '!C90+'1.3.sz.mell.'!C90+'1.4.sz.mell. '!C90</f>
        <v>#VALUE!</v>
      </c>
      <c r="I90" s="544"/>
    </row>
    <row r="91" spans="1:9" ht="38.1" customHeight="1" thickBot="1" x14ac:dyDescent="0.3">
      <c r="A91" s="22" t="s">
        <v>74</v>
      </c>
      <c r="B91" s="23" t="s">
        <v>53</v>
      </c>
      <c r="C91" s="35" t="str">
        <f>+C3</f>
        <v>2018. évi előirányzat</v>
      </c>
      <c r="H91" s="546" t="e">
        <f>'1.2.sz.mell. '!C91+'1.3.sz.mell.'!C91+'1.4.sz.mell. '!C91</f>
        <v>#VALUE!</v>
      </c>
      <c r="I91" s="544"/>
    </row>
    <row r="92" spans="1:9" s="220" customFormat="1" ht="12" customHeight="1" thickBot="1" x14ac:dyDescent="0.25">
      <c r="A92" s="31" t="s">
        <v>471</v>
      </c>
      <c r="B92" s="32" t="s">
        <v>472</v>
      </c>
      <c r="C92" s="216" t="s">
        <v>473</v>
      </c>
      <c r="H92" s="546" t="e">
        <f>'1.2.sz.mell. '!C92+'1.3.sz.mell.'!C92+'1.4.sz.mell. '!C92</f>
        <v>#VALUE!</v>
      </c>
      <c r="I92" s="544"/>
    </row>
    <row r="93" spans="1:9" ht="12" customHeight="1" thickBot="1" x14ac:dyDescent="0.3">
      <c r="A93" s="21" t="s">
        <v>23</v>
      </c>
      <c r="B93" s="25" t="s">
        <v>525</v>
      </c>
      <c r="C93" s="371">
        <f t="shared" ref="C93:C154" si="4">SUM(D93:F93)</f>
        <v>2482760981</v>
      </c>
      <c r="D93" s="329">
        <f>+D94+D95+D96+D97+D98+D111</f>
        <v>735322017</v>
      </c>
      <c r="E93" s="136">
        <f>+E94+E95+E96+E97+E98+E111</f>
        <v>239430458</v>
      </c>
      <c r="F93" s="347">
        <f>F94+F95+F96+F97+F98+F111</f>
        <v>1508008506</v>
      </c>
      <c r="H93" s="546">
        <f>'1.2.sz.mell. '!C93+'1.3.sz.mell.'!C93+'1.4.sz.mell. '!C93</f>
        <v>2482760981</v>
      </c>
      <c r="I93" s="546">
        <f t="shared" ref="I93:I154" si="5">C93-H93</f>
        <v>0</v>
      </c>
    </row>
    <row r="94" spans="1:9" ht="12" customHeight="1" thickBot="1" x14ac:dyDescent="0.3">
      <c r="A94" s="16" t="s">
        <v>99</v>
      </c>
      <c r="B94" s="9" t="s">
        <v>54</v>
      </c>
      <c r="C94" s="550">
        <f t="shared" si="4"/>
        <v>1003824424</v>
      </c>
      <c r="D94" s="353">
        <f>2854500+25097896+75000+16116992+1182990+2491000+1016699-198000+7688261+3484292+11614921</f>
        <v>71424551</v>
      </c>
      <c r="E94" s="305">
        <f>2528076+481000+134654515+2215000+152400</f>
        <v>140030991</v>
      </c>
      <c r="F94" s="312">
        <f>784492352+662383+6760147+80000+374000</f>
        <v>792368882</v>
      </c>
      <c r="H94" s="546">
        <f>'1.2.sz.mell. '!C94+'1.3.sz.mell.'!C94+'1.4.sz.mell. '!C94</f>
        <v>1003824424</v>
      </c>
      <c r="I94" s="547">
        <f t="shared" si="5"/>
        <v>0</v>
      </c>
    </row>
    <row r="95" spans="1:9" ht="12" customHeight="1" thickBot="1" x14ac:dyDescent="0.3">
      <c r="A95" s="13" t="s">
        <v>100</v>
      </c>
      <c r="B95" s="7" t="s">
        <v>148</v>
      </c>
      <c r="C95" s="550">
        <f t="shared" si="4"/>
        <v>210906390</v>
      </c>
      <c r="D95" s="296">
        <f>500965+4771305+13275+17258+2940000+14000+207615+1015000+283238-34749+1628272+401351+1941032</f>
        <v>13698562</v>
      </c>
      <c r="E95" s="141">
        <f>443678+114000+28757160+461687+62043</f>
        <v>29838568</v>
      </c>
      <c r="F95" s="298">
        <f>165847404+144152+1290734+14040+72930</f>
        <v>167369260</v>
      </c>
      <c r="H95" s="546">
        <f>'1.2.sz.mell. '!C95+'1.3.sz.mell.'!C95+'1.4.sz.mell. '!C95</f>
        <v>210906390</v>
      </c>
      <c r="I95" s="548">
        <f t="shared" si="5"/>
        <v>0</v>
      </c>
    </row>
    <row r="96" spans="1:9" ht="12" customHeight="1" thickBot="1" x14ac:dyDescent="0.3">
      <c r="A96" s="13" t="s">
        <v>101</v>
      </c>
      <c r="B96" s="7" t="s">
        <v>124</v>
      </c>
      <c r="C96" s="550">
        <f t="shared" si="4"/>
        <v>889864611</v>
      </c>
      <c r="D96" s="300">
        <f>13447475+835000+16099000+50000+52909601+3082677+6787092+2456000+4504030+871220+397000+194467+34163000+50473064+34200000+3285067+156511+9000000+563000+17207888+2681000+3300000+17042731+48545760+500000+381000+314356+178500+77000-37621053+63500+9515799+1461115-838452</f>
        <v>296283348</v>
      </c>
      <c r="E96" s="211">
        <f>4096000+324000+352000+40114003+137126+419550-152400+20620</f>
        <v>45310899</v>
      </c>
      <c r="F96" s="298">
        <f>545896186-624000+1605578+768600+624000</f>
        <v>548270364</v>
      </c>
      <c r="H96" s="546">
        <f>'1.2.sz.mell. '!C96+'1.3.sz.mell.'!C96+'1.4.sz.mell. '!C96</f>
        <v>889864611</v>
      </c>
      <c r="I96" s="548">
        <f t="shared" si="5"/>
        <v>0</v>
      </c>
    </row>
    <row r="97" spans="1:9" ht="12" customHeight="1" thickBot="1" x14ac:dyDescent="0.3">
      <c r="A97" s="13" t="s">
        <v>102</v>
      </c>
      <c r="B97" s="7" t="s">
        <v>149</v>
      </c>
      <c r="C97" s="550">
        <f t="shared" si="4"/>
        <v>163264000</v>
      </c>
      <c r="D97" s="300">
        <f>69500000+3500000+69312000-3298000</f>
        <v>139014000</v>
      </c>
      <c r="E97" s="211">
        <v>24250000</v>
      </c>
      <c r="F97" s="311"/>
      <c r="H97" s="546">
        <f>'1.2.sz.mell. '!C97+'1.3.sz.mell.'!C97+'1.4.sz.mell. '!C97</f>
        <v>163264000</v>
      </c>
      <c r="I97" s="548">
        <f t="shared" si="5"/>
        <v>0</v>
      </c>
    </row>
    <row r="98" spans="1:9" ht="12" customHeight="1" thickBot="1" x14ac:dyDescent="0.3">
      <c r="A98" s="13" t="s">
        <v>113</v>
      </c>
      <c r="B98" s="6" t="s">
        <v>150</v>
      </c>
      <c r="C98" s="550">
        <f>SUM(D98:F98)</f>
        <v>158078582</v>
      </c>
      <c r="D98" s="300">
        <f>45183973+52959801+660000+100000+49357310+3869819+86500+5861179</f>
        <v>158078582</v>
      </c>
      <c r="E98" s="211"/>
      <c r="F98" s="311"/>
      <c r="H98" s="546">
        <f>'1.2.sz.mell. '!C98+'1.3.sz.mell.'!C98+'1.4.sz.mell. '!C98</f>
        <v>158078582</v>
      </c>
      <c r="I98" s="548">
        <f t="shared" si="5"/>
        <v>0</v>
      </c>
    </row>
    <row r="99" spans="1:9" ht="12" customHeight="1" thickBot="1" x14ac:dyDescent="0.3">
      <c r="A99" s="13" t="s">
        <v>103</v>
      </c>
      <c r="B99" s="7" t="s">
        <v>488</v>
      </c>
      <c r="C99" s="550">
        <f t="shared" si="4"/>
        <v>5258498</v>
      </c>
      <c r="D99" s="300">
        <f>100000+3869819+86500+1202179</f>
        <v>5258498</v>
      </c>
      <c r="E99" s="211"/>
      <c r="F99" s="311"/>
      <c r="H99" s="546">
        <f>'1.2.sz.mell. '!C99+'1.3.sz.mell.'!C99+'1.4.sz.mell. '!C99</f>
        <v>5258498</v>
      </c>
      <c r="I99" s="548">
        <f t="shared" si="5"/>
        <v>0</v>
      </c>
    </row>
    <row r="100" spans="1:9" ht="12" customHeight="1" thickBot="1" x14ac:dyDescent="0.3">
      <c r="A100" s="13" t="s">
        <v>104</v>
      </c>
      <c r="B100" s="83" t="s">
        <v>489</v>
      </c>
      <c r="C100" s="634">
        <f t="shared" si="4"/>
        <v>0</v>
      </c>
      <c r="D100" s="300"/>
      <c r="E100" s="211"/>
      <c r="F100" s="311"/>
      <c r="H100" s="546">
        <f>'1.2.sz.mell. '!C100+'1.3.sz.mell.'!C100+'1.4.sz.mell. '!C100</f>
        <v>0</v>
      </c>
      <c r="I100" s="548">
        <f t="shared" si="5"/>
        <v>0</v>
      </c>
    </row>
    <row r="101" spans="1:9" ht="12" customHeight="1" thickBot="1" x14ac:dyDescent="0.3">
      <c r="A101" s="13" t="s">
        <v>114</v>
      </c>
      <c r="B101" s="83" t="s">
        <v>490</v>
      </c>
      <c r="C101" s="550">
        <f t="shared" si="4"/>
        <v>159000</v>
      </c>
      <c r="D101" s="300">
        <v>159000</v>
      </c>
      <c r="E101" s="211"/>
      <c r="F101" s="311"/>
      <c r="H101" s="546">
        <f>'1.2.sz.mell. '!C101+'1.3.sz.mell.'!C101+'1.4.sz.mell. '!C101</f>
        <v>159000</v>
      </c>
      <c r="I101" s="548">
        <f t="shared" si="5"/>
        <v>0</v>
      </c>
    </row>
    <row r="102" spans="1:9" ht="12" customHeight="1" thickBot="1" x14ac:dyDescent="0.3">
      <c r="A102" s="13" t="s">
        <v>115</v>
      </c>
      <c r="B102" s="81" t="s">
        <v>295</v>
      </c>
      <c r="C102" s="634">
        <f t="shared" si="4"/>
        <v>0</v>
      </c>
      <c r="D102" s="300"/>
      <c r="E102" s="211"/>
      <c r="F102" s="311"/>
      <c r="H102" s="546">
        <f>'1.2.sz.mell. '!C102+'1.3.sz.mell.'!C102+'1.4.sz.mell. '!C102</f>
        <v>0</v>
      </c>
      <c r="I102" s="548">
        <f t="shared" si="5"/>
        <v>0</v>
      </c>
    </row>
    <row r="103" spans="1:9" ht="12" customHeight="1" thickBot="1" x14ac:dyDescent="0.3">
      <c r="A103" s="13" t="s">
        <v>116</v>
      </c>
      <c r="B103" s="82" t="s">
        <v>296</v>
      </c>
      <c r="C103" s="634">
        <f t="shared" si="4"/>
        <v>0</v>
      </c>
      <c r="D103" s="300"/>
      <c r="E103" s="211"/>
      <c r="F103" s="311"/>
      <c r="H103" s="546">
        <f>'1.2.sz.mell. '!C103+'1.3.sz.mell.'!C103+'1.4.sz.mell. '!C103</f>
        <v>0</v>
      </c>
      <c r="I103" s="548">
        <f t="shared" si="5"/>
        <v>0</v>
      </c>
    </row>
    <row r="104" spans="1:9" ht="12" customHeight="1" thickBot="1" x14ac:dyDescent="0.3">
      <c r="A104" s="13" t="s">
        <v>117</v>
      </c>
      <c r="B104" s="82" t="s">
        <v>297</v>
      </c>
      <c r="C104" s="634">
        <f t="shared" si="4"/>
        <v>0</v>
      </c>
      <c r="D104" s="300"/>
      <c r="E104" s="211"/>
      <c r="F104" s="311"/>
      <c r="H104" s="546">
        <f>'1.2.sz.mell. '!C104+'1.3.sz.mell.'!C104+'1.4.sz.mell. '!C104</f>
        <v>0</v>
      </c>
      <c r="I104" s="548">
        <f t="shared" si="5"/>
        <v>0</v>
      </c>
    </row>
    <row r="105" spans="1:9" ht="12" customHeight="1" thickBot="1" x14ac:dyDescent="0.3">
      <c r="A105" s="13" t="s">
        <v>119</v>
      </c>
      <c r="B105" s="81" t="s">
        <v>298</v>
      </c>
      <c r="C105" s="634">
        <f t="shared" si="4"/>
        <v>660000</v>
      </c>
      <c r="D105" s="300">
        <v>660000</v>
      </c>
      <c r="E105" s="211"/>
      <c r="F105" s="311"/>
      <c r="H105" s="546">
        <f>'1.2.sz.mell. '!C105+'1.3.sz.mell.'!C105+'1.4.sz.mell. '!C105</f>
        <v>660000</v>
      </c>
      <c r="I105" s="548">
        <f t="shared" si="5"/>
        <v>0</v>
      </c>
    </row>
    <row r="106" spans="1:9" ht="12" customHeight="1" thickBot="1" x14ac:dyDescent="0.3">
      <c r="A106" s="13" t="s">
        <v>151</v>
      </c>
      <c r="B106" s="81" t="s">
        <v>299</v>
      </c>
      <c r="C106" s="634">
        <f t="shared" si="4"/>
        <v>0</v>
      </c>
      <c r="D106" s="300"/>
      <c r="E106" s="211"/>
      <c r="F106" s="311"/>
      <c r="H106" s="546">
        <f>'1.2.sz.mell. '!C106+'1.3.sz.mell.'!C106+'1.4.sz.mell. '!C106</f>
        <v>0</v>
      </c>
      <c r="I106" s="548">
        <f t="shared" si="5"/>
        <v>0</v>
      </c>
    </row>
    <row r="107" spans="1:9" ht="12" customHeight="1" thickBot="1" x14ac:dyDescent="0.3">
      <c r="A107" s="13" t="s">
        <v>293</v>
      </c>
      <c r="B107" s="82" t="s">
        <v>300</v>
      </c>
      <c r="C107" s="634">
        <f t="shared" si="4"/>
        <v>0</v>
      </c>
      <c r="D107" s="300"/>
      <c r="E107" s="211"/>
      <c r="F107" s="311"/>
      <c r="H107" s="546">
        <f>'1.2.sz.mell. '!C107+'1.3.sz.mell.'!C107+'1.4.sz.mell. '!C107</f>
        <v>0</v>
      </c>
      <c r="I107" s="548">
        <f t="shared" si="5"/>
        <v>0</v>
      </c>
    </row>
    <row r="108" spans="1:9" ht="12" customHeight="1" thickBot="1" x14ac:dyDescent="0.3">
      <c r="A108" s="12" t="s">
        <v>294</v>
      </c>
      <c r="B108" s="83" t="s">
        <v>301</v>
      </c>
      <c r="C108" s="634">
        <f t="shared" si="4"/>
        <v>0</v>
      </c>
      <c r="D108" s="300"/>
      <c r="E108" s="211"/>
      <c r="F108" s="311"/>
      <c r="H108" s="546">
        <f>'1.2.sz.mell. '!C108+'1.3.sz.mell.'!C108+'1.4.sz.mell. '!C108</f>
        <v>0</v>
      </c>
      <c r="I108" s="548">
        <f t="shared" si="5"/>
        <v>0</v>
      </c>
    </row>
    <row r="109" spans="1:9" ht="12" customHeight="1" thickBot="1" x14ac:dyDescent="0.3">
      <c r="A109" s="13" t="s">
        <v>491</v>
      </c>
      <c r="B109" s="83" t="s">
        <v>302</v>
      </c>
      <c r="C109" s="634">
        <f t="shared" si="4"/>
        <v>0</v>
      </c>
      <c r="D109" s="300"/>
      <c r="E109" s="211"/>
      <c r="F109" s="311"/>
      <c r="H109" s="546">
        <f>'1.2.sz.mell. '!C109+'1.3.sz.mell.'!C109+'1.4.sz.mell. '!C109</f>
        <v>0</v>
      </c>
      <c r="I109" s="548">
        <f t="shared" si="5"/>
        <v>0</v>
      </c>
    </row>
    <row r="110" spans="1:9" ht="12" customHeight="1" thickBot="1" x14ac:dyDescent="0.3">
      <c r="A110" s="15" t="s">
        <v>492</v>
      </c>
      <c r="B110" s="83" t="s">
        <v>303</v>
      </c>
      <c r="C110" s="550">
        <f t="shared" si="4"/>
        <v>152001084</v>
      </c>
      <c r="D110" s="296">
        <f>5697126+16985629+22501218+52959801+660000+49357310-660000+4500000</f>
        <v>152001084</v>
      </c>
      <c r="E110" s="141"/>
      <c r="F110" s="311"/>
      <c r="H110" s="546">
        <f>'1.2.sz.mell. '!C110+'1.3.sz.mell.'!C110+'1.4.sz.mell. '!C110</f>
        <v>152001084</v>
      </c>
      <c r="I110" s="548">
        <f t="shared" si="5"/>
        <v>0</v>
      </c>
    </row>
    <row r="111" spans="1:9" ht="12" customHeight="1" thickBot="1" x14ac:dyDescent="0.3">
      <c r="A111" s="13" t="s">
        <v>493</v>
      </c>
      <c r="B111" s="7" t="s">
        <v>55</v>
      </c>
      <c r="C111" s="634">
        <f t="shared" si="4"/>
        <v>56822974</v>
      </c>
      <c r="D111" s="296">
        <f>SUM(D112:D113)</f>
        <v>56822974</v>
      </c>
      <c r="E111" s="141"/>
      <c r="F111" s="298">
        <f>F112+F113</f>
        <v>0</v>
      </c>
      <c r="H111" s="546">
        <f>'1.2.sz.mell. '!C111+'1.3.sz.mell.'!C111+'1.4.sz.mell. '!C111</f>
        <v>56822974</v>
      </c>
      <c r="I111" s="548">
        <f t="shared" si="5"/>
        <v>0</v>
      </c>
    </row>
    <row r="112" spans="1:9" ht="12" customHeight="1" thickBot="1" x14ac:dyDescent="0.3">
      <c r="A112" s="13" t="s">
        <v>494</v>
      </c>
      <c r="B112" s="7" t="s">
        <v>495</v>
      </c>
      <c r="C112" s="550">
        <f t="shared" si="4"/>
        <v>1255127</v>
      </c>
      <c r="D112" s="300">
        <f>15000000-21705-8451320+266142+295985-5833975</f>
        <v>1255127</v>
      </c>
      <c r="E112" s="211"/>
      <c r="F112" s="298"/>
      <c r="H112" s="546">
        <f>'1.2.sz.mell. '!C112+'1.3.sz.mell.'!C112+'1.4.sz.mell. '!C112</f>
        <v>1255127</v>
      </c>
      <c r="I112" s="548">
        <f t="shared" si="5"/>
        <v>0</v>
      </c>
    </row>
    <row r="113" spans="1:9" ht="12" customHeight="1" thickBot="1" x14ac:dyDescent="0.3">
      <c r="A113" s="17" t="s">
        <v>496</v>
      </c>
      <c r="B113" s="283" t="s">
        <v>497</v>
      </c>
      <c r="C113" s="820">
        <f t="shared" si="4"/>
        <v>55567847</v>
      </c>
      <c r="D113" s="354">
        <f>65846522-6946019+750000-2582475-1500181</f>
        <v>55567847</v>
      </c>
      <c r="E113" s="315"/>
      <c r="F113" s="313"/>
      <c r="H113" s="546">
        <f>'1.2.sz.mell. '!C113+'1.3.sz.mell.'!C113+'1.4.sz.mell. '!C113</f>
        <v>55567847</v>
      </c>
      <c r="I113" s="549">
        <f t="shared" si="5"/>
        <v>0</v>
      </c>
    </row>
    <row r="114" spans="1:9" ht="12" customHeight="1" thickBot="1" x14ac:dyDescent="0.3">
      <c r="A114" s="284" t="s">
        <v>24</v>
      </c>
      <c r="B114" s="638" t="s">
        <v>304</v>
      </c>
      <c r="C114" s="641">
        <f t="shared" si="4"/>
        <v>696881732</v>
      </c>
      <c r="D114" s="319">
        <f>+D115+D117+D119</f>
        <v>670358503</v>
      </c>
      <c r="E114" s="137">
        <f>+E115+E117+E119</f>
        <v>4919980</v>
      </c>
      <c r="F114" s="286">
        <f>+F115+F117+F119</f>
        <v>21603249</v>
      </c>
      <c r="H114" s="546">
        <f>'1.2.sz.mell. '!C114+'1.3.sz.mell.'!C114+'1.4.sz.mell. '!C114</f>
        <v>696881732</v>
      </c>
      <c r="I114" s="546">
        <f t="shared" si="5"/>
        <v>0</v>
      </c>
    </row>
    <row r="115" spans="1:9" ht="15" customHeight="1" thickBot="1" x14ac:dyDescent="0.3">
      <c r="A115" s="14" t="s">
        <v>105</v>
      </c>
      <c r="B115" s="7" t="s">
        <v>168</v>
      </c>
      <c r="C115" s="550">
        <f t="shared" si="4"/>
        <v>348960255</v>
      </c>
      <c r="D115" s="325">
        <f>359410+2345001+219008101+12873483+381000+1500000+3139585+33894811+377190+2338070+4950460-60000+275000+20930495+3000+1187993+457200+1422400+3150920+850748+6716258+2350811+4594690</f>
        <v>323046626</v>
      </c>
      <c r="E115" s="260">
        <v>4919980</v>
      </c>
      <c r="F115" s="314">
        <f>20394512+599137</f>
        <v>20993649</v>
      </c>
      <c r="H115" s="546">
        <f>'1.2.sz.mell. '!C115+'1.3.sz.mell.'!C115+'1.4.sz.mell. '!C115</f>
        <v>348960255</v>
      </c>
      <c r="I115" s="547">
        <f t="shared" si="5"/>
        <v>0</v>
      </c>
    </row>
    <row r="116" spans="1:9" ht="12" customHeight="1" thickBot="1" x14ac:dyDescent="0.3">
      <c r="A116" s="14" t="s">
        <v>106</v>
      </c>
      <c r="B116" s="11" t="s">
        <v>308</v>
      </c>
      <c r="C116" s="634">
        <f t="shared" si="4"/>
        <v>295275384</v>
      </c>
      <c r="D116" s="636">
        <f>12873483+33259811+218246101+22118488+6704583</f>
        <v>293202466</v>
      </c>
      <c r="E116" s="260"/>
      <c r="F116" s="314">
        <v>2072918</v>
      </c>
      <c r="H116" s="546">
        <f>'1.2.sz.mell. '!C116+'1.3.sz.mell.'!C116+'1.4.sz.mell. '!C116</f>
        <v>295275384</v>
      </c>
      <c r="I116" s="548">
        <f t="shared" si="5"/>
        <v>0</v>
      </c>
    </row>
    <row r="117" spans="1:9" ht="12" customHeight="1" thickBot="1" x14ac:dyDescent="0.3">
      <c r="A117" s="14" t="s">
        <v>107</v>
      </c>
      <c r="B117" s="11" t="s">
        <v>152</v>
      </c>
      <c r="C117" s="550">
        <f t="shared" si="4"/>
        <v>281600756</v>
      </c>
      <c r="D117" s="296">
        <f>180701362+1500000+37902555+48165993+9194292+3526954</f>
        <v>280991156</v>
      </c>
      <c r="E117" s="141"/>
      <c r="F117" s="298">
        <v>609600</v>
      </c>
      <c r="H117" s="546">
        <f>'1.2.sz.mell. '!C117+'1.3.sz.mell.'!C117+'1.4.sz.mell. '!C117</f>
        <v>281600756</v>
      </c>
      <c r="I117" s="548">
        <f t="shared" si="5"/>
        <v>0</v>
      </c>
    </row>
    <row r="118" spans="1:9" ht="12" customHeight="1" thickBot="1" x14ac:dyDescent="0.3">
      <c r="A118" s="14" t="s">
        <v>108</v>
      </c>
      <c r="B118" s="11" t="s">
        <v>309</v>
      </c>
      <c r="C118" s="634">
        <f t="shared" si="4"/>
        <v>230773273</v>
      </c>
      <c r="D118" s="635">
        <f>146098020+36509260+48165993</f>
        <v>230773273</v>
      </c>
      <c r="E118" s="308"/>
      <c r="F118" s="296"/>
      <c r="H118" s="546">
        <f>'1.2.sz.mell. '!C118+'1.3.sz.mell.'!C118+'1.4.sz.mell. '!C118</f>
        <v>230773273</v>
      </c>
      <c r="I118" s="548">
        <f t="shared" si="5"/>
        <v>0</v>
      </c>
    </row>
    <row r="119" spans="1:9" ht="12" customHeight="1" thickBot="1" x14ac:dyDescent="0.3">
      <c r="A119" s="14" t="s">
        <v>109</v>
      </c>
      <c r="B119" s="134" t="s">
        <v>170</v>
      </c>
      <c r="C119" s="634">
        <f>SUM(D119:F119)</f>
        <v>66320721</v>
      </c>
      <c r="D119" s="296">
        <f>65710721+100000+510000</f>
        <v>66320721</v>
      </c>
      <c r="E119" s="296"/>
      <c r="F119" s="296"/>
      <c r="H119" s="546">
        <f>'1.2.sz.mell. '!C119+'1.3.sz.mell.'!C119+'1.4.sz.mell. '!C119</f>
        <v>66320721</v>
      </c>
      <c r="I119" s="548">
        <f t="shared" si="5"/>
        <v>0</v>
      </c>
    </row>
    <row r="120" spans="1:9" ht="12" customHeight="1" thickBot="1" x14ac:dyDescent="0.3">
      <c r="A120" s="14" t="s">
        <v>118</v>
      </c>
      <c r="B120" s="133" t="s">
        <v>371</v>
      </c>
      <c r="C120" s="634">
        <f t="shared" si="4"/>
        <v>0</v>
      </c>
      <c r="D120" s="125"/>
      <c r="E120" s="125"/>
      <c r="F120" s="296"/>
      <c r="H120" s="546">
        <f>'1.2.sz.mell. '!C120+'1.3.sz.mell.'!C120+'1.4.sz.mell. '!C120</f>
        <v>0</v>
      </c>
      <c r="I120" s="548">
        <f t="shared" si="5"/>
        <v>0</v>
      </c>
    </row>
    <row r="121" spans="1:9" ht="12" customHeight="1" thickBot="1" x14ac:dyDescent="0.3">
      <c r="A121" s="14" t="s">
        <v>120</v>
      </c>
      <c r="B121" s="218" t="s">
        <v>314</v>
      </c>
      <c r="C121" s="634">
        <f t="shared" si="4"/>
        <v>0</v>
      </c>
      <c r="D121" s="125"/>
      <c r="E121" s="125"/>
      <c r="F121" s="296"/>
      <c r="H121" s="546">
        <f>'1.2.sz.mell. '!C121+'1.3.sz.mell.'!C121+'1.4.sz.mell. '!C121</f>
        <v>0</v>
      </c>
      <c r="I121" s="548">
        <f t="shared" si="5"/>
        <v>0</v>
      </c>
    </row>
    <row r="122" spans="1:9" ht="16.5" thickBot="1" x14ac:dyDescent="0.3">
      <c r="A122" s="14" t="s">
        <v>153</v>
      </c>
      <c r="B122" s="82" t="s">
        <v>297</v>
      </c>
      <c r="C122" s="550">
        <f t="shared" si="4"/>
        <v>0</v>
      </c>
      <c r="D122" s="125"/>
      <c r="E122" s="125"/>
      <c r="F122" s="296"/>
      <c r="H122" s="546">
        <f>'1.2.sz.mell. '!C122+'1.3.sz.mell.'!C122+'1.4.sz.mell. '!C122</f>
        <v>0</v>
      </c>
      <c r="I122" s="548">
        <f t="shared" si="5"/>
        <v>0</v>
      </c>
    </row>
    <row r="123" spans="1:9" ht="12" customHeight="1" thickBot="1" x14ac:dyDescent="0.3">
      <c r="A123" s="14" t="s">
        <v>154</v>
      </c>
      <c r="B123" s="82" t="s">
        <v>313</v>
      </c>
      <c r="C123" s="550">
        <f t="shared" si="4"/>
        <v>0</v>
      </c>
      <c r="D123" s="125"/>
      <c r="E123" s="125"/>
      <c r="F123" s="296"/>
      <c r="H123" s="546">
        <f>'1.2.sz.mell. '!C123+'1.3.sz.mell.'!C123+'1.4.sz.mell. '!C123</f>
        <v>0</v>
      </c>
      <c r="I123" s="548">
        <f t="shared" si="5"/>
        <v>0</v>
      </c>
    </row>
    <row r="124" spans="1:9" ht="12" customHeight="1" thickBot="1" x14ac:dyDescent="0.3">
      <c r="A124" s="14" t="s">
        <v>155</v>
      </c>
      <c r="B124" s="82" t="s">
        <v>312</v>
      </c>
      <c r="C124" s="550">
        <f t="shared" si="4"/>
        <v>0</v>
      </c>
      <c r="D124" s="125"/>
      <c r="E124" s="125"/>
      <c r="F124" s="296"/>
      <c r="H124" s="546">
        <f>'1.2.sz.mell. '!C124+'1.3.sz.mell.'!C124+'1.4.sz.mell. '!C124</f>
        <v>0</v>
      </c>
      <c r="I124" s="548">
        <f t="shared" si="5"/>
        <v>0</v>
      </c>
    </row>
    <row r="125" spans="1:9" ht="12" customHeight="1" thickBot="1" x14ac:dyDescent="0.3">
      <c r="A125" s="14" t="s">
        <v>305</v>
      </c>
      <c r="B125" s="82" t="s">
        <v>300</v>
      </c>
      <c r="C125" s="550">
        <f t="shared" si="4"/>
        <v>0</v>
      </c>
      <c r="D125" s="125"/>
      <c r="E125" s="125"/>
      <c r="F125" s="296"/>
      <c r="H125" s="546">
        <f>'1.2.sz.mell. '!C125+'1.3.sz.mell.'!C125+'1.4.sz.mell. '!C125</f>
        <v>0</v>
      </c>
      <c r="I125" s="548">
        <f t="shared" si="5"/>
        <v>0</v>
      </c>
    </row>
    <row r="126" spans="1:9" ht="12" customHeight="1" thickBot="1" x14ac:dyDescent="0.3">
      <c r="A126" s="14" t="s">
        <v>306</v>
      </c>
      <c r="B126" s="82" t="s">
        <v>311</v>
      </c>
      <c r="C126" s="550">
        <f t="shared" si="4"/>
        <v>0</v>
      </c>
      <c r="D126" s="125"/>
      <c r="E126" s="125"/>
      <c r="F126" s="296"/>
      <c r="H126" s="546">
        <f>'1.2.sz.mell. '!C126+'1.3.sz.mell.'!C126+'1.4.sz.mell. '!C126</f>
        <v>0</v>
      </c>
      <c r="I126" s="548">
        <f t="shared" si="5"/>
        <v>0</v>
      </c>
    </row>
    <row r="127" spans="1:9" ht="16.5" thickBot="1" x14ac:dyDescent="0.3">
      <c r="A127" s="12" t="s">
        <v>307</v>
      </c>
      <c r="B127" s="82" t="s">
        <v>310</v>
      </c>
      <c r="C127" s="856">
        <f t="shared" si="4"/>
        <v>66320721</v>
      </c>
      <c r="D127" s="300">
        <f>65710721+100000+510000</f>
        <v>66320721</v>
      </c>
      <c r="E127" s="300"/>
      <c r="F127" s="300"/>
      <c r="H127" s="546">
        <f>'1.2.sz.mell. '!C127+'1.3.sz.mell.'!C127+'1.4.sz.mell. '!C127</f>
        <v>66320721</v>
      </c>
      <c r="I127" s="549">
        <f t="shared" si="5"/>
        <v>0</v>
      </c>
    </row>
    <row r="128" spans="1:9" ht="12" customHeight="1" thickBot="1" x14ac:dyDescent="0.3">
      <c r="A128" s="19" t="s">
        <v>25</v>
      </c>
      <c r="B128" s="639" t="s">
        <v>498</v>
      </c>
      <c r="C128" s="641">
        <f t="shared" si="4"/>
        <v>3179642713</v>
      </c>
      <c r="D128" s="319">
        <f>+D93+D114</f>
        <v>1405680520</v>
      </c>
      <c r="E128" s="137">
        <f>+E93+E114</f>
        <v>244350438</v>
      </c>
      <c r="F128" s="137">
        <f>+F93+F114</f>
        <v>1529611755</v>
      </c>
      <c r="H128" s="546">
        <f>'1.2.sz.mell. '!C128+'1.3.sz.mell.'!C128+'1.4.sz.mell. '!C128</f>
        <v>3179642713</v>
      </c>
      <c r="I128" s="546">
        <f t="shared" si="5"/>
        <v>0</v>
      </c>
    </row>
    <row r="129" spans="1:9" ht="12" customHeight="1" thickBot="1" x14ac:dyDescent="0.3">
      <c r="A129" s="19" t="s">
        <v>26</v>
      </c>
      <c r="B129" s="639" t="s">
        <v>499</v>
      </c>
      <c r="C129" s="641">
        <f t="shared" si="4"/>
        <v>108486704</v>
      </c>
      <c r="D129" s="319">
        <f>+D130+D131+D132</f>
        <v>108486704</v>
      </c>
      <c r="E129" s="137">
        <f>+E130+E131+E132</f>
        <v>0</v>
      </c>
      <c r="F129" s="137">
        <f>+F130+F131+F132</f>
        <v>0</v>
      </c>
      <c r="H129" s="546">
        <f>'1.2.sz.mell. '!C129+'1.3.sz.mell.'!C129+'1.4.sz.mell. '!C129</f>
        <v>108486704</v>
      </c>
      <c r="I129" s="546">
        <f t="shared" si="5"/>
        <v>0</v>
      </c>
    </row>
    <row r="130" spans="1:9" ht="12" customHeight="1" thickBot="1" x14ac:dyDescent="0.3">
      <c r="A130" s="14" t="s">
        <v>205</v>
      </c>
      <c r="B130" s="11" t="s">
        <v>500</v>
      </c>
      <c r="C130" s="634">
        <f t="shared" si="4"/>
        <v>8486704</v>
      </c>
      <c r="D130" s="296">
        <f>4042704+4444000</f>
        <v>8486704</v>
      </c>
      <c r="E130" s="296"/>
      <c r="F130" s="296"/>
      <c r="H130" s="546">
        <f>'1.2.sz.mell. '!C130+'1.3.sz.mell.'!C130+'1.4.sz.mell. '!C130</f>
        <v>8486704</v>
      </c>
      <c r="I130" s="547">
        <f t="shared" si="5"/>
        <v>0</v>
      </c>
    </row>
    <row r="131" spans="1:9" ht="12" customHeight="1" thickBot="1" x14ac:dyDescent="0.3">
      <c r="A131" s="14" t="s">
        <v>208</v>
      </c>
      <c r="B131" s="11" t="s">
        <v>501</v>
      </c>
      <c r="C131" s="634">
        <f t="shared" si="4"/>
        <v>100000000</v>
      </c>
      <c r="D131" s="125">
        <v>100000000</v>
      </c>
      <c r="E131" s="125"/>
      <c r="F131" s="125"/>
      <c r="H131" s="546">
        <f>'1.2.sz.mell. '!C131+'1.3.sz.mell.'!C131+'1.4.sz.mell. '!C131</f>
        <v>100000000</v>
      </c>
      <c r="I131" s="548">
        <f t="shared" si="5"/>
        <v>0</v>
      </c>
    </row>
    <row r="132" spans="1:9" ht="12" customHeight="1" thickBot="1" x14ac:dyDescent="0.3">
      <c r="A132" s="12" t="s">
        <v>209</v>
      </c>
      <c r="B132" s="11" t="s">
        <v>502</v>
      </c>
      <c r="C132" s="640">
        <f t="shared" si="4"/>
        <v>0</v>
      </c>
      <c r="D132" s="125"/>
      <c r="E132" s="125"/>
      <c r="F132" s="125"/>
      <c r="H132" s="546">
        <f>'1.2.sz.mell. '!C132+'1.3.sz.mell.'!C132+'1.4.sz.mell. '!C132</f>
        <v>0</v>
      </c>
      <c r="I132" s="549">
        <f t="shared" si="5"/>
        <v>0</v>
      </c>
    </row>
    <row r="133" spans="1:9" ht="12" customHeight="1" thickBot="1" x14ac:dyDescent="0.3">
      <c r="A133" s="19" t="s">
        <v>27</v>
      </c>
      <c r="B133" s="639" t="s">
        <v>503</v>
      </c>
      <c r="C133" s="641">
        <f t="shared" si="4"/>
        <v>0</v>
      </c>
      <c r="D133" s="319">
        <f>+D134+D135+D136+D137+D138+D139</f>
        <v>0</v>
      </c>
      <c r="E133" s="137">
        <f>+E134+E135+E136+E137+E138+E139</f>
        <v>0</v>
      </c>
      <c r="F133" s="137">
        <f>SUM(F134:F139)</f>
        <v>0</v>
      </c>
      <c r="H133" s="546">
        <f>'1.2.sz.mell. '!C133+'1.3.sz.mell.'!C133+'1.4.sz.mell. '!C133</f>
        <v>0</v>
      </c>
      <c r="I133" s="546">
        <f t="shared" si="5"/>
        <v>0</v>
      </c>
    </row>
    <row r="134" spans="1:9" ht="12" customHeight="1" thickBot="1" x14ac:dyDescent="0.3">
      <c r="A134" s="14" t="s">
        <v>92</v>
      </c>
      <c r="B134" s="8" t="s">
        <v>504</v>
      </c>
      <c r="C134" s="637">
        <f t="shared" si="4"/>
        <v>0</v>
      </c>
      <c r="D134" s="125"/>
      <c r="E134" s="125"/>
      <c r="F134" s="125"/>
      <c r="H134" s="546">
        <f>'1.2.sz.mell. '!C134+'1.3.sz.mell.'!C134+'1.4.sz.mell. '!C134</f>
        <v>0</v>
      </c>
      <c r="I134" s="547">
        <f t="shared" si="5"/>
        <v>0</v>
      </c>
    </row>
    <row r="135" spans="1:9" ht="12" customHeight="1" thickBot="1" x14ac:dyDescent="0.3">
      <c r="A135" s="14" t="s">
        <v>93</v>
      </c>
      <c r="B135" s="8" t="s">
        <v>505</v>
      </c>
      <c r="C135" s="637">
        <f t="shared" si="4"/>
        <v>0</v>
      </c>
      <c r="D135" s="125"/>
      <c r="E135" s="125"/>
      <c r="F135" s="125"/>
      <c r="H135" s="546">
        <f>'1.2.sz.mell. '!C135+'1.3.sz.mell.'!C135+'1.4.sz.mell. '!C135</f>
        <v>0</v>
      </c>
      <c r="I135" s="548">
        <f t="shared" si="5"/>
        <v>0</v>
      </c>
    </row>
    <row r="136" spans="1:9" ht="12" customHeight="1" thickBot="1" x14ac:dyDescent="0.3">
      <c r="A136" s="14" t="s">
        <v>94</v>
      </c>
      <c r="B136" s="8" t="s">
        <v>506</v>
      </c>
      <c r="C136" s="637">
        <f t="shared" si="4"/>
        <v>0</v>
      </c>
      <c r="D136" s="125"/>
      <c r="E136" s="125"/>
      <c r="F136" s="125"/>
      <c r="H136" s="546">
        <f>'1.2.sz.mell. '!C136+'1.3.sz.mell.'!C136+'1.4.sz.mell. '!C136</f>
        <v>0</v>
      </c>
      <c r="I136" s="548">
        <f t="shared" si="5"/>
        <v>0</v>
      </c>
    </row>
    <row r="137" spans="1:9" ht="12" customHeight="1" thickBot="1" x14ac:dyDescent="0.3">
      <c r="A137" s="14" t="s">
        <v>140</v>
      </c>
      <c r="B137" s="8" t="s">
        <v>507</v>
      </c>
      <c r="C137" s="637">
        <f t="shared" si="4"/>
        <v>0</v>
      </c>
      <c r="D137" s="125"/>
      <c r="E137" s="125"/>
      <c r="F137" s="125"/>
      <c r="H137" s="546">
        <f>'1.2.sz.mell. '!C137+'1.3.sz.mell.'!C137+'1.4.sz.mell. '!C137</f>
        <v>0</v>
      </c>
      <c r="I137" s="548">
        <f t="shared" si="5"/>
        <v>0</v>
      </c>
    </row>
    <row r="138" spans="1:9" ht="12" customHeight="1" thickBot="1" x14ac:dyDescent="0.3">
      <c r="A138" s="14" t="s">
        <v>141</v>
      </c>
      <c r="B138" s="8" t="s">
        <v>508</v>
      </c>
      <c r="C138" s="637">
        <f t="shared" si="4"/>
        <v>0</v>
      </c>
      <c r="D138" s="125"/>
      <c r="E138" s="125"/>
      <c r="F138" s="125"/>
      <c r="H138" s="546">
        <f>'1.2.sz.mell. '!C138+'1.3.sz.mell.'!C138+'1.4.sz.mell. '!C138</f>
        <v>0</v>
      </c>
      <c r="I138" s="548">
        <f t="shared" si="5"/>
        <v>0</v>
      </c>
    </row>
    <row r="139" spans="1:9" ht="12" customHeight="1" thickBot="1" x14ac:dyDescent="0.3">
      <c r="A139" s="12" t="s">
        <v>142</v>
      </c>
      <c r="B139" s="8" t="s">
        <v>509</v>
      </c>
      <c r="C139" s="640">
        <f t="shared" si="4"/>
        <v>0</v>
      </c>
      <c r="D139" s="125"/>
      <c r="E139" s="125"/>
      <c r="F139" s="125"/>
      <c r="H139" s="546">
        <f>'1.2.sz.mell. '!C139+'1.3.sz.mell.'!C139+'1.4.sz.mell. '!C139</f>
        <v>0</v>
      </c>
      <c r="I139" s="549">
        <f t="shared" si="5"/>
        <v>0</v>
      </c>
    </row>
    <row r="140" spans="1:9" ht="12" customHeight="1" thickBot="1" x14ac:dyDescent="0.3">
      <c r="A140" s="19" t="s">
        <v>28</v>
      </c>
      <c r="B140" s="639" t="s">
        <v>510</v>
      </c>
      <c r="C140" s="641">
        <f t="shared" si="4"/>
        <v>38167591</v>
      </c>
      <c r="D140" s="322">
        <f>+D141+D142+D143+D144</f>
        <v>38167591</v>
      </c>
      <c r="E140" s="142">
        <f>+E141+E142+E143+E144</f>
        <v>0</v>
      </c>
      <c r="F140" s="142">
        <f>+F141+F142+F143+F144</f>
        <v>0</v>
      </c>
      <c r="H140" s="546">
        <f>'1.2.sz.mell. '!C140+'1.3.sz.mell.'!C140+'1.4.sz.mell. '!C140</f>
        <v>38167591</v>
      </c>
      <c r="I140" s="546">
        <f t="shared" si="5"/>
        <v>0</v>
      </c>
    </row>
    <row r="141" spans="1:9" ht="12" customHeight="1" thickBot="1" x14ac:dyDescent="0.3">
      <c r="A141" s="14" t="s">
        <v>95</v>
      </c>
      <c r="B141" s="8" t="s">
        <v>315</v>
      </c>
      <c r="C141" s="637">
        <f t="shared" si="4"/>
        <v>0</v>
      </c>
      <c r="D141" s="125"/>
      <c r="E141" s="125"/>
      <c r="F141" s="125"/>
      <c r="H141" s="546">
        <f>'1.2.sz.mell. '!C141+'1.3.sz.mell.'!C141+'1.4.sz.mell. '!C141</f>
        <v>0</v>
      </c>
      <c r="I141" s="547">
        <f t="shared" si="5"/>
        <v>0</v>
      </c>
    </row>
    <row r="142" spans="1:9" ht="12" customHeight="1" thickBot="1" x14ac:dyDescent="0.3">
      <c r="A142" s="14" t="s">
        <v>96</v>
      </c>
      <c r="B142" s="8" t="s">
        <v>316</v>
      </c>
      <c r="C142" s="634">
        <f t="shared" si="4"/>
        <v>38167591</v>
      </c>
      <c r="D142" s="125">
        <v>38167591</v>
      </c>
      <c r="E142" s="125"/>
      <c r="F142" s="125"/>
      <c r="H142" s="546">
        <f>'1.2.sz.mell. '!C142+'1.3.sz.mell.'!C142+'1.4.sz.mell. '!C142</f>
        <v>38167591</v>
      </c>
      <c r="I142" s="548">
        <f t="shared" si="5"/>
        <v>0</v>
      </c>
    </row>
    <row r="143" spans="1:9" ht="12" customHeight="1" thickBot="1" x14ac:dyDescent="0.3">
      <c r="A143" s="14" t="s">
        <v>229</v>
      </c>
      <c r="B143" s="8" t="s">
        <v>511</v>
      </c>
      <c r="C143" s="637">
        <f t="shared" si="4"/>
        <v>0</v>
      </c>
      <c r="D143" s="125"/>
      <c r="E143" s="125"/>
      <c r="F143" s="125"/>
      <c r="H143" s="546">
        <f>'1.2.sz.mell. '!C143+'1.3.sz.mell.'!C143+'1.4.sz.mell. '!C143</f>
        <v>0</v>
      </c>
      <c r="I143" s="548">
        <f t="shared" si="5"/>
        <v>0</v>
      </c>
    </row>
    <row r="144" spans="1:9" ht="12" customHeight="1" thickBot="1" x14ac:dyDescent="0.3">
      <c r="A144" s="12" t="s">
        <v>230</v>
      </c>
      <c r="B144" s="6" t="s">
        <v>334</v>
      </c>
      <c r="C144" s="640">
        <f t="shared" si="4"/>
        <v>0</v>
      </c>
      <c r="D144" s="125"/>
      <c r="E144" s="125"/>
      <c r="F144" s="125"/>
      <c r="H144" s="546">
        <f>'1.2.sz.mell. '!C144+'1.3.sz.mell.'!C144+'1.4.sz.mell. '!C144</f>
        <v>0</v>
      </c>
      <c r="I144" s="549">
        <f t="shared" si="5"/>
        <v>0</v>
      </c>
    </row>
    <row r="145" spans="1:9" ht="12" customHeight="1" thickBot="1" x14ac:dyDescent="0.3">
      <c r="A145" s="19" t="s">
        <v>29</v>
      </c>
      <c r="B145" s="639" t="s">
        <v>512</v>
      </c>
      <c r="C145" s="641">
        <f t="shared" si="4"/>
        <v>0</v>
      </c>
      <c r="D145" s="331">
        <f>+D146+D147+D148+D149+D150</f>
        <v>0</v>
      </c>
      <c r="E145" s="145">
        <f>+E146+E147+E148+E149+E150</f>
        <v>0</v>
      </c>
      <c r="F145" s="145">
        <f>SUM(F146:F150)</f>
        <v>0</v>
      </c>
      <c r="H145" s="546">
        <f>'1.2.sz.mell. '!C145+'1.3.sz.mell.'!C145+'1.4.sz.mell. '!C145</f>
        <v>0</v>
      </c>
      <c r="I145" s="546">
        <f t="shared" si="5"/>
        <v>0</v>
      </c>
    </row>
    <row r="146" spans="1:9" ht="12" customHeight="1" thickBot="1" x14ac:dyDescent="0.3">
      <c r="A146" s="14" t="s">
        <v>97</v>
      </c>
      <c r="B146" s="8" t="s">
        <v>513</v>
      </c>
      <c r="C146" s="637">
        <f t="shared" si="4"/>
        <v>0</v>
      </c>
      <c r="D146" s="125"/>
      <c r="E146" s="125"/>
      <c r="F146" s="125"/>
      <c r="H146" s="546">
        <f>'1.2.sz.mell. '!C146+'1.3.sz.mell.'!C146+'1.4.sz.mell. '!C146</f>
        <v>0</v>
      </c>
      <c r="I146" s="547">
        <f t="shared" si="5"/>
        <v>0</v>
      </c>
    </row>
    <row r="147" spans="1:9" ht="12" customHeight="1" thickBot="1" x14ac:dyDescent="0.3">
      <c r="A147" s="14" t="s">
        <v>98</v>
      </c>
      <c r="B147" s="8" t="s">
        <v>514</v>
      </c>
      <c r="C147" s="637">
        <f t="shared" si="4"/>
        <v>0</v>
      </c>
      <c r="D147" s="125"/>
      <c r="E147" s="125"/>
      <c r="F147" s="125"/>
      <c r="H147" s="546">
        <f>'1.2.sz.mell. '!C147+'1.3.sz.mell.'!C147+'1.4.sz.mell. '!C147</f>
        <v>0</v>
      </c>
      <c r="I147" s="548">
        <f t="shared" si="5"/>
        <v>0</v>
      </c>
    </row>
    <row r="148" spans="1:9" ht="12" customHeight="1" thickBot="1" x14ac:dyDescent="0.3">
      <c r="A148" s="14" t="s">
        <v>241</v>
      </c>
      <c r="B148" s="8" t="s">
        <v>515</v>
      </c>
      <c r="C148" s="637">
        <f t="shared" si="4"/>
        <v>0</v>
      </c>
      <c r="D148" s="125"/>
      <c r="E148" s="125"/>
      <c r="F148" s="125"/>
      <c r="H148" s="546">
        <f>'1.2.sz.mell. '!C148+'1.3.sz.mell.'!C148+'1.4.sz.mell. '!C148</f>
        <v>0</v>
      </c>
      <c r="I148" s="548">
        <f t="shared" si="5"/>
        <v>0</v>
      </c>
    </row>
    <row r="149" spans="1:9" ht="12" customHeight="1" thickBot="1" x14ac:dyDescent="0.3">
      <c r="A149" s="14" t="s">
        <v>242</v>
      </c>
      <c r="B149" s="8" t="s">
        <v>516</v>
      </c>
      <c r="C149" s="637">
        <f t="shared" si="4"/>
        <v>0</v>
      </c>
      <c r="D149" s="125"/>
      <c r="E149" s="125"/>
      <c r="F149" s="125"/>
      <c r="H149" s="546">
        <f>'1.2.sz.mell. '!C149+'1.3.sz.mell.'!C149+'1.4.sz.mell. '!C149</f>
        <v>0</v>
      </c>
      <c r="I149" s="548">
        <f t="shared" si="5"/>
        <v>0</v>
      </c>
    </row>
    <row r="150" spans="1:9" ht="12" customHeight="1" thickBot="1" x14ac:dyDescent="0.3">
      <c r="A150" s="14" t="s">
        <v>517</v>
      </c>
      <c r="B150" s="8" t="s">
        <v>518</v>
      </c>
      <c r="C150" s="640">
        <f t="shared" si="4"/>
        <v>0</v>
      </c>
      <c r="D150" s="126"/>
      <c r="E150" s="126"/>
      <c r="F150" s="125"/>
      <c r="H150" s="546">
        <f>'1.2.sz.mell. '!C150+'1.3.sz.mell.'!C150+'1.4.sz.mell. '!C150</f>
        <v>0</v>
      </c>
      <c r="I150" s="549">
        <f t="shared" si="5"/>
        <v>0</v>
      </c>
    </row>
    <row r="151" spans="1:9" ht="12" customHeight="1" thickBot="1" x14ac:dyDescent="0.3">
      <c r="A151" s="19" t="s">
        <v>30</v>
      </c>
      <c r="B151" s="639" t="s">
        <v>519</v>
      </c>
      <c r="C151" s="641">
        <f t="shared" si="4"/>
        <v>0</v>
      </c>
      <c r="D151" s="331"/>
      <c r="E151" s="145"/>
      <c r="F151" s="287"/>
      <c r="H151" s="546">
        <f>'1.2.sz.mell. '!C151+'1.3.sz.mell.'!C151+'1.4.sz.mell. '!C151</f>
        <v>0</v>
      </c>
      <c r="I151" s="546">
        <f t="shared" si="5"/>
        <v>0</v>
      </c>
    </row>
    <row r="152" spans="1:9" ht="12" customHeight="1" thickBot="1" x14ac:dyDescent="0.3">
      <c r="A152" s="19" t="s">
        <v>31</v>
      </c>
      <c r="B152" s="639" t="s">
        <v>520</v>
      </c>
      <c r="C152" s="641">
        <f t="shared" si="4"/>
        <v>0</v>
      </c>
      <c r="D152" s="331"/>
      <c r="E152" s="145"/>
      <c r="F152" s="287"/>
      <c r="H152" s="546">
        <f>'1.2.sz.mell. '!C152+'1.3.sz.mell.'!C152+'1.4.sz.mell. '!C152</f>
        <v>0</v>
      </c>
      <c r="I152" s="546">
        <f t="shared" si="5"/>
        <v>0</v>
      </c>
    </row>
    <row r="153" spans="1:9" ht="15" customHeight="1" thickBot="1" x14ac:dyDescent="0.3">
      <c r="A153" s="19" t="s">
        <v>32</v>
      </c>
      <c r="B153" s="639" t="s">
        <v>521</v>
      </c>
      <c r="C153" s="641">
        <f t="shared" si="4"/>
        <v>146654295</v>
      </c>
      <c r="D153" s="332">
        <f>+D129+D133+D140+D145+D151+D152</f>
        <v>146654295</v>
      </c>
      <c r="E153" s="232">
        <f>+E129+E133+E140+E145+E151+E152</f>
        <v>0</v>
      </c>
      <c r="F153" s="232">
        <f>+F129+F133+F140+F145+F151+F152</f>
        <v>0</v>
      </c>
      <c r="G153" s="233"/>
      <c r="H153" s="546">
        <f>'1.2.sz.mell. '!C153+'1.3.sz.mell.'!C153+'1.4.sz.mell. '!C153</f>
        <v>146654295</v>
      </c>
      <c r="I153" s="546">
        <f t="shared" si="5"/>
        <v>0</v>
      </c>
    </row>
    <row r="154" spans="1:9" s="221" customFormat="1" ht="12.95" customHeight="1" thickBot="1" x14ac:dyDescent="0.25">
      <c r="A154" s="135" t="s">
        <v>33</v>
      </c>
      <c r="B154" s="642" t="s">
        <v>522</v>
      </c>
      <c r="C154" s="641">
        <f t="shared" si="4"/>
        <v>3326297008</v>
      </c>
      <c r="D154" s="332">
        <f>+D128+D153</f>
        <v>1552334815</v>
      </c>
      <c r="E154" s="232">
        <f>+E128+E153</f>
        <v>244350438</v>
      </c>
      <c r="F154" s="232">
        <f>+F128+F153</f>
        <v>1529611755</v>
      </c>
      <c r="H154" s="546">
        <f>'1.2.sz.mell. '!C154+'1.3.sz.mell.'!C154+'1.4.sz.mell. '!C154</f>
        <v>3326297008</v>
      </c>
      <c r="I154" s="546">
        <f t="shared" si="5"/>
        <v>0</v>
      </c>
    </row>
    <row r="155" spans="1:9" ht="7.5" customHeight="1" x14ac:dyDescent="0.25">
      <c r="C155" s="209"/>
    </row>
    <row r="156" spans="1:9" x14ac:dyDescent="0.25">
      <c r="A156" s="1005" t="s">
        <v>317</v>
      </c>
      <c r="B156" s="1005"/>
      <c r="C156" s="1005"/>
    </row>
    <row r="157" spans="1:9" ht="15" customHeight="1" thickBot="1" x14ac:dyDescent="0.3">
      <c r="A157" s="1002" t="s">
        <v>130</v>
      </c>
      <c r="B157" s="1002"/>
      <c r="C157" s="146" t="s">
        <v>598</v>
      </c>
    </row>
    <row r="158" spans="1:9" ht="13.5" customHeight="1" thickBot="1" x14ac:dyDescent="0.3">
      <c r="A158" s="19">
        <v>1</v>
      </c>
      <c r="B158" s="24" t="s">
        <v>523</v>
      </c>
      <c r="C158" s="137">
        <f>+C62-C128</f>
        <v>-667501367</v>
      </c>
    </row>
    <row r="159" spans="1:9" ht="27.75" customHeight="1" thickBot="1" x14ac:dyDescent="0.3">
      <c r="A159" s="19" t="s">
        <v>24</v>
      </c>
      <c r="B159" s="24" t="s">
        <v>524</v>
      </c>
      <c r="C159" s="137">
        <f>+C86-C153</f>
        <v>667501367</v>
      </c>
      <c r="H159" s="544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17/2018.(VII.27.)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J3" sqref="J3"/>
    </sheetView>
  </sheetViews>
  <sheetFormatPr defaultRowHeight="12.75" x14ac:dyDescent="0.2"/>
  <cols>
    <col min="1" max="1" width="19.5" style="564" customWidth="1"/>
    <col min="2" max="2" width="72" style="565" customWidth="1"/>
    <col min="3" max="3" width="25" style="566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8"/>
      <c r="B1" s="100"/>
      <c r="C1" s="123"/>
    </row>
    <row r="2" spans="1:3" s="54" customFormat="1" ht="21" customHeight="1" x14ac:dyDescent="0.2">
      <c r="A2" s="212" t="s">
        <v>67</v>
      </c>
      <c r="B2" s="186" t="s">
        <v>165</v>
      </c>
      <c r="C2" s="188" t="s">
        <v>58</v>
      </c>
    </row>
    <row r="3" spans="1:3" s="54" customFormat="1" ht="16.5" thickBot="1" x14ac:dyDescent="0.25">
      <c r="A3" s="101" t="s">
        <v>161</v>
      </c>
      <c r="B3" s="187" t="s">
        <v>372</v>
      </c>
      <c r="C3" s="290" t="s">
        <v>65</v>
      </c>
    </row>
    <row r="4" spans="1:3" s="55" customFormat="1" ht="15.95" customHeight="1" thickBot="1" x14ac:dyDescent="0.3">
      <c r="A4" s="102"/>
      <c r="B4" s="102"/>
      <c r="C4" s="103" t="s">
        <v>599</v>
      </c>
    </row>
    <row r="5" spans="1:3" ht="13.5" thickBot="1" x14ac:dyDescent="0.25">
      <c r="A5" s="213" t="s">
        <v>163</v>
      </c>
      <c r="B5" s="104" t="s">
        <v>59</v>
      </c>
      <c r="C5" s="189" t="s">
        <v>60</v>
      </c>
    </row>
    <row r="6" spans="1:3" s="47" customFormat="1" ht="12.95" customHeight="1" thickBot="1" x14ac:dyDescent="0.25">
      <c r="A6" s="90" t="s">
        <v>471</v>
      </c>
      <c r="B6" s="91" t="s">
        <v>472</v>
      </c>
      <c r="C6" s="92" t="s">
        <v>473</v>
      </c>
    </row>
    <row r="7" spans="1:3" s="47" customFormat="1" ht="15.95" customHeight="1" thickBot="1" x14ac:dyDescent="0.25">
      <c r="A7" s="106"/>
      <c r="B7" s="107" t="s">
        <v>61</v>
      </c>
      <c r="C7" s="190"/>
    </row>
    <row r="8" spans="1:3" s="47" customFormat="1" ht="12" customHeight="1" thickBot="1" x14ac:dyDescent="0.25">
      <c r="A8" s="31" t="s">
        <v>23</v>
      </c>
      <c r="B8" s="20" t="s">
        <v>189</v>
      </c>
      <c r="C8" s="137">
        <f>+C9+C10+C11+C12+C13+C14</f>
        <v>1133036781</v>
      </c>
    </row>
    <row r="9" spans="1:3" s="56" customFormat="1" ht="12" customHeight="1" x14ac:dyDescent="0.2">
      <c r="A9" s="236" t="s">
        <v>99</v>
      </c>
      <c r="B9" s="222" t="s">
        <v>190</v>
      </c>
      <c r="C9" s="325">
        <v>227855923</v>
      </c>
    </row>
    <row r="10" spans="1:3" s="57" customFormat="1" ht="12" customHeight="1" x14ac:dyDescent="0.2">
      <c r="A10" s="237" t="s">
        <v>100</v>
      </c>
      <c r="B10" s="223" t="s">
        <v>191</v>
      </c>
      <c r="C10" s="786">
        <f>224734134+735168</f>
        <v>225469302</v>
      </c>
    </row>
    <row r="11" spans="1:3" s="57" customFormat="1" ht="12" customHeight="1" x14ac:dyDescent="0.2">
      <c r="A11" s="237" t="s">
        <v>101</v>
      </c>
      <c r="B11" s="223" t="s">
        <v>192</v>
      </c>
      <c r="C11" s="786">
        <f>126991000+65060600+192410145+62092600+7543000</f>
        <v>454097345</v>
      </c>
    </row>
    <row r="12" spans="1:3" s="57" customFormat="1" ht="12" customHeight="1" x14ac:dyDescent="0.2">
      <c r="A12" s="237" t="s">
        <v>102</v>
      </c>
      <c r="B12" s="223" t="s">
        <v>193</v>
      </c>
      <c r="C12" s="786">
        <f>16122040+1398336+4545780</f>
        <v>22066156</v>
      </c>
    </row>
    <row r="13" spans="1:3" s="57" customFormat="1" ht="12" customHeight="1" x14ac:dyDescent="0.2">
      <c r="A13" s="237" t="s">
        <v>125</v>
      </c>
      <c r="B13" s="223" t="s">
        <v>535</v>
      </c>
      <c r="C13" s="786">
        <f>16254886+190231327+1309600+298022-4545780</f>
        <v>203548055</v>
      </c>
    </row>
    <row r="14" spans="1:3" s="56" customFormat="1" ht="12" customHeight="1" thickBot="1" x14ac:dyDescent="0.25">
      <c r="A14" s="238" t="s">
        <v>103</v>
      </c>
      <c r="B14" s="224" t="s">
        <v>475</v>
      </c>
      <c r="C14" s="141"/>
    </row>
    <row r="15" spans="1:3" s="56" customFormat="1" ht="12" customHeight="1" thickBot="1" x14ac:dyDescent="0.25">
      <c r="A15" s="31" t="s">
        <v>24</v>
      </c>
      <c r="B15" s="132" t="s">
        <v>194</v>
      </c>
      <c r="C15" s="137">
        <f>+C16+C17+C18+C19+C20</f>
        <v>125468256</v>
      </c>
    </row>
    <row r="16" spans="1:3" s="56" customFormat="1" ht="12" customHeight="1" x14ac:dyDescent="0.2">
      <c r="A16" s="236" t="s">
        <v>105</v>
      </c>
      <c r="B16" s="222" t="s">
        <v>195</v>
      </c>
      <c r="C16" s="139"/>
    </row>
    <row r="17" spans="1:3" s="56" customFormat="1" ht="12" customHeight="1" x14ac:dyDescent="0.2">
      <c r="A17" s="237" t="s">
        <v>106</v>
      </c>
      <c r="B17" s="223" t="s">
        <v>196</v>
      </c>
      <c r="C17" s="138"/>
    </row>
    <row r="18" spans="1:3" s="56" customFormat="1" ht="12" customHeight="1" x14ac:dyDescent="0.2">
      <c r="A18" s="237" t="s">
        <v>107</v>
      </c>
      <c r="B18" s="223" t="s">
        <v>365</v>
      </c>
      <c r="C18" s="141"/>
    </row>
    <row r="19" spans="1:3" s="56" customFormat="1" ht="12" customHeight="1" x14ac:dyDescent="0.2">
      <c r="A19" s="237" t="s">
        <v>108</v>
      </c>
      <c r="B19" s="223" t="s">
        <v>366</v>
      </c>
      <c r="C19" s="141"/>
    </row>
    <row r="20" spans="1:3" s="56" customFormat="1" ht="12" customHeight="1" x14ac:dyDescent="0.2">
      <c r="A20" s="237" t="s">
        <v>109</v>
      </c>
      <c r="B20" s="223" t="s">
        <v>197</v>
      </c>
      <c r="C20" s="786">
        <f>4320000+24250000+85531256+11367000</f>
        <v>125468256</v>
      </c>
    </row>
    <row r="21" spans="1:3" s="57" customFormat="1" ht="12" customHeight="1" thickBot="1" x14ac:dyDescent="0.25">
      <c r="A21" s="238" t="s">
        <v>118</v>
      </c>
      <c r="B21" s="224" t="s">
        <v>198</v>
      </c>
      <c r="C21" s="211">
        <v>85531256</v>
      </c>
    </row>
    <row r="22" spans="1:3" s="57" customFormat="1" ht="12" customHeight="1" thickBot="1" x14ac:dyDescent="0.25">
      <c r="A22" s="31" t="s">
        <v>25</v>
      </c>
      <c r="B22" s="20" t="s">
        <v>199</v>
      </c>
      <c r="C22" s="137">
        <f>+C23+C24+C25+C26+C27</f>
        <v>68947847</v>
      </c>
    </row>
    <row r="23" spans="1:3" s="57" customFormat="1" ht="12" customHeight="1" x14ac:dyDescent="0.2">
      <c r="A23" s="236" t="s">
        <v>88</v>
      </c>
      <c r="B23" s="222" t="s">
        <v>200</v>
      </c>
      <c r="C23" s="260"/>
    </row>
    <row r="24" spans="1:3" s="56" customFormat="1" ht="12" customHeight="1" x14ac:dyDescent="0.2">
      <c r="A24" s="237" t="s">
        <v>89</v>
      </c>
      <c r="B24" s="223" t="s">
        <v>201</v>
      </c>
      <c r="C24" s="141"/>
    </row>
    <row r="25" spans="1:3" s="57" customFormat="1" ht="12" customHeight="1" x14ac:dyDescent="0.2">
      <c r="A25" s="237" t="s">
        <v>90</v>
      </c>
      <c r="B25" s="223" t="s">
        <v>367</v>
      </c>
      <c r="C25" s="141"/>
    </row>
    <row r="26" spans="1:3" s="57" customFormat="1" ht="12" customHeight="1" x14ac:dyDescent="0.2">
      <c r="A26" s="237" t="s">
        <v>91</v>
      </c>
      <c r="B26" s="223" t="s">
        <v>368</v>
      </c>
      <c r="C26" s="141"/>
    </row>
    <row r="27" spans="1:3" s="57" customFormat="1" ht="12" customHeight="1" x14ac:dyDescent="0.2">
      <c r="A27" s="237" t="s">
        <v>136</v>
      </c>
      <c r="B27" s="223" t="s">
        <v>202</v>
      </c>
      <c r="C27" s="296">
        <f>5866130+3779393+3796748+55505576</f>
        <v>68947847</v>
      </c>
    </row>
    <row r="28" spans="1:3" s="57" customFormat="1" ht="12" customHeight="1" thickBot="1" x14ac:dyDescent="0.25">
      <c r="A28" s="238" t="s">
        <v>137</v>
      </c>
      <c r="B28" s="224" t="s">
        <v>203</v>
      </c>
      <c r="C28" s="211">
        <f>13442271+55505576</f>
        <v>68947847</v>
      </c>
    </row>
    <row r="29" spans="1:3" s="57" customFormat="1" ht="12" customHeight="1" thickBot="1" x14ac:dyDescent="0.25">
      <c r="A29" s="31" t="s">
        <v>138</v>
      </c>
      <c r="B29" s="20" t="s">
        <v>204</v>
      </c>
      <c r="C29" s="142">
        <f>+C30+C34+C35+C36</f>
        <v>352658000</v>
      </c>
    </row>
    <row r="30" spans="1:3" s="57" customFormat="1" ht="12" customHeight="1" x14ac:dyDescent="0.2">
      <c r="A30" s="236" t="s">
        <v>205</v>
      </c>
      <c r="B30" s="222" t="s">
        <v>536</v>
      </c>
      <c r="C30" s="217">
        <f>SUM(C31:C33)</f>
        <v>308654000</v>
      </c>
    </row>
    <row r="31" spans="1:3" s="57" customFormat="1" ht="12" customHeight="1" x14ac:dyDescent="0.2">
      <c r="A31" s="237" t="s">
        <v>206</v>
      </c>
      <c r="B31" s="223" t="s">
        <v>211</v>
      </c>
      <c r="C31" s="125">
        <v>77500000</v>
      </c>
    </row>
    <row r="32" spans="1:3" s="57" customFormat="1" ht="12" customHeight="1" x14ac:dyDescent="0.2">
      <c r="A32" s="237" t="s">
        <v>207</v>
      </c>
      <c r="B32" s="223" t="s">
        <v>578</v>
      </c>
      <c r="C32" s="125">
        <v>231154000</v>
      </c>
    </row>
    <row r="33" spans="1:3" s="57" customFormat="1" ht="12" customHeight="1" x14ac:dyDescent="0.2">
      <c r="A33" s="237" t="s">
        <v>477</v>
      </c>
      <c r="B33" s="223" t="s">
        <v>575</v>
      </c>
      <c r="C33" s="296"/>
    </row>
    <row r="34" spans="1:3" s="57" customFormat="1" ht="12" customHeight="1" x14ac:dyDescent="0.2">
      <c r="A34" s="237" t="s">
        <v>208</v>
      </c>
      <c r="B34" s="223" t="s">
        <v>213</v>
      </c>
      <c r="C34" s="296">
        <v>28000000</v>
      </c>
    </row>
    <row r="35" spans="1:3" s="57" customFormat="1" ht="12" customHeight="1" x14ac:dyDescent="0.2">
      <c r="A35" s="237" t="s">
        <v>209</v>
      </c>
      <c r="B35" s="223" t="s">
        <v>214</v>
      </c>
      <c r="C35" s="296">
        <f>4504000-4500000</f>
        <v>4000</v>
      </c>
    </row>
    <row r="36" spans="1:3" s="57" customFormat="1" ht="12" customHeight="1" thickBot="1" x14ac:dyDescent="0.25">
      <c r="A36" s="238" t="s">
        <v>210</v>
      </c>
      <c r="B36" s="224" t="s">
        <v>215</v>
      </c>
      <c r="C36" s="300">
        <f>11500000+4500000</f>
        <v>16000000</v>
      </c>
    </row>
    <row r="37" spans="1:3" s="57" customFormat="1" ht="12" customHeight="1" thickBot="1" x14ac:dyDescent="0.25">
      <c r="A37" s="31" t="s">
        <v>27</v>
      </c>
      <c r="B37" s="20" t="s">
        <v>479</v>
      </c>
      <c r="C37" s="137">
        <f>SUM(C38:C48)</f>
        <v>36236104</v>
      </c>
    </row>
    <row r="38" spans="1:3" s="57" customFormat="1" ht="12" customHeight="1" x14ac:dyDescent="0.2">
      <c r="A38" s="236" t="s">
        <v>92</v>
      </c>
      <c r="B38" s="222" t="s">
        <v>218</v>
      </c>
      <c r="C38" s="325"/>
    </row>
    <row r="39" spans="1:3" s="57" customFormat="1" ht="12" customHeight="1" x14ac:dyDescent="0.2">
      <c r="A39" s="237" t="s">
        <v>93</v>
      </c>
      <c r="B39" s="223" t="s">
        <v>219</v>
      </c>
      <c r="C39" s="296">
        <f>13910169+100000+7239600</f>
        <v>21249769</v>
      </c>
    </row>
    <row r="40" spans="1:3" s="57" customFormat="1" ht="12" customHeight="1" x14ac:dyDescent="0.2">
      <c r="A40" s="237" t="s">
        <v>94</v>
      </c>
      <c r="B40" s="223" t="s">
        <v>220</v>
      </c>
      <c r="C40" s="296">
        <f>500000+300000+50000+1400000+947000+300000</f>
        <v>3497000</v>
      </c>
    </row>
    <row r="41" spans="1:3" s="57" customFormat="1" ht="12" customHeight="1" x14ac:dyDescent="0.2">
      <c r="A41" s="237" t="s">
        <v>140</v>
      </c>
      <c r="B41" s="223" t="s">
        <v>221</v>
      </c>
      <c r="C41" s="296">
        <v>430000</v>
      </c>
    </row>
    <row r="42" spans="1:3" s="57" customFormat="1" ht="12" customHeight="1" x14ac:dyDescent="0.2">
      <c r="A42" s="237" t="s">
        <v>141</v>
      </c>
      <c r="B42" s="223" t="s">
        <v>222</v>
      </c>
      <c r="C42" s="296"/>
    </row>
    <row r="43" spans="1:3" s="57" customFormat="1" ht="12" customHeight="1" x14ac:dyDescent="0.2">
      <c r="A43" s="237" t="s">
        <v>142</v>
      </c>
      <c r="B43" s="223" t="s">
        <v>223</v>
      </c>
      <c r="C43" s="296">
        <f>5162000+81000+13500+378000+81000+682000+1954692</f>
        <v>8352192</v>
      </c>
    </row>
    <row r="44" spans="1:3" s="57" customFormat="1" ht="12" customHeight="1" x14ac:dyDescent="0.2">
      <c r="A44" s="237" t="s">
        <v>143</v>
      </c>
      <c r="B44" s="223" t="s">
        <v>224</v>
      </c>
      <c r="C44" s="296"/>
    </row>
    <row r="45" spans="1:3" s="57" customFormat="1" ht="12" customHeight="1" x14ac:dyDescent="0.2">
      <c r="A45" s="237" t="s">
        <v>144</v>
      </c>
      <c r="B45" s="223" t="s">
        <v>225</v>
      </c>
      <c r="C45" s="296">
        <v>30000</v>
      </c>
    </row>
    <row r="46" spans="1:3" s="57" customFormat="1" ht="12" customHeight="1" x14ac:dyDescent="0.2">
      <c r="A46" s="237" t="s">
        <v>216</v>
      </c>
      <c r="B46" s="223" t="s">
        <v>226</v>
      </c>
      <c r="C46" s="296"/>
    </row>
    <row r="47" spans="1:3" s="57" customFormat="1" ht="12" customHeight="1" x14ac:dyDescent="0.2">
      <c r="A47" s="238" t="s">
        <v>217</v>
      </c>
      <c r="B47" s="224" t="s">
        <v>480</v>
      </c>
      <c r="C47" s="300">
        <v>500000</v>
      </c>
    </row>
    <row r="48" spans="1:3" s="57" customFormat="1" ht="12" customHeight="1" thickBot="1" x14ac:dyDescent="0.25">
      <c r="A48" s="238" t="s">
        <v>481</v>
      </c>
      <c r="B48" s="224" t="s">
        <v>227</v>
      </c>
      <c r="C48" s="211">
        <f>600000+1577143</f>
        <v>2177143</v>
      </c>
    </row>
    <row r="49" spans="1:3" s="57" customFormat="1" ht="12" customHeight="1" thickBot="1" x14ac:dyDescent="0.25">
      <c r="A49" s="31" t="s">
        <v>28</v>
      </c>
      <c r="B49" s="662" t="s">
        <v>228</v>
      </c>
      <c r="C49" s="347">
        <f>SUM(C50:C54)</f>
        <v>30332500</v>
      </c>
    </row>
    <row r="50" spans="1:3" s="57" customFormat="1" ht="12" customHeight="1" x14ac:dyDescent="0.2">
      <c r="A50" s="236" t="s">
        <v>95</v>
      </c>
      <c r="B50" s="222" t="s">
        <v>232</v>
      </c>
      <c r="C50" s="260"/>
    </row>
    <row r="51" spans="1:3" s="57" customFormat="1" ht="12" customHeight="1" x14ac:dyDescent="0.2">
      <c r="A51" s="237" t="s">
        <v>96</v>
      </c>
      <c r="B51" s="223" t="s">
        <v>233</v>
      </c>
      <c r="C51" s="296">
        <v>30332500</v>
      </c>
    </row>
    <row r="52" spans="1:3" s="57" customFormat="1" ht="12" customHeight="1" x14ac:dyDescent="0.2">
      <c r="A52" s="237" t="s">
        <v>229</v>
      </c>
      <c r="B52" s="223" t="s">
        <v>234</v>
      </c>
      <c r="C52" s="141"/>
    </row>
    <row r="53" spans="1:3" s="57" customFormat="1" ht="12" customHeight="1" x14ac:dyDescent="0.2">
      <c r="A53" s="237" t="s">
        <v>230</v>
      </c>
      <c r="B53" s="223" t="s">
        <v>235</v>
      </c>
      <c r="C53" s="141"/>
    </row>
    <row r="54" spans="1:3" s="57" customFormat="1" ht="12" customHeight="1" thickBot="1" x14ac:dyDescent="0.25">
      <c r="A54" s="238" t="s">
        <v>231</v>
      </c>
      <c r="B54" s="224" t="s">
        <v>236</v>
      </c>
      <c r="C54" s="211"/>
    </row>
    <row r="55" spans="1:3" s="57" customFormat="1" ht="12" customHeight="1" thickBot="1" x14ac:dyDescent="0.25">
      <c r="A55" s="31" t="s">
        <v>145</v>
      </c>
      <c r="B55" s="20" t="s">
        <v>237</v>
      </c>
      <c r="C55" s="137">
        <f>SUM(C56:C58)</f>
        <v>2900000</v>
      </c>
    </row>
    <row r="56" spans="1:3" s="57" customFormat="1" ht="12" customHeight="1" x14ac:dyDescent="0.2">
      <c r="A56" s="236" t="s">
        <v>97</v>
      </c>
      <c r="B56" s="222" t="s">
        <v>238</v>
      </c>
      <c r="C56" s="139"/>
    </row>
    <row r="57" spans="1:3" s="57" customFormat="1" ht="12" customHeight="1" x14ac:dyDescent="0.2">
      <c r="A57" s="237" t="s">
        <v>98</v>
      </c>
      <c r="B57" s="223" t="s">
        <v>369</v>
      </c>
      <c r="C57" s="141"/>
    </row>
    <row r="58" spans="1:3" s="57" customFormat="1" ht="12" customHeight="1" x14ac:dyDescent="0.2">
      <c r="A58" s="237" t="s">
        <v>241</v>
      </c>
      <c r="B58" s="223" t="s">
        <v>239</v>
      </c>
      <c r="C58" s="296">
        <v>2900000</v>
      </c>
    </row>
    <row r="59" spans="1:3" s="57" customFormat="1" ht="12" customHeight="1" thickBot="1" x14ac:dyDescent="0.25">
      <c r="A59" s="238" t="s">
        <v>242</v>
      </c>
      <c r="B59" s="224" t="s">
        <v>240</v>
      </c>
      <c r="C59" s="140"/>
    </row>
    <row r="60" spans="1:3" s="57" customFormat="1" ht="12" customHeight="1" thickBot="1" x14ac:dyDescent="0.25">
      <c r="A60" s="31" t="s">
        <v>30</v>
      </c>
      <c r="B60" s="132" t="s">
        <v>243</v>
      </c>
      <c r="C60" s="137">
        <f>SUM(C61:C63)</f>
        <v>0</v>
      </c>
    </row>
    <row r="61" spans="1:3" s="57" customFormat="1" ht="12" customHeight="1" x14ac:dyDescent="0.2">
      <c r="A61" s="236" t="s">
        <v>146</v>
      </c>
      <c r="B61" s="222" t="s">
        <v>245</v>
      </c>
      <c r="C61" s="141"/>
    </row>
    <row r="62" spans="1:3" s="57" customFormat="1" ht="12" customHeight="1" x14ac:dyDescent="0.2">
      <c r="A62" s="237" t="s">
        <v>147</v>
      </c>
      <c r="B62" s="223" t="s">
        <v>370</v>
      </c>
      <c r="C62" s="141"/>
    </row>
    <row r="63" spans="1:3" s="57" customFormat="1" ht="12" customHeight="1" x14ac:dyDescent="0.2">
      <c r="A63" s="237" t="s">
        <v>169</v>
      </c>
      <c r="B63" s="223" t="s">
        <v>246</v>
      </c>
      <c r="C63" s="141"/>
    </row>
    <row r="64" spans="1:3" s="57" customFormat="1" ht="12" customHeight="1" thickBot="1" x14ac:dyDescent="0.25">
      <c r="A64" s="238" t="s">
        <v>244</v>
      </c>
      <c r="B64" s="224" t="s">
        <v>247</v>
      </c>
      <c r="C64" s="141"/>
    </row>
    <row r="65" spans="1:3" s="57" customFormat="1" ht="12" customHeight="1" thickBot="1" x14ac:dyDescent="0.25">
      <c r="A65" s="31" t="s">
        <v>31</v>
      </c>
      <c r="B65" s="20" t="s">
        <v>248</v>
      </c>
      <c r="C65" s="142">
        <f>+C8+C15+C22+C29+C37+C49+C55+C60</f>
        <v>1749579488</v>
      </c>
    </row>
    <row r="66" spans="1:3" s="57" customFormat="1" ht="12" customHeight="1" thickBot="1" x14ac:dyDescent="0.2">
      <c r="A66" s="239" t="s">
        <v>338</v>
      </c>
      <c r="B66" s="132" t="s">
        <v>250</v>
      </c>
      <c r="C66" s="137">
        <f>SUM(C67:C69)</f>
        <v>193478462</v>
      </c>
    </row>
    <row r="67" spans="1:3" s="57" customFormat="1" ht="12" customHeight="1" x14ac:dyDescent="0.2">
      <c r="A67" s="236" t="s">
        <v>281</v>
      </c>
      <c r="B67" s="222" t="s">
        <v>251</v>
      </c>
      <c r="C67" s="296">
        <v>93478462</v>
      </c>
    </row>
    <row r="68" spans="1:3" s="57" customFormat="1" ht="12" customHeight="1" x14ac:dyDescent="0.2">
      <c r="A68" s="237" t="s">
        <v>290</v>
      </c>
      <c r="B68" s="223" t="s">
        <v>252</v>
      </c>
      <c r="C68" s="296">
        <v>100000000</v>
      </c>
    </row>
    <row r="69" spans="1:3" s="57" customFormat="1" ht="12" customHeight="1" thickBot="1" x14ac:dyDescent="0.25">
      <c r="A69" s="238" t="s">
        <v>291</v>
      </c>
      <c r="B69" s="225" t="s">
        <v>253</v>
      </c>
      <c r="C69" s="141"/>
    </row>
    <row r="70" spans="1:3" s="57" customFormat="1" ht="12" customHeight="1" thickBot="1" x14ac:dyDescent="0.2">
      <c r="A70" s="239" t="s">
        <v>254</v>
      </c>
      <c r="B70" s="132" t="s">
        <v>255</v>
      </c>
      <c r="C70" s="137">
        <f>SUM(C71:C74)</f>
        <v>0</v>
      </c>
    </row>
    <row r="71" spans="1:3" s="57" customFormat="1" ht="12" customHeight="1" x14ac:dyDescent="0.2">
      <c r="A71" s="236" t="s">
        <v>126</v>
      </c>
      <c r="B71" s="222" t="s">
        <v>256</v>
      </c>
      <c r="C71" s="141"/>
    </row>
    <row r="72" spans="1:3" s="57" customFormat="1" ht="12" customHeight="1" x14ac:dyDescent="0.2">
      <c r="A72" s="237" t="s">
        <v>127</v>
      </c>
      <c r="B72" s="223" t="s">
        <v>257</v>
      </c>
      <c r="C72" s="141"/>
    </row>
    <row r="73" spans="1:3" s="57" customFormat="1" ht="12" customHeight="1" x14ac:dyDescent="0.2">
      <c r="A73" s="237" t="s">
        <v>282</v>
      </c>
      <c r="B73" s="223" t="s">
        <v>258</v>
      </c>
      <c r="C73" s="141"/>
    </row>
    <row r="74" spans="1:3" s="57" customFormat="1" ht="12" customHeight="1" thickBot="1" x14ac:dyDescent="0.25">
      <c r="A74" s="238" t="s">
        <v>283</v>
      </c>
      <c r="B74" s="224" t="s">
        <v>259</v>
      </c>
      <c r="C74" s="141"/>
    </row>
    <row r="75" spans="1:3" s="57" customFormat="1" ht="12" customHeight="1" thickBot="1" x14ac:dyDescent="0.2">
      <c r="A75" s="239" t="s">
        <v>260</v>
      </c>
      <c r="B75" s="132" t="s">
        <v>261</v>
      </c>
      <c r="C75" s="137">
        <f>SUM(C76:C77)</f>
        <v>594503758</v>
      </c>
    </row>
    <row r="76" spans="1:3" s="57" customFormat="1" ht="12" customHeight="1" x14ac:dyDescent="0.2">
      <c r="A76" s="236" t="s">
        <v>284</v>
      </c>
      <c r="B76" s="222" t="s">
        <v>262</v>
      </c>
      <c r="C76" s="296">
        <f>569119704+25384054</f>
        <v>594503758</v>
      </c>
    </row>
    <row r="77" spans="1:3" s="57" customFormat="1" ht="12" customHeight="1" thickBot="1" x14ac:dyDescent="0.25">
      <c r="A77" s="238" t="s">
        <v>285</v>
      </c>
      <c r="B77" s="224" t="s">
        <v>263</v>
      </c>
      <c r="C77" s="141"/>
    </row>
    <row r="78" spans="1:3" s="56" customFormat="1" ht="12" customHeight="1" thickBot="1" x14ac:dyDescent="0.2">
      <c r="A78" s="239" t="s">
        <v>264</v>
      </c>
      <c r="B78" s="132" t="s">
        <v>265</v>
      </c>
      <c r="C78" s="137">
        <f>SUM(C79:C81)</f>
        <v>0</v>
      </c>
    </row>
    <row r="79" spans="1:3" s="57" customFormat="1" ht="12" customHeight="1" x14ac:dyDescent="0.2">
      <c r="A79" s="236" t="s">
        <v>286</v>
      </c>
      <c r="B79" s="222" t="s">
        <v>266</v>
      </c>
      <c r="C79" s="141"/>
    </row>
    <row r="80" spans="1:3" s="57" customFormat="1" ht="12" customHeight="1" x14ac:dyDescent="0.2">
      <c r="A80" s="237" t="s">
        <v>287</v>
      </c>
      <c r="B80" s="223" t="s">
        <v>267</v>
      </c>
      <c r="C80" s="141"/>
    </row>
    <row r="81" spans="1:6" s="57" customFormat="1" ht="12" customHeight="1" thickBot="1" x14ac:dyDescent="0.25">
      <c r="A81" s="238" t="s">
        <v>288</v>
      </c>
      <c r="B81" s="224" t="s">
        <v>268</v>
      </c>
      <c r="C81" s="141"/>
    </row>
    <row r="82" spans="1:6" s="57" customFormat="1" ht="12" customHeight="1" thickBot="1" x14ac:dyDescent="0.2">
      <c r="A82" s="239" t="s">
        <v>269</v>
      </c>
      <c r="B82" s="132" t="s">
        <v>289</v>
      </c>
      <c r="C82" s="137">
        <f>SUM(C83:C86)</f>
        <v>0</v>
      </c>
    </row>
    <row r="83" spans="1:6" s="57" customFormat="1" ht="12" customHeight="1" x14ac:dyDescent="0.2">
      <c r="A83" s="240" t="s">
        <v>270</v>
      </c>
      <c r="B83" s="222" t="s">
        <v>271</v>
      </c>
      <c r="C83" s="141"/>
    </row>
    <row r="84" spans="1:6" s="57" customFormat="1" ht="12" customHeight="1" x14ac:dyDescent="0.2">
      <c r="A84" s="241" t="s">
        <v>272</v>
      </c>
      <c r="B84" s="223" t="s">
        <v>273</v>
      </c>
      <c r="C84" s="141"/>
    </row>
    <row r="85" spans="1:6" s="57" customFormat="1" ht="12" customHeight="1" x14ac:dyDescent="0.2">
      <c r="A85" s="241" t="s">
        <v>274</v>
      </c>
      <c r="B85" s="223" t="s">
        <v>275</v>
      </c>
      <c r="C85" s="141"/>
    </row>
    <row r="86" spans="1:6" s="56" customFormat="1" ht="12" customHeight="1" thickBot="1" x14ac:dyDescent="0.25">
      <c r="A86" s="242" t="s">
        <v>276</v>
      </c>
      <c r="B86" s="224" t="s">
        <v>277</v>
      </c>
      <c r="C86" s="141"/>
    </row>
    <row r="87" spans="1:6" s="56" customFormat="1" ht="12" customHeight="1" thickBot="1" x14ac:dyDescent="0.2">
      <c r="A87" s="239" t="s">
        <v>278</v>
      </c>
      <c r="B87" s="132" t="s">
        <v>484</v>
      </c>
      <c r="C87" s="261"/>
    </row>
    <row r="88" spans="1:6" s="56" customFormat="1" ht="12" customHeight="1" thickBot="1" x14ac:dyDescent="0.2">
      <c r="A88" s="239" t="s">
        <v>537</v>
      </c>
      <c r="B88" s="132" t="s">
        <v>279</v>
      </c>
      <c r="C88" s="261"/>
    </row>
    <row r="89" spans="1:6" s="56" customFormat="1" ht="12" customHeight="1" thickBot="1" x14ac:dyDescent="0.2">
      <c r="A89" s="239" t="s">
        <v>538</v>
      </c>
      <c r="B89" s="229" t="s">
        <v>485</v>
      </c>
      <c r="C89" s="142">
        <f>+C66+C70+C75+C78+C82+C88+C87</f>
        <v>787982220</v>
      </c>
    </row>
    <row r="90" spans="1:6" s="56" customFormat="1" ht="12" customHeight="1" thickBot="1" x14ac:dyDescent="0.2">
      <c r="A90" s="243" t="s">
        <v>539</v>
      </c>
      <c r="B90" s="230" t="s">
        <v>540</v>
      </c>
      <c r="C90" s="142">
        <f>+C65+C89</f>
        <v>2537561708</v>
      </c>
      <c r="F90" s="48"/>
    </row>
    <row r="91" spans="1:6" s="57" customFormat="1" ht="15" customHeight="1" thickBot="1" x14ac:dyDescent="0.25">
      <c r="A91" s="112"/>
      <c r="B91" s="113"/>
      <c r="C91" s="195"/>
    </row>
    <row r="92" spans="1:6" s="47" customFormat="1" ht="16.5" customHeight="1" thickBot="1" x14ac:dyDescent="0.25">
      <c r="A92" s="116"/>
      <c r="B92" s="117" t="s">
        <v>62</v>
      </c>
      <c r="C92" s="197"/>
    </row>
    <row r="93" spans="1:6" s="58" customFormat="1" ht="12" customHeight="1" thickBot="1" x14ac:dyDescent="0.25">
      <c r="A93" s="214" t="s">
        <v>23</v>
      </c>
      <c r="B93" s="25" t="s">
        <v>551</v>
      </c>
      <c r="C93" s="136">
        <f>+C94+C95+C96+C97+C98+C111</f>
        <v>631788593</v>
      </c>
    </row>
    <row r="94" spans="1:6" ht="12" customHeight="1" x14ac:dyDescent="0.2">
      <c r="A94" s="244" t="s">
        <v>99</v>
      </c>
      <c r="B94" s="9" t="s">
        <v>54</v>
      </c>
      <c r="C94" s="785">
        <f>2854500+25097896+11111000+584100+20000+1182990+1095900-198000+58577+6274800+23800+237552+277000-198000+10136586+1407675+12000+972</f>
        <v>59979348</v>
      </c>
    </row>
    <row r="95" spans="1:6" ht="12" customHeight="1" x14ac:dyDescent="0.2">
      <c r="A95" s="237" t="s">
        <v>100</v>
      </c>
      <c r="B95" s="7" t="s">
        <v>148</v>
      </c>
      <c r="C95" s="786">
        <f>500965+4771305+2167000+14000+207615+213701-34749+11423+1380456+4650-237552+54015-34749+1949335+2331-972</f>
        <v>10968774</v>
      </c>
    </row>
    <row r="96" spans="1:6" ht="12" customHeight="1" x14ac:dyDescent="0.2">
      <c r="A96" s="237" t="s">
        <v>101</v>
      </c>
      <c r="B96" s="7" t="s">
        <v>124</v>
      </c>
      <c r="C96" s="787">
        <f>13447475+835000+50000+52909601+6787092+2456000+4504030+871220+34163000+50473064+3285067+9000000+443000+120000+17207888+17042731+48545760+500000+381000+178500-37621053+63500+8564000+45720-351000+1406000-2190001+1016000+282000</f>
        <v>234415594</v>
      </c>
    </row>
    <row r="97" spans="1:3" ht="12" customHeight="1" x14ac:dyDescent="0.2">
      <c r="A97" s="237" t="s">
        <v>102</v>
      </c>
      <c r="B97" s="10" t="s">
        <v>149</v>
      </c>
      <c r="C97" s="787">
        <f>69500000+3500000+69312000-2000000-1016000-282000</f>
        <v>139014000</v>
      </c>
    </row>
    <row r="98" spans="1:3" ht="12" customHeight="1" x14ac:dyDescent="0.2">
      <c r="A98" s="237" t="s">
        <v>113</v>
      </c>
      <c r="B98" s="18" t="s">
        <v>150</v>
      </c>
      <c r="C98" s="787">
        <f>5697126+16985629+16551218+32866801+100000+660000+49357310+3869819+4500000</f>
        <v>130587903</v>
      </c>
    </row>
    <row r="99" spans="1:3" ht="12" customHeight="1" x14ac:dyDescent="0.2">
      <c r="A99" s="237" t="s">
        <v>103</v>
      </c>
      <c r="B99" s="7" t="s">
        <v>541</v>
      </c>
      <c r="C99" s="300">
        <f>100000+3869819</f>
        <v>3969819</v>
      </c>
    </row>
    <row r="100" spans="1:3" ht="12" customHeight="1" x14ac:dyDescent="0.2">
      <c r="A100" s="237" t="s">
        <v>104</v>
      </c>
      <c r="B100" s="81" t="s">
        <v>489</v>
      </c>
      <c r="C100" s="300"/>
    </row>
    <row r="101" spans="1:3" ht="12" customHeight="1" x14ac:dyDescent="0.2">
      <c r="A101" s="237" t="s">
        <v>114</v>
      </c>
      <c r="B101" s="81" t="s">
        <v>490</v>
      </c>
      <c r="C101" s="300"/>
    </row>
    <row r="102" spans="1:3" ht="12" customHeight="1" x14ac:dyDescent="0.2">
      <c r="A102" s="237" t="s">
        <v>115</v>
      </c>
      <c r="B102" s="81" t="s">
        <v>295</v>
      </c>
      <c r="C102" s="300"/>
    </row>
    <row r="103" spans="1:3" ht="12" customHeight="1" x14ac:dyDescent="0.2">
      <c r="A103" s="237" t="s">
        <v>116</v>
      </c>
      <c r="B103" s="82" t="s">
        <v>296</v>
      </c>
      <c r="C103" s="300"/>
    </row>
    <row r="104" spans="1:3" ht="12" customHeight="1" x14ac:dyDescent="0.2">
      <c r="A104" s="237" t="s">
        <v>117</v>
      </c>
      <c r="B104" s="82" t="s">
        <v>297</v>
      </c>
      <c r="C104" s="300"/>
    </row>
    <row r="105" spans="1:3" ht="12" customHeight="1" x14ac:dyDescent="0.2">
      <c r="A105" s="237" t="s">
        <v>119</v>
      </c>
      <c r="B105" s="81" t="s">
        <v>298</v>
      </c>
      <c r="C105" s="300">
        <f>660000</f>
        <v>660000</v>
      </c>
    </row>
    <row r="106" spans="1:3" ht="12" customHeight="1" x14ac:dyDescent="0.2">
      <c r="A106" s="237" t="s">
        <v>151</v>
      </c>
      <c r="B106" s="81" t="s">
        <v>299</v>
      </c>
      <c r="C106" s="300"/>
    </row>
    <row r="107" spans="1:3" ht="12" customHeight="1" x14ac:dyDescent="0.2">
      <c r="A107" s="237" t="s">
        <v>293</v>
      </c>
      <c r="B107" s="82" t="s">
        <v>300</v>
      </c>
      <c r="C107" s="300"/>
    </row>
    <row r="108" spans="1:3" ht="12" customHeight="1" x14ac:dyDescent="0.2">
      <c r="A108" s="245" t="s">
        <v>294</v>
      </c>
      <c r="B108" s="83" t="s">
        <v>301</v>
      </c>
      <c r="C108" s="300"/>
    </row>
    <row r="109" spans="1:3" ht="12" customHeight="1" x14ac:dyDescent="0.2">
      <c r="A109" s="237" t="s">
        <v>491</v>
      </c>
      <c r="B109" s="83" t="s">
        <v>302</v>
      </c>
      <c r="C109" s="300"/>
    </row>
    <row r="110" spans="1:3" ht="12" customHeight="1" x14ac:dyDescent="0.2">
      <c r="A110" s="237" t="s">
        <v>492</v>
      </c>
      <c r="B110" s="82" t="s">
        <v>303</v>
      </c>
      <c r="C110" s="786">
        <f>5697126+16985629+16551218+32866801+660000+49357310-660000+4500000</f>
        <v>125958084</v>
      </c>
    </row>
    <row r="111" spans="1:3" ht="12" customHeight="1" x14ac:dyDescent="0.2">
      <c r="A111" s="237" t="s">
        <v>493</v>
      </c>
      <c r="B111" s="10" t="s">
        <v>55</v>
      </c>
      <c r="C111" s="141">
        <f>SUM(C112:C113)</f>
        <v>56822974</v>
      </c>
    </row>
    <row r="112" spans="1:3" ht="12" customHeight="1" x14ac:dyDescent="0.2">
      <c r="A112" s="238" t="s">
        <v>494</v>
      </c>
      <c r="B112" s="7" t="s">
        <v>542</v>
      </c>
      <c r="C112" s="787">
        <f>15000000-21705-8451320+266142+295985-5833975</f>
        <v>1255127</v>
      </c>
    </row>
    <row r="113" spans="1:6" ht="12" customHeight="1" thickBot="1" x14ac:dyDescent="0.25">
      <c r="A113" s="246" t="s">
        <v>496</v>
      </c>
      <c r="B113" s="84" t="s">
        <v>543</v>
      </c>
      <c r="C113" s="805">
        <f>65846522-6946019+750000-2582475-1500181</f>
        <v>55567847</v>
      </c>
    </row>
    <row r="114" spans="1:6" ht="12" customHeight="1" thickBot="1" x14ac:dyDescent="0.25">
      <c r="A114" s="31" t="s">
        <v>24</v>
      </c>
      <c r="B114" s="24" t="s">
        <v>304</v>
      </c>
      <c r="C114" s="137">
        <f>+C115+C117+C119</f>
        <v>648967689</v>
      </c>
    </row>
    <row r="115" spans="1:6" ht="12" customHeight="1" x14ac:dyDescent="0.2">
      <c r="A115" s="236" t="s">
        <v>105</v>
      </c>
      <c r="B115" s="7" t="s">
        <v>168</v>
      </c>
      <c r="C115" s="796">
        <f>359410+2345001+219008101+381000+1500000+3139585+33894811+2338070+4950460+275000+20930495+5189661+457200+6704583+752475-1212200+797560</f>
        <v>301811212</v>
      </c>
    </row>
    <row r="116" spans="1:6" ht="12" customHeight="1" x14ac:dyDescent="0.2">
      <c r="A116" s="236" t="s">
        <v>106</v>
      </c>
      <c r="B116" s="11" t="s">
        <v>308</v>
      </c>
      <c r="C116" s="325">
        <f>218246101+33259811+20930495+1187993+6704583</f>
        <v>280328983</v>
      </c>
    </row>
    <row r="117" spans="1:6" ht="12" customHeight="1" x14ac:dyDescent="0.2">
      <c r="A117" s="236" t="s">
        <v>107</v>
      </c>
      <c r="B117" s="11" t="s">
        <v>152</v>
      </c>
      <c r="C117" s="786">
        <f>180701362+1500000+37902555+48165993+9194292+3402201+479353</f>
        <v>281345756</v>
      </c>
    </row>
    <row r="118" spans="1:6" ht="12" customHeight="1" x14ac:dyDescent="0.2">
      <c r="A118" s="236" t="s">
        <v>108</v>
      </c>
      <c r="B118" s="11" t="s">
        <v>309</v>
      </c>
      <c r="C118" s="296">
        <f>146098020+36509260+48165993</f>
        <v>230773273</v>
      </c>
    </row>
    <row r="119" spans="1:6" ht="12" customHeight="1" x14ac:dyDescent="0.2">
      <c r="A119" s="236" t="s">
        <v>109</v>
      </c>
      <c r="B119" s="134" t="s">
        <v>170</v>
      </c>
      <c r="C119" s="300">
        <f>65710721+100000</f>
        <v>65810721</v>
      </c>
    </row>
    <row r="120" spans="1:6" ht="12" customHeight="1" x14ac:dyDescent="0.2">
      <c r="A120" s="236" t="s">
        <v>118</v>
      </c>
      <c r="B120" s="133" t="s">
        <v>371</v>
      </c>
      <c r="C120" s="296"/>
    </row>
    <row r="121" spans="1:6" ht="12" customHeight="1" x14ac:dyDescent="0.2">
      <c r="A121" s="236" t="s">
        <v>120</v>
      </c>
      <c r="B121" s="218" t="s">
        <v>314</v>
      </c>
      <c r="C121" s="296"/>
    </row>
    <row r="122" spans="1:6" ht="12" customHeight="1" x14ac:dyDescent="0.2">
      <c r="A122" s="236" t="s">
        <v>153</v>
      </c>
      <c r="B122" s="82" t="s">
        <v>297</v>
      </c>
      <c r="C122" s="296"/>
    </row>
    <row r="123" spans="1:6" ht="12" customHeight="1" x14ac:dyDescent="0.2">
      <c r="A123" s="236" t="s">
        <v>154</v>
      </c>
      <c r="B123" s="82" t="s">
        <v>313</v>
      </c>
      <c r="C123" s="296"/>
    </row>
    <row r="124" spans="1:6" ht="12" customHeight="1" x14ac:dyDescent="0.2">
      <c r="A124" s="236" t="s">
        <v>155</v>
      </c>
      <c r="B124" s="82" t="s">
        <v>312</v>
      </c>
      <c r="C124" s="296"/>
    </row>
    <row r="125" spans="1:6" ht="12" customHeight="1" x14ac:dyDescent="0.2">
      <c r="A125" s="236" t="s">
        <v>305</v>
      </c>
      <c r="B125" s="82" t="s">
        <v>300</v>
      </c>
      <c r="C125" s="296"/>
    </row>
    <row r="126" spans="1:6" ht="12" customHeight="1" x14ac:dyDescent="0.2">
      <c r="A126" s="236" t="s">
        <v>306</v>
      </c>
      <c r="B126" s="82" t="s">
        <v>311</v>
      </c>
      <c r="C126" s="296"/>
    </row>
    <row r="127" spans="1:6" ht="12" customHeight="1" thickBot="1" x14ac:dyDescent="0.25">
      <c r="A127" s="245" t="s">
        <v>307</v>
      </c>
      <c r="B127" s="82" t="s">
        <v>310</v>
      </c>
      <c r="C127" s="300">
        <f>65710721+100000</f>
        <v>65810721</v>
      </c>
    </row>
    <row r="128" spans="1:6" ht="12" customHeight="1" thickBot="1" x14ac:dyDescent="0.25">
      <c r="A128" s="31" t="s">
        <v>25</v>
      </c>
      <c r="B128" s="77" t="s">
        <v>498</v>
      </c>
      <c r="C128" s="137">
        <f>+C93+C114</f>
        <v>1280756282</v>
      </c>
      <c r="F128" s="304"/>
    </row>
    <row r="129" spans="1:11" ht="12" customHeight="1" thickBot="1" x14ac:dyDescent="0.25">
      <c r="A129" s="31" t="s">
        <v>26</v>
      </c>
      <c r="B129" s="77" t="s">
        <v>499</v>
      </c>
      <c r="C129" s="137">
        <f>+C130+C131+C132</f>
        <v>104042704</v>
      </c>
    </row>
    <row r="130" spans="1:11" s="58" customFormat="1" ht="12" customHeight="1" x14ac:dyDescent="0.2">
      <c r="A130" s="236" t="s">
        <v>205</v>
      </c>
      <c r="B130" s="8" t="s">
        <v>544</v>
      </c>
      <c r="C130" s="296">
        <v>4042704</v>
      </c>
    </row>
    <row r="131" spans="1:11" ht="12" customHeight="1" x14ac:dyDescent="0.2">
      <c r="A131" s="236" t="s">
        <v>208</v>
      </c>
      <c r="B131" s="8" t="s">
        <v>501</v>
      </c>
      <c r="C131" s="125">
        <v>100000000</v>
      </c>
    </row>
    <row r="132" spans="1:11" ht="12" customHeight="1" thickBot="1" x14ac:dyDescent="0.25">
      <c r="A132" s="245" t="s">
        <v>209</v>
      </c>
      <c r="B132" s="6" t="s">
        <v>545</v>
      </c>
      <c r="C132" s="125"/>
    </row>
    <row r="133" spans="1:11" ht="12" customHeight="1" thickBot="1" x14ac:dyDescent="0.25">
      <c r="A133" s="31" t="s">
        <v>27</v>
      </c>
      <c r="B133" s="77" t="s">
        <v>503</v>
      </c>
      <c r="C133" s="137">
        <f>+C134+C135+C136+C137+C138+C139</f>
        <v>0</v>
      </c>
    </row>
    <row r="134" spans="1:11" ht="12" customHeight="1" x14ac:dyDescent="0.2">
      <c r="A134" s="236" t="s">
        <v>92</v>
      </c>
      <c r="B134" s="8" t="s">
        <v>504</v>
      </c>
      <c r="C134" s="125"/>
    </row>
    <row r="135" spans="1:11" ht="12" customHeight="1" x14ac:dyDescent="0.2">
      <c r="A135" s="236" t="s">
        <v>93</v>
      </c>
      <c r="B135" s="8" t="s">
        <v>505</v>
      </c>
      <c r="C135" s="125"/>
    </row>
    <row r="136" spans="1:11" ht="12" customHeight="1" x14ac:dyDescent="0.2">
      <c r="A136" s="236" t="s">
        <v>94</v>
      </c>
      <c r="B136" s="8" t="s">
        <v>506</v>
      </c>
      <c r="C136" s="125"/>
    </row>
    <row r="137" spans="1:11" ht="12" customHeight="1" x14ac:dyDescent="0.2">
      <c r="A137" s="236" t="s">
        <v>140</v>
      </c>
      <c r="B137" s="8" t="s">
        <v>546</v>
      </c>
      <c r="C137" s="125"/>
    </row>
    <row r="138" spans="1:11" ht="12" customHeight="1" x14ac:dyDescent="0.2">
      <c r="A138" s="236" t="s">
        <v>141</v>
      </c>
      <c r="B138" s="8" t="s">
        <v>508</v>
      </c>
      <c r="C138" s="125"/>
    </row>
    <row r="139" spans="1:11" s="58" customFormat="1" ht="12" customHeight="1" thickBot="1" x14ac:dyDescent="0.25">
      <c r="A139" s="245" t="s">
        <v>142</v>
      </c>
      <c r="B139" s="6" t="s">
        <v>509</v>
      </c>
      <c r="C139" s="125"/>
    </row>
    <row r="140" spans="1:11" ht="12" customHeight="1" thickBot="1" x14ac:dyDescent="0.25">
      <c r="A140" s="31" t="s">
        <v>28</v>
      </c>
      <c r="B140" s="77" t="s">
        <v>547</v>
      </c>
      <c r="C140" s="142">
        <f>+C141+C142+C144+C145+C143</f>
        <v>38167591</v>
      </c>
      <c r="K140" s="124"/>
    </row>
    <row r="141" spans="1:11" x14ac:dyDescent="0.2">
      <c r="A141" s="236" t="s">
        <v>95</v>
      </c>
      <c r="B141" s="8" t="s">
        <v>315</v>
      </c>
      <c r="C141" s="125"/>
    </row>
    <row r="142" spans="1:11" ht="12" customHeight="1" x14ac:dyDescent="0.2">
      <c r="A142" s="236" t="s">
        <v>96</v>
      </c>
      <c r="B142" s="8" t="s">
        <v>316</v>
      </c>
      <c r="C142" s="125">
        <v>38167591</v>
      </c>
    </row>
    <row r="143" spans="1:11" s="58" customFormat="1" ht="12" customHeight="1" x14ac:dyDescent="0.2">
      <c r="A143" s="236" t="s">
        <v>229</v>
      </c>
      <c r="B143" s="8" t="s">
        <v>548</v>
      </c>
      <c r="C143" s="125"/>
    </row>
    <row r="144" spans="1:11" s="58" customFormat="1" ht="12" customHeight="1" x14ac:dyDescent="0.2">
      <c r="A144" s="236" t="s">
        <v>230</v>
      </c>
      <c r="B144" s="8" t="s">
        <v>511</v>
      </c>
      <c r="C144" s="125"/>
    </row>
    <row r="145" spans="1:6" s="58" customFormat="1" ht="12" customHeight="1" thickBot="1" x14ac:dyDescent="0.25">
      <c r="A145" s="245" t="s">
        <v>231</v>
      </c>
      <c r="B145" s="6" t="s">
        <v>334</v>
      </c>
      <c r="C145" s="125"/>
    </row>
    <row r="146" spans="1:6" s="58" customFormat="1" ht="12" customHeight="1" thickBot="1" x14ac:dyDescent="0.25">
      <c r="A146" s="31" t="s">
        <v>29</v>
      </c>
      <c r="B146" s="77" t="s">
        <v>512</v>
      </c>
      <c r="C146" s="145">
        <f>+C147+C148+C149+C150+C151</f>
        <v>0</v>
      </c>
    </row>
    <row r="147" spans="1:6" s="58" customFormat="1" ht="12" customHeight="1" x14ac:dyDescent="0.2">
      <c r="A147" s="236" t="s">
        <v>97</v>
      </c>
      <c r="B147" s="8" t="s">
        <v>513</v>
      </c>
      <c r="C147" s="125"/>
    </row>
    <row r="148" spans="1:6" s="58" customFormat="1" ht="12" customHeight="1" x14ac:dyDescent="0.2">
      <c r="A148" s="236" t="s">
        <v>98</v>
      </c>
      <c r="B148" s="8" t="s">
        <v>514</v>
      </c>
      <c r="C148" s="125"/>
    </row>
    <row r="149" spans="1:6" s="58" customFormat="1" ht="12" customHeight="1" x14ac:dyDescent="0.2">
      <c r="A149" s="236" t="s">
        <v>241</v>
      </c>
      <c r="B149" s="8" t="s">
        <v>515</v>
      </c>
      <c r="C149" s="125"/>
    </row>
    <row r="150" spans="1:6" ht="12.75" customHeight="1" x14ac:dyDescent="0.2">
      <c r="A150" s="236" t="s">
        <v>242</v>
      </c>
      <c r="B150" s="8" t="s">
        <v>549</v>
      </c>
      <c r="C150" s="125"/>
    </row>
    <row r="151" spans="1:6" ht="12.75" customHeight="1" thickBot="1" x14ac:dyDescent="0.25">
      <c r="A151" s="245" t="s">
        <v>517</v>
      </c>
      <c r="B151" s="6" t="s">
        <v>518</v>
      </c>
      <c r="C151" s="126"/>
    </row>
    <row r="152" spans="1:6" ht="12.75" customHeight="1" thickBot="1" x14ac:dyDescent="0.25">
      <c r="A152" s="291" t="s">
        <v>30</v>
      </c>
      <c r="B152" s="77" t="s">
        <v>519</v>
      </c>
      <c r="C152" s="145"/>
    </row>
    <row r="153" spans="1:6" ht="12" customHeight="1" thickBot="1" x14ac:dyDescent="0.25">
      <c r="A153" s="291" t="s">
        <v>31</v>
      </c>
      <c r="B153" s="77" t="s">
        <v>520</v>
      </c>
      <c r="C153" s="145"/>
    </row>
    <row r="154" spans="1:6" ht="15" customHeight="1" thickBot="1" x14ac:dyDescent="0.25">
      <c r="A154" s="31" t="s">
        <v>32</v>
      </c>
      <c r="B154" s="77" t="s">
        <v>521</v>
      </c>
      <c r="C154" s="232">
        <f>+C129+C133+C140+C146+C152+C153</f>
        <v>142210295</v>
      </c>
    </row>
    <row r="155" spans="1:6" ht="13.5" thickBot="1" x14ac:dyDescent="0.25">
      <c r="A155" s="247" t="s">
        <v>33</v>
      </c>
      <c r="B155" s="207" t="s">
        <v>522</v>
      </c>
      <c r="C155" s="232">
        <f>+C128+C154</f>
        <v>1422966577</v>
      </c>
      <c r="F155" s="36"/>
    </row>
    <row r="156" spans="1:6" ht="15" customHeight="1" thickBot="1" x14ac:dyDescent="0.25"/>
    <row r="157" spans="1:6" ht="14.25" customHeight="1" thickBot="1" x14ac:dyDescent="0.25">
      <c r="A157" s="121" t="s">
        <v>550</v>
      </c>
      <c r="B157" s="122"/>
      <c r="C157" s="76">
        <v>6</v>
      </c>
    </row>
    <row r="158" spans="1:6" ht="13.5" thickBot="1" x14ac:dyDescent="0.25">
      <c r="A158" s="121" t="s">
        <v>164</v>
      </c>
      <c r="B158" s="122"/>
      <c r="C158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17/2018.(VII.27.)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J3" sqref="J3"/>
    </sheetView>
  </sheetViews>
  <sheetFormatPr defaultRowHeight="12.75" x14ac:dyDescent="0.2"/>
  <cols>
    <col min="1" max="1" width="19.5" style="564" customWidth="1"/>
    <col min="2" max="2" width="72" style="565" customWidth="1"/>
    <col min="3" max="3" width="25" style="566" customWidth="1"/>
    <col min="4" max="16384" width="9.33203125" style="2"/>
  </cols>
  <sheetData>
    <row r="1" spans="1:3" s="1" customFormat="1" ht="16.5" customHeight="1" thickBot="1" x14ac:dyDescent="0.25">
      <c r="A1" s="98"/>
      <c r="B1" s="100"/>
      <c r="C1" s="123"/>
    </row>
    <row r="2" spans="1:3" s="54" customFormat="1" ht="21" customHeight="1" x14ac:dyDescent="0.2">
      <c r="A2" s="212" t="s">
        <v>67</v>
      </c>
      <c r="B2" s="186" t="s">
        <v>165</v>
      </c>
      <c r="C2" s="188" t="s">
        <v>58</v>
      </c>
    </row>
    <row r="3" spans="1:3" s="54" customFormat="1" ht="16.5" thickBot="1" x14ac:dyDescent="0.25">
      <c r="A3" s="101" t="s">
        <v>161</v>
      </c>
      <c r="B3" s="187" t="s">
        <v>373</v>
      </c>
      <c r="C3" s="290" t="s">
        <v>66</v>
      </c>
    </row>
    <row r="4" spans="1:3" s="55" customFormat="1" ht="15.95" customHeight="1" thickBot="1" x14ac:dyDescent="0.3">
      <c r="A4" s="102"/>
      <c r="B4" s="102"/>
      <c r="C4" s="103" t="s">
        <v>599</v>
      </c>
    </row>
    <row r="5" spans="1:3" ht="13.5" thickBot="1" x14ac:dyDescent="0.25">
      <c r="A5" s="213" t="s">
        <v>163</v>
      </c>
      <c r="B5" s="104" t="s">
        <v>59</v>
      </c>
      <c r="C5" s="189" t="s">
        <v>60</v>
      </c>
    </row>
    <row r="6" spans="1:3" s="47" customFormat="1" ht="12.95" customHeight="1" thickBot="1" x14ac:dyDescent="0.25">
      <c r="A6" s="90" t="s">
        <v>471</v>
      </c>
      <c r="B6" s="91" t="s">
        <v>472</v>
      </c>
      <c r="C6" s="92" t="s">
        <v>473</v>
      </c>
    </row>
    <row r="7" spans="1:3" s="47" customFormat="1" ht="15.95" customHeight="1" thickBot="1" x14ac:dyDescent="0.25">
      <c r="A7" s="106"/>
      <c r="B7" s="107" t="s">
        <v>61</v>
      </c>
      <c r="C7" s="190"/>
    </row>
    <row r="8" spans="1:3" s="47" customFormat="1" ht="12" customHeight="1" thickBot="1" x14ac:dyDescent="0.25">
      <c r="A8" s="31" t="s">
        <v>23</v>
      </c>
      <c r="B8" s="20" t="s">
        <v>189</v>
      </c>
      <c r="C8" s="137">
        <f>+C9+C10+C11+C12+C13+C14</f>
        <v>196543899</v>
      </c>
    </row>
    <row r="9" spans="1:3" s="56" customFormat="1" ht="12" customHeight="1" x14ac:dyDescent="0.2">
      <c r="A9" s="236" t="s">
        <v>99</v>
      </c>
      <c r="B9" s="222" t="s">
        <v>190</v>
      </c>
      <c r="C9" s="321"/>
    </row>
    <row r="10" spans="1:3" s="57" customFormat="1" ht="12" customHeight="1" x14ac:dyDescent="0.2">
      <c r="A10" s="237" t="s">
        <v>100</v>
      </c>
      <c r="B10" s="223" t="s">
        <v>191</v>
      </c>
      <c r="C10" s="125"/>
    </row>
    <row r="11" spans="1:3" s="57" customFormat="1" ht="12" customHeight="1" x14ac:dyDescent="0.2">
      <c r="A11" s="237" t="s">
        <v>101</v>
      </c>
      <c r="B11" s="223" t="s">
        <v>192</v>
      </c>
      <c r="C11" s="786">
        <f>119410000+63796813</f>
        <v>183206813</v>
      </c>
    </row>
    <row r="12" spans="1:3" s="57" customFormat="1" ht="12" customHeight="1" x14ac:dyDescent="0.2">
      <c r="A12" s="237" t="s">
        <v>102</v>
      </c>
      <c r="B12" s="223" t="s">
        <v>193</v>
      </c>
      <c r="C12" s="125">
        <v>12622000</v>
      </c>
    </row>
    <row r="13" spans="1:3" s="57" customFormat="1" ht="12" customHeight="1" x14ac:dyDescent="0.2">
      <c r="A13" s="237" t="s">
        <v>125</v>
      </c>
      <c r="B13" s="223" t="s">
        <v>535</v>
      </c>
      <c r="C13" s="786">
        <f>63796813+715086-63796813</f>
        <v>715086</v>
      </c>
    </row>
    <row r="14" spans="1:3" s="56" customFormat="1" ht="12" customHeight="1" thickBot="1" x14ac:dyDescent="0.25">
      <c r="A14" s="238" t="s">
        <v>103</v>
      </c>
      <c r="B14" s="224" t="s">
        <v>475</v>
      </c>
      <c r="C14" s="125"/>
    </row>
    <row r="15" spans="1:3" s="56" customFormat="1" ht="12" customHeight="1" thickBot="1" x14ac:dyDescent="0.25">
      <c r="A15" s="31" t="s">
        <v>24</v>
      </c>
      <c r="B15" s="132" t="s">
        <v>194</v>
      </c>
      <c r="C15" s="137">
        <f>+C16+C17+C18+C19+C20</f>
        <v>131781038</v>
      </c>
    </row>
    <row r="16" spans="1:3" s="56" customFormat="1" ht="12" customHeight="1" x14ac:dyDescent="0.2">
      <c r="A16" s="236" t="s">
        <v>105</v>
      </c>
      <c r="B16" s="222" t="s">
        <v>195</v>
      </c>
      <c r="C16" s="139"/>
    </row>
    <row r="17" spans="1:3" s="56" customFormat="1" ht="12" customHeight="1" x14ac:dyDescent="0.2">
      <c r="A17" s="237" t="s">
        <v>106</v>
      </c>
      <c r="B17" s="223" t="s">
        <v>196</v>
      </c>
      <c r="C17" s="138"/>
    </row>
    <row r="18" spans="1:3" s="56" customFormat="1" ht="12" customHeight="1" x14ac:dyDescent="0.2">
      <c r="A18" s="237" t="s">
        <v>107</v>
      </c>
      <c r="B18" s="223" t="s">
        <v>365</v>
      </c>
      <c r="C18" s="141"/>
    </row>
    <row r="19" spans="1:3" s="56" customFormat="1" ht="12" customHeight="1" x14ac:dyDescent="0.2">
      <c r="A19" s="237" t="s">
        <v>108</v>
      </c>
      <c r="B19" s="223" t="s">
        <v>366</v>
      </c>
      <c r="C19" s="141"/>
    </row>
    <row r="20" spans="1:3" s="56" customFormat="1" ht="12" customHeight="1" x14ac:dyDescent="0.2">
      <c r="A20" s="237" t="s">
        <v>109</v>
      </c>
      <c r="B20" s="223" t="s">
        <v>197</v>
      </c>
      <c r="C20" s="786">
        <f>3900000+125887110+1978928+15000</f>
        <v>131781038</v>
      </c>
    </row>
    <row r="21" spans="1:3" s="57" customFormat="1" ht="12" customHeight="1" thickBot="1" x14ac:dyDescent="0.25">
      <c r="A21" s="238" t="s">
        <v>118</v>
      </c>
      <c r="B21" s="224" t="s">
        <v>198</v>
      </c>
      <c r="C21" s="140"/>
    </row>
    <row r="22" spans="1:3" s="57" customFormat="1" ht="12" customHeight="1" thickBot="1" x14ac:dyDescent="0.25">
      <c r="A22" s="31" t="s">
        <v>25</v>
      </c>
      <c r="B22" s="20" t="s">
        <v>199</v>
      </c>
      <c r="C22" s="137">
        <f>+C23+C24+C25+C26+C27</f>
        <v>0</v>
      </c>
    </row>
    <row r="23" spans="1:3" s="57" customFormat="1" ht="12" customHeight="1" x14ac:dyDescent="0.2">
      <c r="A23" s="236" t="s">
        <v>88</v>
      </c>
      <c r="B23" s="222" t="s">
        <v>200</v>
      </c>
      <c r="C23" s="139"/>
    </row>
    <row r="24" spans="1:3" s="56" customFormat="1" ht="12" customHeight="1" x14ac:dyDescent="0.2">
      <c r="A24" s="237" t="s">
        <v>89</v>
      </c>
      <c r="B24" s="223" t="s">
        <v>201</v>
      </c>
      <c r="C24" s="138"/>
    </row>
    <row r="25" spans="1:3" s="57" customFormat="1" ht="12" customHeight="1" x14ac:dyDescent="0.2">
      <c r="A25" s="237" t="s">
        <v>90</v>
      </c>
      <c r="B25" s="223" t="s">
        <v>367</v>
      </c>
      <c r="C25" s="138"/>
    </row>
    <row r="26" spans="1:3" s="57" customFormat="1" ht="12" customHeight="1" x14ac:dyDescent="0.2">
      <c r="A26" s="237" t="s">
        <v>91</v>
      </c>
      <c r="B26" s="223" t="s">
        <v>368</v>
      </c>
      <c r="C26" s="138"/>
    </row>
    <row r="27" spans="1:3" s="57" customFormat="1" ht="12" customHeight="1" x14ac:dyDescent="0.2">
      <c r="A27" s="237" t="s">
        <v>136</v>
      </c>
      <c r="B27" s="223" t="s">
        <v>202</v>
      </c>
      <c r="C27" s="141"/>
    </row>
    <row r="28" spans="1:3" s="57" customFormat="1" ht="12" customHeight="1" thickBot="1" x14ac:dyDescent="0.25">
      <c r="A28" s="238" t="s">
        <v>137</v>
      </c>
      <c r="B28" s="224" t="s">
        <v>203</v>
      </c>
      <c r="C28" s="211"/>
    </row>
    <row r="29" spans="1:3" s="57" customFormat="1" ht="12" customHeight="1" thickBot="1" x14ac:dyDescent="0.25">
      <c r="A29" s="31" t="s">
        <v>138</v>
      </c>
      <c r="B29" s="20" t="s">
        <v>204</v>
      </c>
      <c r="C29" s="137">
        <f>+C30+C34+C35+C36</f>
        <v>0</v>
      </c>
    </row>
    <row r="30" spans="1:3" s="57" customFormat="1" ht="12" customHeight="1" x14ac:dyDescent="0.2">
      <c r="A30" s="236" t="s">
        <v>205</v>
      </c>
      <c r="B30" s="222" t="s">
        <v>536</v>
      </c>
      <c r="C30" s="217">
        <f>+C31+C32+C33</f>
        <v>0</v>
      </c>
    </row>
    <row r="31" spans="1:3" s="57" customFormat="1" ht="12" customHeight="1" x14ac:dyDescent="0.2">
      <c r="A31" s="237" t="s">
        <v>206</v>
      </c>
      <c r="B31" s="223" t="s">
        <v>211</v>
      </c>
      <c r="C31" s="138"/>
    </row>
    <row r="32" spans="1:3" s="57" customFormat="1" ht="12" customHeight="1" x14ac:dyDescent="0.2">
      <c r="A32" s="237" t="s">
        <v>207</v>
      </c>
      <c r="B32" s="223" t="s">
        <v>212</v>
      </c>
      <c r="C32" s="138"/>
    </row>
    <row r="33" spans="1:3" s="57" customFormat="1" ht="12" customHeight="1" x14ac:dyDescent="0.2">
      <c r="A33" s="237" t="s">
        <v>477</v>
      </c>
      <c r="B33" s="278" t="s">
        <v>478</v>
      </c>
      <c r="C33" s="138"/>
    </row>
    <row r="34" spans="1:3" s="57" customFormat="1" ht="12" customHeight="1" x14ac:dyDescent="0.2">
      <c r="A34" s="237" t="s">
        <v>208</v>
      </c>
      <c r="B34" s="223" t="s">
        <v>213</v>
      </c>
      <c r="C34" s="138"/>
    </row>
    <row r="35" spans="1:3" s="57" customFormat="1" ht="12" customHeight="1" x14ac:dyDescent="0.2">
      <c r="A35" s="237" t="s">
        <v>209</v>
      </c>
      <c r="B35" s="223" t="s">
        <v>214</v>
      </c>
      <c r="C35" s="138"/>
    </row>
    <row r="36" spans="1:3" s="57" customFormat="1" ht="12" customHeight="1" thickBot="1" x14ac:dyDescent="0.25">
      <c r="A36" s="238" t="s">
        <v>210</v>
      </c>
      <c r="B36" s="224" t="s">
        <v>215</v>
      </c>
      <c r="C36" s="140"/>
    </row>
    <row r="37" spans="1:3" s="57" customFormat="1" ht="12" customHeight="1" thickBot="1" x14ac:dyDescent="0.25">
      <c r="A37" s="31" t="s">
        <v>27</v>
      </c>
      <c r="B37" s="20" t="s">
        <v>479</v>
      </c>
      <c r="C37" s="137">
        <f>SUM(C38:C48)</f>
        <v>15582000</v>
      </c>
    </row>
    <row r="38" spans="1:3" s="57" customFormat="1" ht="12" customHeight="1" x14ac:dyDescent="0.2">
      <c r="A38" s="236" t="s">
        <v>92</v>
      </c>
      <c r="B38" s="222" t="s">
        <v>218</v>
      </c>
      <c r="C38" s="321">
        <v>12159000</v>
      </c>
    </row>
    <row r="39" spans="1:3" s="57" customFormat="1" ht="12" customHeight="1" x14ac:dyDescent="0.2">
      <c r="A39" s="237" t="s">
        <v>93</v>
      </c>
      <c r="B39" s="223" t="s">
        <v>219</v>
      </c>
      <c r="C39" s="296">
        <v>62992</v>
      </c>
    </row>
    <row r="40" spans="1:3" s="57" customFormat="1" ht="12" customHeight="1" x14ac:dyDescent="0.2">
      <c r="A40" s="237" t="s">
        <v>94</v>
      </c>
      <c r="B40" s="223" t="s">
        <v>220</v>
      </c>
      <c r="C40" s="296"/>
    </row>
    <row r="41" spans="1:3" s="57" customFormat="1" ht="12" customHeight="1" x14ac:dyDescent="0.2">
      <c r="A41" s="237" t="s">
        <v>140</v>
      </c>
      <c r="B41" s="223" t="s">
        <v>221</v>
      </c>
      <c r="C41" s="296"/>
    </row>
    <row r="42" spans="1:3" s="57" customFormat="1" ht="12" customHeight="1" x14ac:dyDescent="0.2">
      <c r="A42" s="237" t="s">
        <v>141</v>
      </c>
      <c r="B42" s="223" t="s">
        <v>222</v>
      </c>
      <c r="C42" s="296"/>
    </row>
    <row r="43" spans="1:3" s="57" customFormat="1" ht="12" customHeight="1" x14ac:dyDescent="0.2">
      <c r="A43" s="237" t="s">
        <v>142</v>
      </c>
      <c r="B43" s="223" t="s">
        <v>223</v>
      </c>
      <c r="C43" s="296">
        <f>3283000+17008</f>
        <v>3300008</v>
      </c>
    </row>
    <row r="44" spans="1:3" s="57" customFormat="1" ht="12" customHeight="1" x14ac:dyDescent="0.2">
      <c r="A44" s="237" t="s">
        <v>143</v>
      </c>
      <c r="B44" s="223" t="s">
        <v>224</v>
      </c>
      <c r="C44" s="125"/>
    </row>
    <row r="45" spans="1:3" s="57" customFormat="1" ht="12" customHeight="1" x14ac:dyDescent="0.2">
      <c r="A45" s="237" t="s">
        <v>144</v>
      </c>
      <c r="B45" s="223" t="s">
        <v>225</v>
      </c>
      <c r="C45" s="125"/>
    </row>
    <row r="46" spans="1:3" s="57" customFormat="1" ht="12" customHeight="1" x14ac:dyDescent="0.2">
      <c r="A46" s="237" t="s">
        <v>216</v>
      </c>
      <c r="B46" s="223" t="s">
        <v>226</v>
      </c>
      <c r="C46" s="296"/>
    </row>
    <row r="47" spans="1:3" s="57" customFormat="1" ht="12" customHeight="1" x14ac:dyDescent="0.2">
      <c r="A47" s="238" t="s">
        <v>217</v>
      </c>
      <c r="B47" s="224" t="s">
        <v>480</v>
      </c>
      <c r="C47" s="300"/>
    </row>
    <row r="48" spans="1:3" s="57" customFormat="1" ht="12" customHeight="1" thickBot="1" x14ac:dyDescent="0.25">
      <c r="A48" s="238" t="s">
        <v>481</v>
      </c>
      <c r="B48" s="224" t="s">
        <v>227</v>
      </c>
      <c r="C48" s="300">
        <v>60000</v>
      </c>
    </row>
    <row r="49" spans="1:3" s="57" customFormat="1" ht="12" customHeight="1" thickBot="1" x14ac:dyDescent="0.25">
      <c r="A49" s="31" t="s">
        <v>28</v>
      </c>
      <c r="B49" s="20" t="s">
        <v>228</v>
      </c>
      <c r="C49" s="137">
        <f>SUM(C50:C54)</f>
        <v>0</v>
      </c>
    </row>
    <row r="50" spans="1:3" s="57" customFormat="1" ht="12" customHeight="1" x14ac:dyDescent="0.2">
      <c r="A50" s="236" t="s">
        <v>95</v>
      </c>
      <c r="B50" s="222" t="s">
        <v>232</v>
      </c>
      <c r="C50" s="139"/>
    </row>
    <row r="51" spans="1:3" s="57" customFormat="1" ht="12" customHeight="1" x14ac:dyDescent="0.2">
      <c r="A51" s="237" t="s">
        <v>96</v>
      </c>
      <c r="B51" s="223" t="s">
        <v>233</v>
      </c>
      <c r="C51" s="138"/>
    </row>
    <row r="52" spans="1:3" s="57" customFormat="1" ht="12" customHeight="1" x14ac:dyDescent="0.2">
      <c r="A52" s="237" t="s">
        <v>229</v>
      </c>
      <c r="B52" s="223" t="s">
        <v>234</v>
      </c>
      <c r="C52" s="138"/>
    </row>
    <row r="53" spans="1:3" s="57" customFormat="1" ht="12" customHeight="1" x14ac:dyDescent="0.2">
      <c r="A53" s="237" t="s">
        <v>230</v>
      </c>
      <c r="B53" s="223" t="s">
        <v>235</v>
      </c>
      <c r="C53" s="138"/>
    </row>
    <row r="54" spans="1:3" s="57" customFormat="1" ht="12" customHeight="1" thickBot="1" x14ac:dyDescent="0.25">
      <c r="A54" s="238" t="s">
        <v>231</v>
      </c>
      <c r="B54" s="224" t="s">
        <v>236</v>
      </c>
      <c r="C54" s="140"/>
    </row>
    <row r="55" spans="1:3" s="57" customFormat="1" ht="12" customHeight="1" thickBot="1" x14ac:dyDescent="0.25">
      <c r="A55" s="31" t="s">
        <v>145</v>
      </c>
      <c r="B55" s="20" t="s">
        <v>237</v>
      </c>
      <c r="C55" s="137">
        <f>SUM(C56:C58)</f>
        <v>1866000</v>
      </c>
    </row>
    <row r="56" spans="1:3" s="57" customFormat="1" ht="12" customHeight="1" x14ac:dyDescent="0.2">
      <c r="A56" s="236" t="s">
        <v>97</v>
      </c>
      <c r="B56" s="222" t="s">
        <v>238</v>
      </c>
      <c r="C56" s="139"/>
    </row>
    <row r="57" spans="1:3" s="57" customFormat="1" ht="12" customHeight="1" x14ac:dyDescent="0.2">
      <c r="A57" s="237" t="s">
        <v>98</v>
      </c>
      <c r="B57" s="223" t="s">
        <v>369</v>
      </c>
      <c r="C57" s="296">
        <f>300000+1566000</f>
        <v>1866000</v>
      </c>
    </row>
    <row r="58" spans="1:3" s="57" customFormat="1" ht="12" customHeight="1" x14ac:dyDescent="0.2">
      <c r="A58" s="237" t="s">
        <v>241</v>
      </c>
      <c r="B58" s="223" t="s">
        <v>239</v>
      </c>
      <c r="C58" s="138"/>
    </row>
    <row r="59" spans="1:3" s="57" customFormat="1" ht="12" customHeight="1" thickBot="1" x14ac:dyDescent="0.25">
      <c r="A59" s="238" t="s">
        <v>242</v>
      </c>
      <c r="B59" s="224" t="s">
        <v>240</v>
      </c>
      <c r="C59" s="140"/>
    </row>
    <row r="60" spans="1:3" s="57" customFormat="1" ht="12" customHeight="1" thickBot="1" x14ac:dyDescent="0.25">
      <c r="A60" s="31" t="s">
        <v>30</v>
      </c>
      <c r="B60" s="132" t="s">
        <v>243</v>
      </c>
      <c r="C60" s="137">
        <f>SUM(C61:C63)</f>
        <v>0</v>
      </c>
    </row>
    <row r="61" spans="1:3" s="57" customFormat="1" ht="12" customHeight="1" x14ac:dyDescent="0.2">
      <c r="A61" s="236" t="s">
        <v>146</v>
      </c>
      <c r="B61" s="222" t="s">
        <v>245</v>
      </c>
      <c r="C61" s="138"/>
    </row>
    <row r="62" spans="1:3" s="57" customFormat="1" ht="12" customHeight="1" x14ac:dyDescent="0.2">
      <c r="A62" s="237" t="s">
        <v>147</v>
      </c>
      <c r="B62" s="223" t="s">
        <v>370</v>
      </c>
      <c r="C62" s="138"/>
    </row>
    <row r="63" spans="1:3" s="57" customFormat="1" ht="12" customHeight="1" x14ac:dyDescent="0.2">
      <c r="A63" s="237" t="s">
        <v>169</v>
      </c>
      <c r="B63" s="223" t="s">
        <v>246</v>
      </c>
      <c r="C63" s="138"/>
    </row>
    <row r="64" spans="1:3" s="57" customFormat="1" ht="12" customHeight="1" thickBot="1" x14ac:dyDescent="0.25">
      <c r="A64" s="238" t="s">
        <v>244</v>
      </c>
      <c r="B64" s="224" t="s">
        <v>247</v>
      </c>
      <c r="C64" s="138"/>
    </row>
    <row r="65" spans="1:3" s="57" customFormat="1" ht="12" customHeight="1" thickBot="1" x14ac:dyDescent="0.25">
      <c r="A65" s="31" t="s">
        <v>31</v>
      </c>
      <c r="B65" s="20" t="s">
        <v>248</v>
      </c>
      <c r="C65" s="137">
        <f>+C8+C15+C22+C29+C37+C49+C55+C60</f>
        <v>345772937</v>
      </c>
    </row>
    <row r="66" spans="1:3" s="57" customFormat="1" ht="12" customHeight="1" thickBot="1" x14ac:dyDescent="0.2">
      <c r="A66" s="239" t="s">
        <v>338</v>
      </c>
      <c r="B66" s="132" t="s">
        <v>250</v>
      </c>
      <c r="C66" s="137">
        <f>SUM(C67:C69)</f>
        <v>0</v>
      </c>
    </row>
    <row r="67" spans="1:3" s="57" customFormat="1" ht="12" customHeight="1" x14ac:dyDescent="0.2">
      <c r="A67" s="236" t="s">
        <v>281</v>
      </c>
      <c r="B67" s="222" t="s">
        <v>251</v>
      </c>
      <c r="C67" s="138"/>
    </row>
    <row r="68" spans="1:3" s="57" customFormat="1" ht="12" customHeight="1" x14ac:dyDescent="0.2">
      <c r="A68" s="237" t="s">
        <v>290</v>
      </c>
      <c r="B68" s="223" t="s">
        <v>252</v>
      </c>
      <c r="C68" s="138"/>
    </row>
    <row r="69" spans="1:3" s="57" customFormat="1" ht="12" customHeight="1" thickBot="1" x14ac:dyDescent="0.25">
      <c r="A69" s="238" t="s">
        <v>291</v>
      </c>
      <c r="B69" s="225" t="s">
        <v>253</v>
      </c>
      <c r="C69" s="138"/>
    </row>
    <row r="70" spans="1:3" s="57" customFormat="1" ht="12" customHeight="1" thickBot="1" x14ac:dyDescent="0.2">
      <c r="A70" s="239" t="s">
        <v>254</v>
      </c>
      <c r="B70" s="132" t="s">
        <v>255</v>
      </c>
      <c r="C70" s="370">
        <f>SUM(C71:C74)</f>
        <v>0</v>
      </c>
    </row>
    <row r="71" spans="1:3" s="57" customFormat="1" ht="12" customHeight="1" x14ac:dyDescent="0.2">
      <c r="A71" s="236" t="s">
        <v>126</v>
      </c>
      <c r="B71" s="222" t="s">
        <v>256</v>
      </c>
      <c r="C71" s="138"/>
    </row>
    <row r="72" spans="1:3" s="57" customFormat="1" ht="12" customHeight="1" x14ac:dyDescent="0.2">
      <c r="A72" s="237" t="s">
        <v>127</v>
      </c>
      <c r="B72" s="223" t="s">
        <v>257</v>
      </c>
      <c r="C72" s="138"/>
    </row>
    <row r="73" spans="1:3" s="57" customFormat="1" ht="12" customHeight="1" x14ac:dyDescent="0.2">
      <c r="A73" s="237" t="s">
        <v>282</v>
      </c>
      <c r="B73" s="223" t="s">
        <v>258</v>
      </c>
      <c r="C73" s="138"/>
    </row>
    <row r="74" spans="1:3" s="57" customFormat="1" ht="12" customHeight="1" thickBot="1" x14ac:dyDescent="0.25">
      <c r="A74" s="238" t="s">
        <v>283</v>
      </c>
      <c r="B74" s="224" t="s">
        <v>259</v>
      </c>
      <c r="C74" s="138"/>
    </row>
    <row r="75" spans="1:3" s="57" customFormat="1" ht="12" customHeight="1" thickBot="1" x14ac:dyDescent="0.2">
      <c r="A75" s="239" t="s">
        <v>260</v>
      </c>
      <c r="B75" s="132" t="s">
        <v>261</v>
      </c>
      <c r="C75" s="370">
        <f>SUM(C76:C77)</f>
        <v>0</v>
      </c>
    </row>
    <row r="76" spans="1:3" s="57" customFormat="1" ht="12" customHeight="1" x14ac:dyDescent="0.2">
      <c r="A76" s="236" t="s">
        <v>284</v>
      </c>
      <c r="B76" s="222" t="s">
        <v>262</v>
      </c>
      <c r="C76" s="138"/>
    </row>
    <row r="77" spans="1:3" s="57" customFormat="1" ht="12" customHeight="1" thickBot="1" x14ac:dyDescent="0.25">
      <c r="A77" s="238" t="s">
        <v>285</v>
      </c>
      <c r="B77" s="224" t="s">
        <v>263</v>
      </c>
      <c r="C77" s="138"/>
    </row>
    <row r="78" spans="1:3" s="56" customFormat="1" ht="12" customHeight="1" thickBot="1" x14ac:dyDescent="0.2">
      <c r="A78" s="239" t="s">
        <v>264</v>
      </c>
      <c r="B78" s="132" t="s">
        <v>265</v>
      </c>
      <c r="C78" s="137">
        <f>SUM(C79:C81)</f>
        <v>0</v>
      </c>
    </row>
    <row r="79" spans="1:3" s="57" customFormat="1" ht="12" customHeight="1" x14ac:dyDescent="0.2">
      <c r="A79" s="236" t="s">
        <v>286</v>
      </c>
      <c r="B79" s="222" t="s">
        <v>266</v>
      </c>
      <c r="C79" s="138"/>
    </row>
    <row r="80" spans="1:3" s="57" customFormat="1" ht="12" customHeight="1" x14ac:dyDescent="0.2">
      <c r="A80" s="237" t="s">
        <v>287</v>
      </c>
      <c r="B80" s="223" t="s">
        <v>267</v>
      </c>
      <c r="C80" s="138"/>
    </row>
    <row r="81" spans="1:3" s="57" customFormat="1" ht="12" customHeight="1" thickBot="1" x14ac:dyDescent="0.25">
      <c r="A81" s="238" t="s">
        <v>288</v>
      </c>
      <c r="B81" s="224" t="s">
        <v>268</v>
      </c>
      <c r="C81" s="138"/>
    </row>
    <row r="82" spans="1:3" s="57" customFormat="1" ht="12" customHeight="1" thickBot="1" x14ac:dyDescent="0.2">
      <c r="A82" s="239" t="s">
        <v>269</v>
      </c>
      <c r="B82" s="132" t="s">
        <v>289</v>
      </c>
      <c r="C82" s="137">
        <f>SUM(C83:C86)</f>
        <v>0</v>
      </c>
    </row>
    <row r="83" spans="1:3" s="57" customFormat="1" ht="12" customHeight="1" x14ac:dyDescent="0.2">
      <c r="A83" s="240" t="s">
        <v>270</v>
      </c>
      <c r="B83" s="222" t="s">
        <v>271</v>
      </c>
      <c r="C83" s="138"/>
    </row>
    <row r="84" spans="1:3" s="57" customFormat="1" ht="12" customHeight="1" x14ac:dyDescent="0.2">
      <c r="A84" s="241" t="s">
        <v>272</v>
      </c>
      <c r="B84" s="223" t="s">
        <v>273</v>
      </c>
      <c r="C84" s="138"/>
    </row>
    <row r="85" spans="1:3" s="57" customFormat="1" ht="12" customHeight="1" x14ac:dyDescent="0.2">
      <c r="A85" s="241" t="s">
        <v>274</v>
      </c>
      <c r="B85" s="223" t="s">
        <v>275</v>
      </c>
      <c r="C85" s="138"/>
    </row>
    <row r="86" spans="1:3" s="56" customFormat="1" ht="12" customHeight="1" thickBot="1" x14ac:dyDescent="0.25">
      <c r="A86" s="242" t="s">
        <v>276</v>
      </c>
      <c r="B86" s="224" t="s">
        <v>277</v>
      </c>
      <c r="C86" s="138"/>
    </row>
    <row r="87" spans="1:3" s="56" customFormat="1" ht="12" customHeight="1" thickBot="1" x14ac:dyDescent="0.2">
      <c r="A87" s="239" t="s">
        <v>278</v>
      </c>
      <c r="B87" s="132" t="s">
        <v>484</v>
      </c>
      <c r="C87" s="261"/>
    </row>
    <row r="88" spans="1:3" s="56" customFormat="1" ht="12" customHeight="1" thickBot="1" x14ac:dyDescent="0.2">
      <c r="A88" s="239" t="s">
        <v>537</v>
      </c>
      <c r="B88" s="132" t="s">
        <v>279</v>
      </c>
      <c r="C88" s="261"/>
    </row>
    <row r="89" spans="1:3" s="56" customFormat="1" ht="12" customHeight="1" thickBot="1" x14ac:dyDescent="0.2">
      <c r="A89" s="239" t="s">
        <v>538</v>
      </c>
      <c r="B89" s="229" t="s">
        <v>485</v>
      </c>
      <c r="C89" s="137">
        <f>+C66+C70+C75+C78+C82+C88+C87</f>
        <v>0</v>
      </c>
    </row>
    <row r="90" spans="1:3" s="56" customFormat="1" ht="12" customHeight="1" thickBot="1" x14ac:dyDescent="0.2">
      <c r="A90" s="243" t="s">
        <v>539</v>
      </c>
      <c r="B90" s="230" t="s">
        <v>540</v>
      </c>
      <c r="C90" s="137">
        <f>+C65+C89</f>
        <v>345772937</v>
      </c>
    </row>
    <row r="91" spans="1:3" s="57" customFormat="1" ht="15" customHeight="1" thickBot="1" x14ac:dyDescent="0.25">
      <c r="A91" s="112"/>
      <c r="B91" s="113"/>
      <c r="C91" s="195"/>
    </row>
    <row r="92" spans="1:3" s="47" customFormat="1" ht="16.5" customHeight="1" thickBot="1" x14ac:dyDescent="0.25">
      <c r="A92" s="116"/>
      <c r="B92" s="117" t="s">
        <v>62</v>
      </c>
      <c r="C92" s="197"/>
    </row>
    <row r="93" spans="1:3" s="58" customFormat="1" ht="12" customHeight="1" thickBot="1" x14ac:dyDescent="0.25">
      <c r="A93" s="214" t="s">
        <v>23</v>
      </c>
      <c r="B93" s="25" t="s">
        <v>551</v>
      </c>
      <c r="C93" s="136">
        <f>+C94+C95+C96+C97+C98+C111</f>
        <v>84568940</v>
      </c>
    </row>
    <row r="94" spans="1:3" ht="12" customHeight="1" x14ac:dyDescent="0.2">
      <c r="A94" s="244" t="s">
        <v>99</v>
      </c>
      <c r="B94" s="9" t="s">
        <v>54</v>
      </c>
      <c r="C94" s="785">
        <f>75000+4401892+2491000+1656000+862563</f>
        <v>9486455</v>
      </c>
    </row>
    <row r="95" spans="1:3" ht="12" customHeight="1" x14ac:dyDescent="0.2">
      <c r="A95" s="237" t="s">
        <v>100</v>
      </c>
      <c r="B95" s="7" t="s">
        <v>148</v>
      </c>
      <c r="C95" s="786">
        <f>13275+17258+773000+1015000+281135+322928+168200</f>
        <v>2590796</v>
      </c>
    </row>
    <row r="96" spans="1:3" ht="12" customHeight="1" x14ac:dyDescent="0.2">
      <c r="A96" s="237" t="s">
        <v>101</v>
      </c>
      <c r="B96" s="7" t="s">
        <v>124</v>
      </c>
      <c r="C96" s="787">
        <f>16099000+3082677+397000+194467+34200000+156511+2681000+3300000+44100-8245+77000+64000-15200000</f>
        <v>45087510</v>
      </c>
    </row>
    <row r="97" spans="1:3" ht="12" customHeight="1" x14ac:dyDescent="0.2">
      <c r="A97" s="237" t="s">
        <v>102</v>
      </c>
      <c r="B97" s="10" t="s">
        <v>149</v>
      </c>
      <c r="C97" s="300"/>
    </row>
    <row r="98" spans="1:3" ht="12" customHeight="1" x14ac:dyDescent="0.2">
      <c r="A98" s="237" t="s">
        <v>113</v>
      </c>
      <c r="B98" s="18" t="s">
        <v>150</v>
      </c>
      <c r="C98" s="787">
        <f>5950000+16000000+4093000+1202179+159000</f>
        <v>27404179</v>
      </c>
    </row>
    <row r="99" spans="1:3" ht="12" customHeight="1" x14ac:dyDescent="0.2">
      <c r="A99" s="237" t="s">
        <v>103</v>
      </c>
      <c r="B99" s="7" t="s">
        <v>541</v>
      </c>
      <c r="C99" s="787">
        <v>1202179</v>
      </c>
    </row>
    <row r="100" spans="1:3" ht="12" customHeight="1" x14ac:dyDescent="0.2">
      <c r="A100" s="237" t="s">
        <v>104</v>
      </c>
      <c r="B100" s="81" t="s">
        <v>489</v>
      </c>
      <c r="C100" s="300"/>
    </row>
    <row r="101" spans="1:3" ht="12" customHeight="1" x14ac:dyDescent="0.2">
      <c r="A101" s="237" t="s">
        <v>114</v>
      </c>
      <c r="B101" s="81" t="s">
        <v>490</v>
      </c>
      <c r="C101" s="787">
        <v>159000</v>
      </c>
    </row>
    <row r="102" spans="1:3" ht="12" customHeight="1" x14ac:dyDescent="0.2">
      <c r="A102" s="237" t="s">
        <v>115</v>
      </c>
      <c r="B102" s="81" t="s">
        <v>295</v>
      </c>
      <c r="C102" s="300"/>
    </row>
    <row r="103" spans="1:3" ht="12" customHeight="1" x14ac:dyDescent="0.2">
      <c r="A103" s="237" t="s">
        <v>116</v>
      </c>
      <c r="B103" s="82" t="s">
        <v>296</v>
      </c>
      <c r="C103" s="300"/>
    </row>
    <row r="104" spans="1:3" ht="12" customHeight="1" x14ac:dyDescent="0.2">
      <c r="A104" s="237" t="s">
        <v>117</v>
      </c>
      <c r="B104" s="82" t="s">
        <v>297</v>
      </c>
      <c r="C104" s="300"/>
    </row>
    <row r="105" spans="1:3" ht="12" customHeight="1" x14ac:dyDescent="0.2">
      <c r="A105" s="237" t="s">
        <v>119</v>
      </c>
      <c r="B105" s="81" t="s">
        <v>298</v>
      </c>
      <c r="C105" s="300"/>
    </row>
    <row r="106" spans="1:3" ht="12" customHeight="1" x14ac:dyDescent="0.2">
      <c r="A106" s="237" t="s">
        <v>151</v>
      </c>
      <c r="B106" s="81" t="s">
        <v>299</v>
      </c>
      <c r="C106" s="300"/>
    </row>
    <row r="107" spans="1:3" ht="12" customHeight="1" x14ac:dyDescent="0.2">
      <c r="A107" s="237" t="s">
        <v>293</v>
      </c>
      <c r="B107" s="82" t="s">
        <v>300</v>
      </c>
      <c r="C107" s="300"/>
    </row>
    <row r="108" spans="1:3" ht="12" customHeight="1" x14ac:dyDescent="0.2">
      <c r="A108" s="245" t="s">
        <v>294</v>
      </c>
      <c r="B108" s="83" t="s">
        <v>301</v>
      </c>
      <c r="C108" s="300"/>
    </row>
    <row r="109" spans="1:3" ht="12" customHeight="1" x14ac:dyDescent="0.2">
      <c r="A109" s="237" t="s">
        <v>491</v>
      </c>
      <c r="B109" s="83" t="s">
        <v>302</v>
      </c>
      <c r="C109" s="300"/>
    </row>
    <row r="110" spans="1:3" ht="12" customHeight="1" x14ac:dyDescent="0.2">
      <c r="A110" s="237" t="s">
        <v>492</v>
      </c>
      <c r="B110" s="82" t="s">
        <v>303</v>
      </c>
      <c r="C110" s="296">
        <f>5950000+16000000+4093000</f>
        <v>26043000</v>
      </c>
    </row>
    <row r="111" spans="1:3" ht="12" customHeight="1" x14ac:dyDescent="0.2">
      <c r="A111" s="237" t="s">
        <v>493</v>
      </c>
      <c r="B111" s="10" t="s">
        <v>55</v>
      </c>
      <c r="C111" s="141"/>
    </row>
    <row r="112" spans="1:3" ht="12" customHeight="1" x14ac:dyDescent="0.2">
      <c r="A112" s="238" t="s">
        <v>494</v>
      </c>
      <c r="B112" s="7" t="s">
        <v>542</v>
      </c>
      <c r="C112" s="140"/>
    </row>
    <row r="113" spans="1:3" ht="12" customHeight="1" thickBot="1" x14ac:dyDescent="0.25">
      <c r="A113" s="246" t="s">
        <v>496</v>
      </c>
      <c r="B113" s="84" t="s">
        <v>543</v>
      </c>
      <c r="C113" s="144"/>
    </row>
    <row r="114" spans="1:3" ht="12" customHeight="1" thickBot="1" x14ac:dyDescent="0.25">
      <c r="A114" s="31" t="s">
        <v>24</v>
      </c>
      <c r="B114" s="24" t="s">
        <v>304</v>
      </c>
      <c r="C114" s="137">
        <f>+C115+C117+C119</f>
        <v>19996583</v>
      </c>
    </row>
    <row r="115" spans="1:3" ht="12" customHeight="1" x14ac:dyDescent="0.2">
      <c r="A115" s="236" t="s">
        <v>105</v>
      </c>
      <c r="B115" s="7" t="s">
        <v>168</v>
      </c>
      <c r="C115" s="796">
        <f>12873483+377190+3000+1422400+4969510-159000</f>
        <v>19486583</v>
      </c>
    </row>
    <row r="116" spans="1:3" ht="12" customHeight="1" x14ac:dyDescent="0.2">
      <c r="A116" s="236" t="s">
        <v>106</v>
      </c>
      <c r="B116" s="11" t="s">
        <v>308</v>
      </c>
      <c r="C116" s="325">
        <v>12873483</v>
      </c>
    </row>
    <row r="117" spans="1:3" ht="12" customHeight="1" x14ac:dyDescent="0.2">
      <c r="A117" s="236" t="s">
        <v>107</v>
      </c>
      <c r="B117" s="11" t="s">
        <v>152</v>
      </c>
      <c r="C117" s="141"/>
    </row>
    <row r="118" spans="1:3" ht="12" customHeight="1" x14ac:dyDescent="0.2">
      <c r="A118" s="236" t="s">
        <v>108</v>
      </c>
      <c r="B118" s="11" t="s">
        <v>309</v>
      </c>
      <c r="C118" s="296"/>
    </row>
    <row r="119" spans="1:3" ht="12" customHeight="1" x14ac:dyDescent="0.2">
      <c r="A119" s="236" t="s">
        <v>109</v>
      </c>
      <c r="B119" s="134" t="s">
        <v>170</v>
      </c>
      <c r="C119" s="296">
        <v>510000</v>
      </c>
    </row>
    <row r="120" spans="1:3" ht="12" customHeight="1" x14ac:dyDescent="0.2">
      <c r="A120" s="236" t="s">
        <v>118</v>
      </c>
      <c r="B120" s="133" t="s">
        <v>371</v>
      </c>
      <c r="C120" s="296"/>
    </row>
    <row r="121" spans="1:3" ht="12" customHeight="1" x14ac:dyDescent="0.2">
      <c r="A121" s="236" t="s">
        <v>120</v>
      </c>
      <c r="B121" s="218" t="s">
        <v>314</v>
      </c>
      <c r="C121" s="296"/>
    </row>
    <row r="122" spans="1:3" ht="12" customHeight="1" x14ac:dyDescent="0.2">
      <c r="A122" s="236" t="s">
        <v>153</v>
      </c>
      <c r="B122" s="82" t="s">
        <v>297</v>
      </c>
      <c r="C122" s="296"/>
    </row>
    <row r="123" spans="1:3" ht="12" customHeight="1" x14ac:dyDescent="0.2">
      <c r="A123" s="236" t="s">
        <v>154</v>
      </c>
      <c r="B123" s="82" t="s">
        <v>313</v>
      </c>
      <c r="C123" s="296"/>
    </row>
    <row r="124" spans="1:3" ht="12" customHeight="1" x14ac:dyDescent="0.2">
      <c r="A124" s="236" t="s">
        <v>155</v>
      </c>
      <c r="B124" s="82" t="s">
        <v>312</v>
      </c>
      <c r="C124" s="296"/>
    </row>
    <row r="125" spans="1:3" ht="12" customHeight="1" x14ac:dyDescent="0.2">
      <c r="A125" s="236" t="s">
        <v>305</v>
      </c>
      <c r="B125" s="82" t="s">
        <v>300</v>
      </c>
      <c r="C125" s="296"/>
    </row>
    <row r="126" spans="1:3" ht="12" customHeight="1" x14ac:dyDescent="0.2">
      <c r="A126" s="236" t="s">
        <v>306</v>
      </c>
      <c r="B126" s="82" t="s">
        <v>311</v>
      </c>
      <c r="C126" s="296"/>
    </row>
    <row r="127" spans="1:3" ht="12" customHeight="1" thickBot="1" x14ac:dyDescent="0.25">
      <c r="A127" s="245" t="s">
        <v>307</v>
      </c>
      <c r="B127" s="82" t="s">
        <v>310</v>
      </c>
      <c r="C127" s="300">
        <v>510000</v>
      </c>
    </row>
    <row r="128" spans="1:3" ht="12" customHeight="1" thickBot="1" x14ac:dyDescent="0.25">
      <c r="A128" s="31" t="s">
        <v>25</v>
      </c>
      <c r="B128" s="77" t="s">
        <v>498</v>
      </c>
      <c r="C128" s="137">
        <f>+C93+C114</f>
        <v>104565523</v>
      </c>
    </row>
    <row r="129" spans="1:11" ht="12" customHeight="1" thickBot="1" x14ac:dyDescent="0.25">
      <c r="A129" s="31" t="s">
        <v>26</v>
      </c>
      <c r="B129" s="77" t="s">
        <v>499</v>
      </c>
      <c r="C129" s="137">
        <f>+C130+C131+C132</f>
        <v>4444000</v>
      </c>
    </row>
    <row r="130" spans="1:11" s="58" customFormat="1" ht="12" customHeight="1" x14ac:dyDescent="0.2">
      <c r="A130" s="236" t="s">
        <v>205</v>
      </c>
      <c r="B130" s="8" t="s">
        <v>544</v>
      </c>
      <c r="C130" s="296">
        <v>4444000</v>
      </c>
    </row>
    <row r="131" spans="1:11" ht="12" customHeight="1" x14ac:dyDescent="0.2">
      <c r="A131" s="236" t="s">
        <v>208</v>
      </c>
      <c r="B131" s="8" t="s">
        <v>501</v>
      </c>
      <c r="C131" s="125"/>
    </row>
    <row r="132" spans="1:11" ht="12" customHeight="1" thickBot="1" x14ac:dyDescent="0.25">
      <c r="A132" s="245" t="s">
        <v>209</v>
      </c>
      <c r="B132" s="6" t="s">
        <v>545</v>
      </c>
      <c r="C132" s="125"/>
    </row>
    <row r="133" spans="1:11" ht="12" customHeight="1" thickBot="1" x14ac:dyDescent="0.25">
      <c r="A133" s="31" t="s">
        <v>27</v>
      </c>
      <c r="B133" s="77" t="s">
        <v>503</v>
      </c>
      <c r="C133" s="137">
        <f>+C134+C135+C136+C137+C138+C139</f>
        <v>0</v>
      </c>
    </row>
    <row r="134" spans="1:11" ht="12" customHeight="1" x14ac:dyDescent="0.2">
      <c r="A134" s="236" t="s">
        <v>92</v>
      </c>
      <c r="B134" s="8" t="s">
        <v>504</v>
      </c>
      <c r="C134" s="125"/>
    </row>
    <row r="135" spans="1:11" ht="12" customHeight="1" x14ac:dyDescent="0.2">
      <c r="A135" s="236" t="s">
        <v>93</v>
      </c>
      <c r="B135" s="8" t="s">
        <v>505</v>
      </c>
      <c r="C135" s="125"/>
    </row>
    <row r="136" spans="1:11" ht="12" customHeight="1" x14ac:dyDescent="0.2">
      <c r="A136" s="236" t="s">
        <v>94</v>
      </c>
      <c r="B136" s="8" t="s">
        <v>506</v>
      </c>
      <c r="C136" s="125"/>
    </row>
    <row r="137" spans="1:11" ht="12" customHeight="1" x14ac:dyDescent="0.2">
      <c r="A137" s="236" t="s">
        <v>140</v>
      </c>
      <c r="B137" s="8" t="s">
        <v>546</v>
      </c>
      <c r="C137" s="125"/>
    </row>
    <row r="138" spans="1:11" ht="12" customHeight="1" x14ac:dyDescent="0.2">
      <c r="A138" s="236" t="s">
        <v>141</v>
      </c>
      <c r="B138" s="8" t="s">
        <v>508</v>
      </c>
      <c r="C138" s="125"/>
    </row>
    <row r="139" spans="1:11" s="58" customFormat="1" ht="12" customHeight="1" thickBot="1" x14ac:dyDescent="0.25">
      <c r="A139" s="245" t="s">
        <v>142</v>
      </c>
      <c r="B139" s="6" t="s">
        <v>509</v>
      </c>
      <c r="C139" s="125"/>
    </row>
    <row r="140" spans="1:11" ht="12" customHeight="1" thickBot="1" x14ac:dyDescent="0.25">
      <c r="A140" s="31" t="s">
        <v>28</v>
      </c>
      <c r="B140" s="77" t="s">
        <v>547</v>
      </c>
      <c r="C140" s="142">
        <f>+C141+C142+C144+C145+C143</f>
        <v>0</v>
      </c>
      <c r="K140" s="124"/>
    </row>
    <row r="141" spans="1:11" x14ac:dyDescent="0.2">
      <c r="A141" s="236" t="s">
        <v>95</v>
      </c>
      <c r="B141" s="8" t="s">
        <v>315</v>
      </c>
      <c r="C141" s="125"/>
    </row>
    <row r="142" spans="1:11" ht="12" customHeight="1" x14ac:dyDescent="0.2">
      <c r="A142" s="236" t="s">
        <v>96</v>
      </c>
      <c r="B142" s="8" t="s">
        <v>316</v>
      </c>
      <c r="C142" s="125"/>
    </row>
    <row r="143" spans="1:11" s="58" customFormat="1" ht="12" customHeight="1" x14ac:dyDescent="0.2">
      <c r="A143" s="236" t="s">
        <v>229</v>
      </c>
      <c r="B143" s="8" t="s">
        <v>548</v>
      </c>
      <c r="C143" s="125"/>
    </row>
    <row r="144" spans="1:11" s="58" customFormat="1" ht="12" customHeight="1" x14ac:dyDescent="0.2">
      <c r="A144" s="236" t="s">
        <v>230</v>
      </c>
      <c r="B144" s="8" t="s">
        <v>511</v>
      </c>
      <c r="C144" s="125"/>
    </row>
    <row r="145" spans="1:3" s="58" customFormat="1" ht="12" customHeight="1" thickBot="1" x14ac:dyDescent="0.25">
      <c r="A145" s="245" t="s">
        <v>231</v>
      </c>
      <c r="B145" s="6" t="s">
        <v>334</v>
      </c>
      <c r="C145" s="125"/>
    </row>
    <row r="146" spans="1:3" s="58" customFormat="1" ht="12" customHeight="1" thickBot="1" x14ac:dyDescent="0.25">
      <c r="A146" s="31" t="s">
        <v>29</v>
      </c>
      <c r="B146" s="77" t="s">
        <v>512</v>
      </c>
      <c r="C146" s="145">
        <f>+C147+C148+C149+C150+C151</f>
        <v>0</v>
      </c>
    </row>
    <row r="147" spans="1:3" s="58" customFormat="1" ht="12" customHeight="1" x14ac:dyDescent="0.2">
      <c r="A147" s="236" t="s">
        <v>97</v>
      </c>
      <c r="B147" s="8" t="s">
        <v>513</v>
      </c>
      <c r="C147" s="125"/>
    </row>
    <row r="148" spans="1:3" s="58" customFormat="1" ht="12" customHeight="1" x14ac:dyDescent="0.2">
      <c r="A148" s="236" t="s">
        <v>98</v>
      </c>
      <c r="B148" s="8" t="s">
        <v>514</v>
      </c>
      <c r="C148" s="125"/>
    </row>
    <row r="149" spans="1:3" s="58" customFormat="1" ht="12" customHeight="1" x14ac:dyDescent="0.2">
      <c r="A149" s="236" t="s">
        <v>241</v>
      </c>
      <c r="B149" s="8" t="s">
        <v>515</v>
      </c>
      <c r="C149" s="125"/>
    </row>
    <row r="150" spans="1:3" ht="12.75" customHeight="1" x14ac:dyDescent="0.2">
      <c r="A150" s="236" t="s">
        <v>242</v>
      </c>
      <c r="B150" s="8" t="s">
        <v>549</v>
      </c>
      <c r="C150" s="125"/>
    </row>
    <row r="151" spans="1:3" ht="12.75" customHeight="1" thickBot="1" x14ac:dyDescent="0.25">
      <c r="A151" s="245" t="s">
        <v>517</v>
      </c>
      <c r="B151" s="6" t="s">
        <v>518</v>
      </c>
      <c r="C151" s="126"/>
    </row>
    <row r="152" spans="1:3" ht="12.75" customHeight="1" thickBot="1" x14ac:dyDescent="0.25">
      <c r="A152" s="291" t="s">
        <v>30</v>
      </c>
      <c r="B152" s="77" t="s">
        <v>519</v>
      </c>
      <c r="C152" s="145"/>
    </row>
    <row r="153" spans="1:3" ht="12" customHeight="1" thickBot="1" x14ac:dyDescent="0.25">
      <c r="A153" s="291" t="s">
        <v>31</v>
      </c>
      <c r="B153" s="77" t="s">
        <v>520</v>
      </c>
      <c r="C153" s="145"/>
    </row>
    <row r="154" spans="1:3" ht="15" customHeight="1" thickBot="1" x14ac:dyDescent="0.25">
      <c r="A154" s="31" t="s">
        <v>32</v>
      </c>
      <c r="B154" s="77" t="s">
        <v>521</v>
      </c>
      <c r="C154" s="232">
        <f>+C129+C133+C140+C146+C152+C153</f>
        <v>4444000</v>
      </c>
    </row>
    <row r="155" spans="1:3" ht="13.5" thickBot="1" x14ac:dyDescent="0.25">
      <c r="A155" s="247" t="s">
        <v>33</v>
      </c>
      <c r="B155" s="207" t="s">
        <v>522</v>
      </c>
      <c r="C155" s="232">
        <f>+C128+C154</f>
        <v>109009523</v>
      </c>
    </row>
    <row r="156" spans="1:3" ht="15" customHeight="1" thickBot="1" x14ac:dyDescent="0.25"/>
    <row r="157" spans="1:3" ht="14.25" customHeight="1" thickBot="1" x14ac:dyDescent="0.25">
      <c r="A157" s="121" t="s">
        <v>550</v>
      </c>
      <c r="B157" s="122"/>
      <c r="C157" s="76"/>
    </row>
    <row r="158" spans="1:3" ht="13.5" thickBot="1" x14ac:dyDescent="0.25">
      <c r="A158" s="121" t="s">
        <v>164</v>
      </c>
      <c r="B158" s="122"/>
      <c r="C158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17/2018.(VII.27.)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Layout" zoomScaleNormal="11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12.6640625" style="486" bestFit="1" customWidth="1"/>
    <col min="4" max="4" width="9.33203125" style="120" customWidth="1"/>
    <col min="5" max="5" width="10" style="567" hidden="1" customWidth="1"/>
    <col min="6" max="6" width="10.5" style="567" hidden="1" customWidth="1"/>
    <col min="7" max="16384" width="9.33203125" style="120"/>
  </cols>
  <sheetData>
    <row r="1" spans="1:6" s="99" customFormat="1" ht="21" customHeight="1" thickBot="1" x14ac:dyDescent="0.25">
      <c r="A1" s="98"/>
      <c r="B1" s="100"/>
      <c r="C1" s="254"/>
      <c r="E1" s="567"/>
      <c r="F1" s="567"/>
    </row>
    <row r="2" spans="1:6" s="255" customFormat="1" ht="36" customHeight="1" x14ac:dyDescent="0.2">
      <c r="A2" s="212" t="s">
        <v>162</v>
      </c>
      <c r="B2" s="186" t="s">
        <v>468</v>
      </c>
      <c r="C2" s="200" t="s">
        <v>65</v>
      </c>
      <c r="E2" s="568"/>
      <c r="F2" s="568"/>
    </row>
    <row r="3" spans="1:6" s="255" customFormat="1" ht="24.75" thickBot="1" x14ac:dyDescent="0.25">
      <c r="A3" s="248" t="s">
        <v>161</v>
      </c>
      <c r="B3" s="187" t="s">
        <v>342</v>
      </c>
      <c r="C3" s="201" t="s">
        <v>58</v>
      </c>
      <c r="E3" s="568"/>
      <c r="F3" s="568"/>
    </row>
    <row r="4" spans="1:6" s="256" customFormat="1" ht="15.95" customHeight="1" thickBot="1" x14ac:dyDescent="0.3">
      <c r="A4" s="102"/>
      <c r="B4" s="102"/>
      <c r="C4" s="103" t="s">
        <v>599</v>
      </c>
      <c r="E4" s="568"/>
      <c r="F4" s="568"/>
    </row>
    <row r="5" spans="1:6" ht="13.5" thickBot="1" x14ac:dyDescent="0.25">
      <c r="A5" s="213" t="s">
        <v>163</v>
      </c>
      <c r="B5" s="104" t="s">
        <v>59</v>
      </c>
      <c r="C5" s="105" t="s">
        <v>60</v>
      </c>
    </row>
    <row r="6" spans="1:6" s="257" customFormat="1" ht="12.95" customHeight="1" thickBot="1" x14ac:dyDescent="0.25">
      <c r="A6" s="90" t="s">
        <v>471</v>
      </c>
      <c r="B6" s="91" t="s">
        <v>472</v>
      </c>
      <c r="C6" s="92" t="s">
        <v>473</v>
      </c>
      <c r="E6" s="569"/>
      <c r="F6" s="569"/>
    </row>
    <row r="7" spans="1:6" s="257" customFormat="1" ht="15.95" customHeight="1" thickBot="1" x14ac:dyDescent="0.25">
      <c r="A7" s="106"/>
      <c r="B7" s="107" t="s">
        <v>61</v>
      </c>
      <c r="C7" s="108"/>
      <c r="E7" s="569"/>
      <c r="F7" s="569"/>
    </row>
    <row r="8" spans="1:6" s="202" customFormat="1" ht="12" customHeight="1" thickBot="1" x14ac:dyDescent="0.25">
      <c r="A8" s="90" t="s">
        <v>23</v>
      </c>
      <c r="B8" s="109" t="s">
        <v>553</v>
      </c>
      <c r="C8" s="151">
        <f>SUM(C9:C19)</f>
        <v>8986898</v>
      </c>
      <c r="E8" s="570" t="e">
        <f>#REF!+#REF!+'9.2.3. sz. mell.'!C8</f>
        <v>#REF!</v>
      </c>
      <c r="F8" s="570" t="e">
        <f t="shared" ref="F8:F42" si="0">C8-E8</f>
        <v>#REF!</v>
      </c>
    </row>
    <row r="9" spans="1:6" s="202" customFormat="1" ht="12" customHeight="1" x14ac:dyDescent="0.2">
      <c r="A9" s="249" t="s">
        <v>99</v>
      </c>
      <c r="B9" s="9" t="s">
        <v>218</v>
      </c>
      <c r="C9" s="191"/>
      <c r="E9" s="570" t="e">
        <f>#REF!+#REF!+'9.2.3. sz. mell.'!C9</f>
        <v>#REF!</v>
      </c>
      <c r="F9" s="570" t="e">
        <f t="shared" si="0"/>
        <v>#REF!</v>
      </c>
    </row>
    <row r="10" spans="1:6" s="202" customFormat="1" ht="12" customHeight="1" x14ac:dyDescent="0.2">
      <c r="A10" s="250" t="s">
        <v>100</v>
      </c>
      <c r="B10" s="7" t="s">
        <v>219</v>
      </c>
      <c r="C10" s="51">
        <v>6228440</v>
      </c>
      <c r="E10" s="570" t="e">
        <f>#REF!+#REF!+'9.2.3. sz. mell.'!C10</f>
        <v>#REF!</v>
      </c>
      <c r="F10" s="570" t="e">
        <f t="shared" si="0"/>
        <v>#REF!</v>
      </c>
    </row>
    <row r="11" spans="1:6" s="202" customFormat="1" ht="12" customHeight="1" x14ac:dyDescent="0.2">
      <c r="A11" s="250" t="s">
        <v>101</v>
      </c>
      <c r="B11" s="7" t="s">
        <v>220</v>
      </c>
      <c r="C11" s="51">
        <f>300000+52200</f>
        <v>352200</v>
      </c>
      <c r="E11" s="570" t="e">
        <f>#REF!+#REF!+'9.2.3. sz. mell.'!C11</f>
        <v>#REF!</v>
      </c>
      <c r="F11" s="570" t="e">
        <f t="shared" si="0"/>
        <v>#REF!</v>
      </c>
    </row>
    <row r="12" spans="1:6" s="202" customFormat="1" ht="12" customHeight="1" x14ac:dyDescent="0.2">
      <c r="A12" s="250" t="s">
        <v>102</v>
      </c>
      <c r="B12" s="7" t="s">
        <v>221</v>
      </c>
      <c r="C12" s="51"/>
      <c r="E12" s="570" t="e">
        <f>#REF!+#REF!+'9.2.3. sz. mell.'!C12</f>
        <v>#REF!</v>
      </c>
      <c r="F12" s="570" t="e">
        <f t="shared" si="0"/>
        <v>#REF!</v>
      </c>
    </row>
    <row r="13" spans="1:6" s="202" customFormat="1" ht="12" customHeight="1" x14ac:dyDescent="0.2">
      <c r="A13" s="250" t="s">
        <v>125</v>
      </c>
      <c r="B13" s="7" t="s">
        <v>222</v>
      </c>
      <c r="C13" s="51"/>
      <c r="E13" s="570" t="e">
        <f>#REF!+#REF!+'9.2.3. sz. mell.'!C13</f>
        <v>#REF!</v>
      </c>
      <c r="F13" s="570" t="e">
        <f t="shared" si="0"/>
        <v>#REF!</v>
      </c>
    </row>
    <row r="14" spans="1:6" s="202" customFormat="1" ht="12" customHeight="1" x14ac:dyDescent="0.2">
      <c r="A14" s="250" t="s">
        <v>103</v>
      </c>
      <c r="B14" s="7" t="s">
        <v>343</v>
      </c>
      <c r="C14" s="51">
        <f>1791000+14094</f>
        <v>1805094</v>
      </c>
      <c r="E14" s="570" t="e">
        <f>#REF!+#REF!+'9.2.3. sz. mell.'!C14</f>
        <v>#REF!</v>
      </c>
      <c r="F14" s="570" t="e">
        <f t="shared" si="0"/>
        <v>#REF!</v>
      </c>
    </row>
    <row r="15" spans="1:6" s="202" customFormat="1" ht="12" customHeight="1" x14ac:dyDescent="0.2">
      <c r="A15" s="250" t="s">
        <v>104</v>
      </c>
      <c r="B15" s="6" t="s">
        <v>344</v>
      </c>
      <c r="C15" s="51"/>
      <c r="E15" s="570" t="e">
        <f>#REF!+#REF!+'9.2.3. sz. mell.'!C15</f>
        <v>#REF!</v>
      </c>
      <c r="F15" s="570" t="e">
        <f t="shared" si="0"/>
        <v>#REF!</v>
      </c>
    </row>
    <row r="16" spans="1:6" s="202" customFormat="1" ht="12" customHeight="1" x14ac:dyDescent="0.2">
      <c r="A16" s="250" t="s">
        <v>114</v>
      </c>
      <c r="B16" s="7" t="s">
        <v>225</v>
      </c>
      <c r="C16" s="152"/>
      <c r="E16" s="570" t="e">
        <f>#REF!+#REF!+'9.2.3. sz. mell.'!C16</f>
        <v>#REF!</v>
      </c>
      <c r="F16" s="570" t="e">
        <f t="shared" si="0"/>
        <v>#REF!</v>
      </c>
    </row>
    <row r="17" spans="1:6" s="258" customFormat="1" ht="12" customHeight="1" x14ac:dyDescent="0.2">
      <c r="A17" s="250" t="s">
        <v>115</v>
      </c>
      <c r="B17" s="7" t="s">
        <v>226</v>
      </c>
      <c r="C17" s="51"/>
      <c r="E17" s="570" t="e">
        <f>#REF!+#REF!+'9.2.3. sz. mell.'!C17</f>
        <v>#REF!</v>
      </c>
      <c r="F17" s="570" t="e">
        <f t="shared" si="0"/>
        <v>#REF!</v>
      </c>
    </row>
    <row r="18" spans="1:6" s="258" customFormat="1" ht="12" customHeight="1" x14ac:dyDescent="0.2">
      <c r="A18" s="250" t="s">
        <v>116</v>
      </c>
      <c r="B18" s="7" t="s">
        <v>480</v>
      </c>
      <c r="C18" s="806"/>
      <c r="E18" s="570" t="e">
        <f>#REF!+#REF!+'9.2.3. sz. mell.'!C18</f>
        <v>#REF!</v>
      </c>
      <c r="F18" s="570" t="e">
        <f t="shared" si="0"/>
        <v>#REF!</v>
      </c>
    </row>
    <row r="19" spans="1:6" s="258" customFormat="1" ht="12" customHeight="1" thickBot="1" x14ac:dyDescent="0.25">
      <c r="A19" s="250" t="s">
        <v>117</v>
      </c>
      <c r="B19" s="6" t="s">
        <v>227</v>
      </c>
      <c r="C19" s="806">
        <f>100000+501164</f>
        <v>601164</v>
      </c>
      <c r="E19" s="570" t="e">
        <f>#REF!+#REF!+'9.2.3. sz. mell.'!C19</f>
        <v>#REF!</v>
      </c>
      <c r="F19" s="570" t="e">
        <f t="shared" si="0"/>
        <v>#REF!</v>
      </c>
    </row>
    <row r="20" spans="1:6" s="202" customFormat="1" ht="12" customHeight="1" thickBot="1" x14ac:dyDescent="0.25">
      <c r="A20" s="90" t="s">
        <v>24</v>
      </c>
      <c r="B20" s="109" t="s">
        <v>345</v>
      </c>
      <c r="C20" s="151">
        <f>SUM(C21:C23)</f>
        <v>4604230</v>
      </c>
      <c r="E20" s="570" t="e">
        <f>#REF!+#REF!+'9.2.3. sz. mell.'!C20</f>
        <v>#REF!</v>
      </c>
      <c r="F20" s="570" t="e">
        <f t="shared" si="0"/>
        <v>#REF!</v>
      </c>
    </row>
    <row r="21" spans="1:6" s="258" customFormat="1" ht="12" customHeight="1" x14ac:dyDescent="0.2">
      <c r="A21" s="250" t="s">
        <v>105</v>
      </c>
      <c r="B21" s="8" t="s">
        <v>195</v>
      </c>
      <c r="C21" s="149"/>
      <c r="E21" s="570" t="e">
        <f>#REF!+#REF!+'9.2.3. sz. mell.'!C21</f>
        <v>#REF!</v>
      </c>
      <c r="F21" s="570" t="e">
        <f t="shared" si="0"/>
        <v>#REF!</v>
      </c>
    </row>
    <row r="22" spans="1:6" s="258" customFormat="1" ht="12" customHeight="1" x14ac:dyDescent="0.2">
      <c r="A22" s="250" t="s">
        <v>106</v>
      </c>
      <c r="B22" s="7" t="s">
        <v>346</v>
      </c>
      <c r="C22" s="51"/>
      <c r="E22" s="570" t="e">
        <f>#REF!+#REF!+'9.2.3. sz. mell.'!C22</f>
        <v>#REF!</v>
      </c>
      <c r="F22" s="570" t="e">
        <f t="shared" si="0"/>
        <v>#REF!</v>
      </c>
    </row>
    <row r="23" spans="1:6" s="258" customFormat="1" ht="12" customHeight="1" x14ac:dyDescent="0.2">
      <c r="A23" s="250" t="s">
        <v>107</v>
      </c>
      <c r="B23" s="7" t="s">
        <v>347</v>
      </c>
      <c r="C23" s="51">
        <f>3096237-344442+20620+1831815</f>
        <v>4604230</v>
      </c>
      <c r="E23" s="570" t="e">
        <f>#REF!+#REF!+'9.2.3. sz. mell.'!C23</f>
        <v>#REF!</v>
      </c>
      <c r="F23" s="570" t="e">
        <f t="shared" si="0"/>
        <v>#REF!</v>
      </c>
    </row>
    <row r="24" spans="1:6" s="258" customFormat="1" ht="12" customHeight="1" thickBot="1" x14ac:dyDescent="0.25">
      <c r="A24" s="250" t="s">
        <v>108</v>
      </c>
      <c r="B24" s="7" t="s">
        <v>554</v>
      </c>
      <c r="C24" s="51"/>
      <c r="E24" s="570" t="e">
        <f>#REF!+#REF!+'9.2.3. sz. mell.'!C24</f>
        <v>#REF!</v>
      </c>
      <c r="F24" s="570" t="e">
        <f t="shared" si="0"/>
        <v>#REF!</v>
      </c>
    </row>
    <row r="25" spans="1:6" s="258" customFormat="1" ht="12" customHeight="1" thickBot="1" x14ac:dyDescent="0.25">
      <c r="A25" s="93" t="s">
        <v>25</v>
      </c>
      <c r="B25" s="77" t="s">
        <v>139</v>
      </c>
      <c r="C25" s="176"/>
      <c r="E25" s="570" t="e">
        <f>#REF!+#REF!+'9.2.3. sz. mell.'!C25</f>
        <v>#REF!</v>
      </c>
      <c r="F25" s="570" t="e">
        <f t="shared" si="0"/>
        <v>#REF!</v>
      </c>
    </row>
    <row r="26" spans="1:6" s="258" customFormat="1" ht="12" customHeight="1" thickBot="1" x14ac:dyDescent="0.25">
      <c r="A26" s="93" t="s">
        <v>26</v>
      </c>
      <c r="B26" s="77" t="s">
        <v>555</v>
      </c>
      <c r="C26" s="151">
        <f>+C27+C28+C29</f>
        <v>0</v>
      </c>
      <c r="E26" s="570" t="e">
        <f>#REF!+#REF!+'9.2.3. sz. mell.'!C26</f>
        <v>#REF!</v>
      </c>
      <c r="F26" s="570" t="e">
        <f t="shared" si="0"/>
        <v>#REF!</v>
      </c>
    </row>
    <row r="27" spans="1:6" s="258" customFormat="1" ht="12" customHeight="1" x14ac:dyDescent="0.2">
      <c r="A27" s="251" t="s">
        <v>205</v>
      </c>
      <c r="B27" s="252" t="s">
        <v>200</v>
      </c>
      <c r="C27" s="49"/>
      <c r="E27" s="570" t="e">
        <f>#REF!+#REF!+'9.2.3. sz. mell.'!C27</f>
        <v>#REF!</v>
      </c>
      <c r="F27" s="570" t="e">
        <f t="shared" si="0"/>
        <v>#REF!</v>
      </c>
    </row>
    <row r="28" spans="1:6" s="258" customFormat="1" ht="12" customHeight="1" x14ac:dyDescent="0.2">
      <c r="A28" s="251" t="s">
        <v>208</v>
      </c>
      <c r="B28" s="252" t="s">
        <v>346</v>
      </c>
      <c r="C28" s="149"/>
      <c r="E28" s="570" t="e">
        <f>#REF!+#REF!+'9.2.3. sz. mell.'!C28</f>
        <v>#REF!</v>
      </c>
      <c r="F28" s="570" t="e">
        <f t="shared" si="0"/>
        <v>#REF!</v>
      </c>
    </row>
    <row r="29" spans="1:6" s="258" customFormat="1" ht="12" customHeight="1" x14ac:dyDescent="0.2">
      <c r="A29" s="251" t="s">
        <v>209</v>
      </c>
      <c r="B29" s="253" t="s">
        <v>348</v>
      </c>
      <c r="C29" s="149"/>
      <c r="E29" s="570" t="e">
        <f>#REF!+#REF!+'9.2.3. sz. mell.'!C29</f>
        <v>#REF!</v>
      </c>
      <c r="F29" s="570" t="e">
        <f t="shared" si="0"/>
        <v>#REF!</v>
      </c>
    </row>
    <row r="30" spans="1:6" s="258" customFormat="1" ht="12" customHeight="1" thickBot="1" x14ac:dyDescent="0.25">
      <c r="A30" s="250" t="s">
        <v>210</v>
      </c>
      <c r="B30" s="80" t="s">
        <v>556</v>
      </c>
      <c r="C30" s="52"/>
      <c r="E30" s="570" t="e">
        <f>#REF!+#REF!+'9.2.3. sz. mell.'!C30</f>
        <v>#REF!</v>
      </c>
      <c r="F30" s="570" t="e">
        <f t="shared" si="0"/>
        <v>#REF!</v>
      </c>
    </row>
    <row r="31" spans="1:6" s="258" customFormat="1" ht="12" customHeight="1" thickBot="1" x14ac:dyDescent="0.25">
      <c r="A31" s="93" t="s">
        <v>27</v>
      </c>
      <c r="B31" s="77" t="s">
        <v>349</v>
      </c>
      <c r="C31" s="151">
        <f>+C32+C33+C34</f>
        <v>0</v>
      </c>
      <c r="E31" s="570" t="e">
        <f>#REF!+#REF!+'9.2.3. sz. mell.'!C31</f>
        <v>#REF!</v>
      </c>
      <c r="F31" s="570" t="e">
        <f t="shared" si="0"/>
        <v>#REF!</v>
      </c>
    </row>
    <row r="32" spans="1:6" s="258" customFormat="1" ht="12" customHeight="1" x14ac:dyDescent="0.2">
      <c r="A32" s="251" t="s">
        <v>92</v>
      </c>
      <c r="B32" s="252" t="s">
        <v>232</v>
      </c>
      <c r="C32" s="49"/>
      <c r="E32" s="570" t="e">
        <f>#REF!+#REF!+'9.2.3. sz. mell.'!C32</f>
        <v>#REF!</v>
      </c>
      <c r="F32" s="570" t="e">
        <f t="shared" si="0"/>
        <v>#REF!</v>
      </c>
    </row>
    <row r="33" spans="1:6" s="258" customFormat="1" ht="12" customHeight="1" x14ac:dyDescent="0.2">
      <c r="A33" s="251" t="s">
        <v>93</v>
      </c>
      <c r="B33" s="253" t="s">
        <v>233</v>
      </c>
      <c r="C33" s="152"/>
      <c r="E33" s="570" t="e">
        <f>#REF!+#REF!+'9.2.3. sz. mell.'!C33</f>
        <v>#REF!</v>
      </c>
      <c r="F33" s="570" t="e">
        <f t="shared" si="0"/>
        <v>#REF!</v>
      </c>
    </row>
    <row r="34" spans="1:6" s="258" customFormat="1" ht="12" customHeight="1" thickBot="1" x14ac:dyDescent="0.25">
      <c r="A34" s="250" t="s">
        <v>94</v>
      </c>
      <c r="B34" s="80" t="s">
        <v>234</v>
      </c>
      <c r="C34" s="52"/>
      <c r="E34" s="570" t="e">
        <f>#REF!+#REF!+'9.2.3. sz. mell.'!C34</f>
        <v>#REF!</v>
      </c>
      <c r="F34" s="570" t="e">
        <f t="shared" si="0"/>
        <v>#REF!</v>
      </c>
    </row>
    <row r="35" spans="1:6" s="202" customFormat="1" ht="12" customHeight="1" thickBot="1" x14ac:dyDescent="0.25">
      <c r="A35" s="93" t="s">
        <v>28</v>
      </c>
      <c r="B35" s="77" t="s">
        <v>320</v>
      </c>
      <c r="C35" s="176"/>
      <c r="E35" s="570" t="e">
        <f>#REF!+#REF!+'9.2.3. sz. mell.'!C35</f>
        <v>#REF!</v>
      </c>
      <c r="F35" s="570" t="e">
        <f t="shared" si="0"/>
        <v>#REF!</v>
      </c>
    </row>
    <row r="36" spans="1:6" s="202" customFormat="1" ht="12" customHeight="1" thickBot="1" x14ac:dyDescent="0.25">
      <c r="A36" s="93" t="s">
        <v>29</v>
      </c>
      <c r="B36" s="77" t="s">
        <v>350</v>
      </c>
      <c r="C36" s="193"/>
      <c r="E36" s="570" t="e">
        <f>#REF!+#REF!+'9.2.3. sz. mell.'!C36</f>
        <v>#REF!</v>
      </c>
      <c r="F36" s="570" t="e">
        <f t="shared" si="0"/>
        <v>#REF!</v>
      </c>
    </row>
    <row r="37" spans="1:6" s="202" customFormat="1" ht="12" customHeight="1" thickBot="1" x14ac:dyDescent="0.25">
      <c r="A37" s="90" t="s">
        <v>30</v>
      </c>
      <c r="B37" s="77" t="s">
        <v>351</v>
      </c>
      <c r="C37" s="194">
        <f>+C8+C20+C25+C26+C31+C35+C36</f>
        <v>13591128</v>
      </c>
      <c r="E37" s="570" t="e">
        <f>#REF!+#REF!+'9.2.3. sz. mell.'!C37</f>
        <v>#REF!</v>
      </c>
      <c r="F37" s="570" t="e">
        <f t="shared" si="0"/>
        <v>#REF!</v>
      </c>
    </row>
    <row r="38" spans="1:6" s="202" customFormat="1" ht="12" customHeight="1" thickBot="1" x14ac:dyDescent="0.25">
      <c r="A38" s="110" t="s">
        <v>31</v>
      </c>
      <c r="B38" s="77" t="s">
        <v>352</v>
      </c>
      <c r="C38" s="194">
        <f>+C39+C40+C41</f>
        <v>233205944</v>
      </c>
      <c r="E38" s="570" t="e">
        <f>#REF!+#REF!+'9.2.3. sz. mell.'!C38</f>
        <v>#REF!</v>
      </c>
      <c r="F38" s="570" t="e">
        <f t="shared" si="0"/>
        <v>#REF!</v>
      </c>
    </row>
    <row r="39" spans="1:6" s="202" customFormat="1" ht="12" customHeight="1" x14ac:dyDescent="0.2">
      <c r="A39" s="251" t="s">
        <v>353</v>
      </c>
      <c r="B39" s="252" t="s">
        <v>177</v>
      </c>
      <c r="C39" s="49">
        <f>3148853+63321</f>
        <v>3212174</v>
      </c>
      <c r="E39" s="570" t="e">
        <f>#REF!+#REF!+'9.2.3. sz. mell.'!C39</f>
        <v>#REF!</v>
      </c>
      <c r="F39" s="570" t="e">
        <f t="shared" si="0"/>
        <v>#REF!</v>
      </c>
    </row>
    <row r="40" spans="1:6" s="202" customFormat="1" ht="12" customHeight="1" x14ac:dyDescent="0.2">
      <c r="A40" s="251" t="s">
        <v>354</v>
      </c>
      <c r="B40" s="253" t="s">
        <v>13</v>
      </c>
      <c r="C40" s="152"/>
      <c r="E40" s="570" t="e">
        <f>#REF!+#REF!+'9.2.3. sz. mell.'!C40</f>
        <v>#REF!</v>
      </c>
      <c r="F40" s="570" t="e">
        <f t="shared" si="0"/>
        <v>#REF!</v>
      </c>
    </row>
    <row r="41" spans="1:6" s="258" customFormat="1" ht="12" customHeight="1" thickBot="1" x14ac:dyDescent="0.25">
      <c r="A41" s="250" t="s">
        <v>355</v>
      </c>
      <c r="B41" s="80" t="s">
        <v>356</v>
      </c>
      <c r="C41" s="52">
        <f>228217724-1278+1777324</f>
        <v>229993770</v>
      </c>
      <c r="E41" s="570" t="e">
        <f>#REF!+#REF!+'9.2.3. sz. mell.'!C41</f>
        <v>#REF!</v>
      </c>
      <c r="F41" s="570" t="e">
        <f t="shared" si="0"/>
        <v>#REF!</v>
      </c>
    </row>
    <row r="42" spans="1:6" s="258" customFormat="1" ht="15" customHeight="1" thickBot="1" x14ac:dyDescent="0.25">
      <c r="A42" s="110" t="s">
        <v>32</v>
      </c>
      <c r="B42" s="111" t="s">
        <v>357</v>
      </c>
      <c r="C42" s="197">
        <f>+C37+C38</f>
        <v>246797072</v>
      </c>
      <c r="E42" s="570" t="e">
        <f>#REF!+#REF!+'9.2.3. sz. mell.'!C42</f>
        <v>#REF!</v>
      </c>
      <c r="F42" s="570" t="e">
        <f t="shared" si="0"/>
        <v>#REF!</v>
      </c>
    </row>
    <row r="43" spans="1:6" s="258" customFormat="1" ht="15" customHeight="1" x14ac:dyDescent="0.2">
      <c r="A43" s="112"/>
      <c r="B43" s="113"/>
      <c r="C43" s="195"/>
      <c r="E43" s="570" t="e">
        <f>#REF!+#REF!+'9.2.3. sz. mell.'!C43</f>
        <v>#REF!</v>
      </c>
      <c r="F43" s="567"/>
    </row>
    <row r="44" spans="1:6" ht="13.5" thickBot="1" x14ac:dyDescent="0.25">
      <c r="A44" s="114"/>
      <c r="B44" s="115"/>
      <c r="C44" s="196"/>
      <c r="E44" s="570" t="e">
        <f>#REF!+#REF!+'9.2.3. sz. mell.'!C44</f>
        <v>#REF!</v>
      </c>
    </row>
    <row r="45" spans="1:6" s="257" customFormat="1" ht="16.5" customHeight="1" thickBot="1" x14ac:dyDescent="0.25">
      <c r="A45" s="116"/>
      <c r="B45" s="117" t="s">
        <v>62</v>
      </c>
      <c r="C45" s="197"/>
      <c r="E45" s="570" t="e">
        <f>#REF!+#REF!+'9.2.3. sz. mell.'!C45</f>
        <v>#REF!</v>
      </c>
      <c r="F45" s="569"/>
    </row>
    <row r="46" spans="1:6" s="259" customFormat="1" ht="12" customHeight="1" thickBot="1" x14ac:dyDescent="0.25">
      <c r="A46" s="93" t="s">
        <v>23</v>
      </c>
      <c r="B46" s="77" t="s">
        <v>358</v>
      </c>
      <c r="C46" s="151">
        <f>SUM(C47:C51)</f>
        <v>238932605</v>
      </c>
      <c r="E46" s="570" t="e">
        <f>#REF!+#REF!+'9.2.3. sz. mell.'!C46</f>
        <v>#REF!</v>
      </c>
      <c r="F46" s="570" t="e">
        <f t="shared" ref="F46:F58" si="1">C46-E46</f>
        <v>#REF!</v>
      </c>
    </row>
    <row r="47" spans="1:6" ht="12" customHeight="1" x14ac:dyDescent="0.2">
      <c r="A47" s="250" t="s">
        <v>99</v>
      </c>
      <c r="B47" s="8" t="s">
        <v>54</v>
      </c>
      <c r="C47" s="781">
        <f>139878591-175365-569836+152400+1337422+71400+1313740-2500000+36000</f>
        <v>139544352</v>
      </c>
      <c r="E47" s="570" t="e">
        <f>#REF!+#REF!+'9.2.3. sz. mell.'!C47</f>
        <v>#REF!</v>
      </c>
      <c r="F47" s="570" t="e">
        <f t="shared" si="1"/>
        <v>#REF!</v>
      </c>
    </row>
    <row r="48" spans="1:6" ht="12" customHeight="1" x14ac:dyDescent="0.2">
      <c r="A48" s="250" t="s">
        <v>100</v>
      </c>
      <c r="B48" s="7" t="s">
        <v>148</v>
      </c>
      <c r="C48" s="783">
        <f>29776525-18991+3298+98926-416745+62043+268072+13930+261960-487500+7013</f>
        <v>29568531</v>
      </c>
      <c r="E48" s="570" t="e">
        <f>#REF!+#REF!+'9.2.3. sz. mell.'!C48</f>
        <v>#REF!</v>
      </c>
      <c r="F48" s="570" t="e">
        <f t="shared" si="1"/>
        <v>#REF!</v>
      </c>
    </row>
    <row r="49" spans="1:10" ht="12" customHeight="1" x14ac:dyDescent="0.2">
      <c r="A49" s="250" t="s">
        <v>101</v>
      </c>
      <c r="B49" s="7" t="s">
        <v>124</v>
      </c>
      <c r="C49" s="51">
        <f>45442679-83792-152400+20620+256115</f>
        <v>45483222</v>
      </c>
      <c r="E49" s="570" t="e">
        <f>#REF!+#REF!+'9.2.3. sz. mell.'!C49</f>
        <v>#REF!</v>
      </c>
      <c r="F49" s="570" t="e">
        <f t="shared" si="1"/>
        <v>#REF!</v>
      </c>
    </row>
    <row r="50" spans="1:10" ht="12" customHeight="1" x14ac:dyDescent="0.2">
      <c r="A50" s="250" t="s">
        <v>102</v>
      </c>
      <c r="B50" s="7" t="s">
        <v>149</v>
      </c>
      <c r="C50" s="51">
        <v>24250000</v>
      </c>
      <c r="E50" s="570" t="e">
        <f>#REF!+#REF!+'9.2.3. sz. mell.'!C50</f>
        <v>#REF!</v>
      </c>
      <c r="F50" s="570" t="e">
        <f t="shared" si="1"/>
        <v>#REF!</v>
      </c>
    </row>
    <row r="51" spans="1:10" ht="12" customHeight="1" thickBot="1" x14ac:dyDescent="0.25">
      <c r="A51" s="250" t="s">
        <v>125</v>
      </c>
      <c r="B51" s="7" t="s">
        <v>150</v>
      </c>
      <c r="C51" s="51">
        <f>86500</f>
        <v>86500</v>
      </c>
      <c r="E51" s="570" t="e">
        <f>#REF!+#REF!+'9.2.3. sz. mell.'!C51</f>
        <v>#REF!</v>
      </c>
      <c r="F51" s="570" t="e">
        <f t="shared" si="1"/>
        <v>#REF!</v>
      </c>
    </row>
    <row r="52" spans="1:10" ht="12" customHeight="1" thickBot="1" x14ac:dyDescent="0.25">
      <c r="A52" s="93" t="s">
        <v>24</v>
      </c>
      <c r="B52" s="77" t="s">
        <v>359</v>
      </c>
      <c r="C52" s="151">
        <f>SUM(C53:C55)</f>
        <v>4919980</v>
      </c>
      <c r="E52" s="570" t="e">
        <f>#REF!+#REF!+'9.2.3. sz. mell.'!C52</f>
        <v>#REF!</v>
      </c>
      <c r="F52" s="570" t="e">
        <f t="shared" si="1"/>
        <v>#REF!</v>
      </c>
    </row>
    <row r="53" spans="1:10" s="259" customFormat="1" ht="12" customHeight="1" x14ac:dyDescent="0.2">
      <c r="A53" s="250" t="s">
        <v>105</v>
      </c>
      <c r="B53" s="8" t="s">
        <v>168</v>
      </c>
      <c r="C53" s="49">
        <v>4919980</v>
      </c>
      <c r="E53" s="570" t="e">
        <f>#REF!+#REF!+'9.2.3. sz. mell.'!C53</f>
        <v>#REF!</v>
      </c>
      <c r="F53" s="570" t="e">
        <f t="shared" si="1"/>
        <v>#REF!</v>
      </c>
    </row>
    <row r="54" spans="1:10" ht="12" customHeight="1" x14ac:dyDescent="0.2">
      <c r="A54" s="250" t="s">
        <v>106</v>
      </c>
      <c r="B54" s="7" t="s">
        <v>152</v>
      </c>
      <c r="C54" s="51"/>
      <c r="E54" s="570" t="e">
        <f>#REF!+#REF!+'9.2.3. sz. mell.'!C54</f>
        <v>#REF!</v>
      </c>
      <c r="F54" s="570" t="e">
        <f t="shared" si="1"/>
        <v>#REF!</v>
      </c>
    </row>
    <row r="55" spans="1:10" ht="12" customHeight="1" x14ac:dyDescent="0.2">
      <c r="A55" s="250" t="s">
        <v>107</v>
      </c>
      <c r="B55" s="7" t="s">
        <v>63</v>
      </c>
      <c r="C55" s="51"/>
      <c r="E55" s="570" t="e">
        <f>#REF!+#REF!+'9.2.3. sz. mell.'!C55</f>
        <v>#REF!</v>
      </c>
      <c r="F55" s="570" t="e">
        <f t="shared" si="1"/>
        <v>#REF!</v>
      </c>
    </row>
    <row r="56" spans="1:10" ht="12" customHeight="1" thickBot="1" x14ac:dyDescent="0.25">
      <c r="A56" s="250" t="s">
        <v>108</v>
      </c>
      <c r="B56" s="7" t="s">
        <v>557</v>
      </c>
      <c r="C56" s="51"/>
      <c r="E56" s="570" t="e">
        <f>#REF!+#REF!+'9.2.3. sz. mell.'!C56</f>
        <v>#REF!</v>
      </c>
      <c r="F56" s="570" t="e">
        <f t="shared" si="1"/>
        <v>#REF!</v>
      </c>
    </row>
    <row r="57" spans="1:10" ht="12" customHeight="1" thickBot="1" x14ac:dyDescent="0.25">
      <c r="A57" s="93" t="s">
        <v>25</v>
      </c>
      <c r="B57" s="77" t="s">
        <v>17</v>
      </c>
      <c r="C57" s="176"/>
      <c r="E57" s="570" t="e">
        <f>#REF!+#REF!+'9.2.3. sz. mell.'!C57</f>
        <v>#REF!</v>
      </c>
      <c r="F57" s="570" t="e">
        <f t="shared" si="1"/>
        <v>#REF!</v>
      </c>
    </row>
    <row r="58" spans="1:10" ht="15" customHeight="1" thickBot="1" x14ac:dyDescent="0.25">
      <c r="A58" s="93" t="s">
        <v>26</v>
      </c>
      <c r="B58" s="118" t="s">
        <v>558</v>
      </c>
      <c r="C58" s="198">
        <f>+C46+C52+C57</f>
        <v>243852585</v>
      </c>
      <c r="E58" s="570" t="e">
        <f>#REF!+#REF!+'9.2.3. sz. mell.'!C58</f>
        <v>#REF!</v>
      </c>
      <c r="F58" s="570" t="e">
        <f t="shared" si="1"/>
        <v>#REF!</v>
      </c>
    </row>
    <row r="59" spans="1:10" ht="13.5" thickBot="1" x14ac:dyDescent="0.25">
      <c r="C59" s="485"/>
      <c r="E59" s="570" t="e">
        <f>#REF!+#REF!+'9.2.3. sz. mell.'!C59</f>
        <v>#REF!</v>
      </c>
      <c r="F59" s="571"/>
    </row>
    <row r="60" spans="1:10" ht="15" customHeight="1" thickBot="1" x14ac:dyDescent="0.25">
      <c r="A60" s="121" t="s">
        <v>550</v>
      </c>
      <c r="B60" s="122"/>
      <c r="C60" s="825">
        <v>46.58</v>
      </c>
      <c r="E60" s="570" t="e">
        <f>#REF!+#REF!+'9.2.3. sz. mell.'!C60</f>
        <v>#REF!</v>
      </c>
      <c r="F60" s="570" t="e">
        <f>C60-E60</f>
        <v>#REF!</v>
      </c>
    </row>
    <row r="61" spans="1:10" ht="14.25" customHeight="1" thickBot="1" x14ac:dyDescent="0.25">
      <c r="A61" s="121" t="s">
        <v>164</v>
      </c>
      <c r="B61" s="122"/>
      <c r="C61" s="76"/>
      <c r="E61" s="570" t="e">
        <f>#REF!+#REF!+'9.2.3. sz. mell.'!C61</f>
        <v>#REF!</v>
      </c>
      <c r="F61" s="570" t="e">
        <f>C61-E61</f>
        <v>#REF!</v>
      </c>
    </row>
    <row r="62" spans="1:10" x14ac:dyDescent="0.2">
      <c r="J62" s="633"/>
    </row>
    <row r="66" spans="4:4" x14ac:dyDescent="0.2">
      <c r="D66" s="6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17/2018.(VII.27.) önkormányzati rendelethez</oddHead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topLeftCell="A19" zoomScaleNormal="130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486" customWidth="1"/>
    <col min="4" max="16384" width="9.33203125" style="120"/>
  </cols>
  <sheetData>
    <row r="1" spans="1:3" s="99" customFormat="1" ht="21" customHeight="1" thickBot="1" x14ac:dyDescent="0.25">
      <c r="A1" s="98"/>
      <c r="B1" s="100"/>
      <c r="C1" s="254"/>
    </row>
    <row r="2" spans="1:3" s="255" customFormat="1" ht="33.75" customHeight="1" x14ac:dyDescent="0.2">
      <c r="A2" s="212" t="s">
        <v>162</v>
      </c>
      <c r="B2" s="186" t="s">
        <v>552</v>
      </c>
      <c r="C2" s="200" t="s">
        <v>65</v>
      </c>
    </row>
    <row r="3" spans="1:3" s="255" customFormat="1" ht="24.75" thickBot="1" x14ac:dyDescent="0.25">
      <c r="A3" s="248" t="s">
        <v>161</v>
      </c>
      <c r="B3" s="187" t="s">
        <v>559</v>
      </c>
      <c r="C3" s="201" t="s">
        <v>374</v>
      </c>
    </row>
    <row r="4" spans="1:3" s="256" customFormat="1" ht="15.95" customHeight="1" thickBot="1" x14ac:dyDescent="0.3">
      <c r="A4" s="102"/>
      <c r="B4" s="102"/>
      <c r="C4" s="103" t="s">
        <v>599</v>
      </c>
    </row>
    <row r="5" spans="1:3" ht="13.5" thickBot="1" x14ac:dyDescent="0.25">
      <c r="A5" s="213" t="s">
        <v>163</v>
      </c>
      <c r="B5" s="104" t="s">
        <v>59</v>
      </c>
      <c r="C5" s="105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92" t="s">
        <v>473</v>
      </c>
    </row>
    <row r="7" spans="1:3" s="257" customFormat="1" ht="15.95" customHeight="1" thickBot="1" x14ac:dyDescent="0.25">
      <c r="A7" s="106"/>
      <c r="B7" s="107" t="s">
        <v>61</v>
      </c>
      <c r="C7" s="108"/>
    </row>
    <row r="8" spans="1:3" s="202" customFormat="1" ht="12" customHeight="1" thickBot="1" x14ac:dyDescent="0.25">
      <c r="A8" s="90" t="s">
        <v>23</v>
      </c>
      <c r="B8" s="109" t="s">
        <v>553</v>
      </c>
      <c r="C8" s="151">
        <f>SUM(C9:C19)</f>
        <v>6280164</v>
      </c>
    </row>
    <row r="9" spans="1:3" s="202" customFormat="1" ht="12" customHeight="1" x14ac:dyDescent="0.2">
      <c r="A9" s="249" t="s">
        <v>99</v>
      </c>
      <c r="B9" s="9" t="s">
        <v>218</v>
      </c>
      <c r="C9" s="191"/>
    </row>
    <row r="10" spans="1:3" s="202" customFormat="1" ht="12" customHeight="1" x14ac:dyDescent="0.2">
      <c r="A10" s="250" t="s">
        <v>100</v>
      </c>
      <c r="B10" s="7" t="s">
        <v>219</v>
      </c>
      <c r="C10" s="51">
        <v>4150000</v>
      </c>
    </row>
    <row r="11" spans="1:3" s="202" customFormat="1" ht="12" customHeight="1" x14ac:dyDescent="0.2">
      <c r="A11" s="250" t="s">
        <v>101</v>
      </c>
      <c r="B11" s="7" t="s">
        <v>220</v>
      </c>
      <c r="C11" s="51">
        <v>300000</v>
      </c>
    </row>
    <row r="12" spans="1:3" s="202" customFormat="1" ht="12" customHeight="1" x14ac:dyDescent="0.2">
      <c r="A12" s="250" t="s">
        <v>102</v>
      </c>
      <c r="B12" s="7" t="s">
        <v>221</v>
      </c>
      <c r="C12" s="51"/>
    </row>
    <row r="13" spans="1:3" s="202" customFormat="1" ht="12" customHeight="1" x14ac:dyDescent="0.2">
      <c r="A13" s="250" t="s">
        <v>125</v>
      </c>
      <c r="B13" s="7" t="s">
        <v>222</v>
      </c>
      <c r="C13" s="51"/>
    </row>
    <row r="14" spans="1:3" s="202" customFormat="1" ht="12" customHeight="1" x14ac:dyDescent="0.2">
      <c r="A14" s="250" t="s">
        <v>103</v>
      </c>
      <c r="B14" s="7" t="s">
        <v>343</v>
      </c>
      <c r="C14" s="51">
        <v>1229000</v>
      </c>
    </row>
    <row r="15" spans="1:3" s="202" customFormat="1" ht="12" customHeight="1" x14ac:dyDescent="0.2">
      <c r="A15" s="250" t="s">
        <v>104</v>
      </c>
      <c r="B15" s="6" t="s">
        <v>344</v>
      </c>
      <c r="C15" s="51"/>
    </row>
    <row r="16" spans="1:3" s="202" customFormat="1" ht="12" customHeight="1" x14ac:dyDescent="0.2">
      <c r="A16" s="250" t="s">
        <v>114</v>
      </c>
      <c r="B16" s="7" t="s">
        <v>225</v>
      </c>
      <c r="C16" s="192"/>
    </row>
    <row r="17" spans="1:3" s="258" customFormat="1" ht="12" customHeight="1" x14ac:dyDescent="0.2">
      <c r="A17" s="250" t="s">
        <v>115</v>
      </c>
      <c r="B17" s="7" t="s">
        <v>226</v>
      </c>
      <c r="C17" s="149"/>
    </row>
    <row r="18" spans="1:3" s="258" customFormat="1" ht="12" customHeight="1" x14ac:dyDescent="0.2">
      <c r="A18" s="250" t="s">
        <v>116</v>
      </c>
      <c r="B18" s="7" t="s">
        <v>480</v>
      </c>
      <c r="C18" s="150"/>
    </row>
    <row r="19" spans="1:3" s="258" customFormat="1" ht="12" customHeight="1" thickBot="1" x14ac:dyDescent="0.25">
      <c r="A19" s="250" t="s">
        <v>117</v>
      </c>
      <c r="B19" s="6" t="s">
        <v>227</v>
      </c>
      <c r="C19" s="806">
        <f>100000+501164</f>
        <v>601164</v>
      </c>
    </row>
    <row r="20" spans="1:3" s="202" customFormat="1" ht="12" customHeight="1" thickBot="1" x14ac:dyDescent="0.25">
      <c r="A20" s="90" t="s">
        <v>24</v>
      </c>
      <c r="B20" s="109" t="s">
        <v>345</v>
      </c>
      <c r="C20" s="151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149"/>
    </row>
    <row r="22" spans="1:3" s="258" customFormat="1" ht="12" customHeight="1" x14ac:dyDescent="0.2">
      <c r="A22" s="250" t="s">
        <v>106</v>
      </c>
      <c r="B22" s="7" t="s">
        <v>346</v>
      </c>
      <c r="C22" s="149"/>
    </row>
    <row r="23" spans="1:3" s="258" customFormat="1" ht="12" customHeight="1" x14ac:dyDescent="0.2">
      <c r="A23" s="250" t="s">
        <v>107</v>
      </c>
      <c r="B23" s="7" t="s">
        <v>347</v>
      </c>
      <c r="C23" s="149"/>
    </row>
    <row r="24" spans="1:3" s="258" customFormat="1" ht="12" customHeight="1" thickBot="1" x14ac:dyDescent="0.25">
      <c r="A24" s="250" t="s">
        <v>108</v>
      </c>
      <c r="B24" s="7" t="s">
        <v>554</v>
      </c>
      <c r="C24" s="149"/>
    </row>
    <row r="25" spans="1:3" s="258" customFormat="1" ht="12" customHeight="1" thickBot="1" x14ac:dyDescent="0.25">
      <c r="A25" s="93" t="s">
        <v>25</v>
      </c>
      <c r="B25" s="77" t="s">
        <v>139</v>
      </c>
      <c r="C25" s="176"/>
    </row>
    <row r="26" spans="1:3" s="258" customFormat="1" ht="12" customHeight="1" thickBot="1" x14ac:dyDescent="0.25">
      <c r="A26" s="93" t="s">
        <v>26</v>
      </c>
      <c r="B26" s="77" t="s">
        <v>555</v>
      </c>
      <c r="C26" s="151">
        <f>+C27+C28+C29</f>
        <v>0</v>
      </c>
    </row>
    <row r="27" spans="1:3" s="258" customFormat="1" ht="12" customHeight="1" x14ac:dyDescent="0.2">
      <c r="A27" s="251" t="s">
        <v>205</v>
      </c>
      <c r="B27" s="252" t="s">
        <v>200</v>
      </c>
      <c r="C27" s="49"/>
    </row>
    <row r="28" spans="1:3" s="258" customFormat="1" ht="12" customHeight="1" x14ac:dyDescent="0.2">
      <c r="A28" s="251" t="s">
        <v>208</v>
      </c>
      <c r="B28" s="252" t="s">
        <v>346</v>
      </c>
      <c r="C28" s="149"/>
    </row>
    <row r="29" spans="1:3" s="258" customFormat="1" ht="12" customHeight="1" x14ac:dyDescent="0.2">
      <c r="A29" s="251" t="s">
        <v>209</v>
      </c>
      <c r="B29" s="253" t="s">
        <v>348</v>
      </c>
      <c r="C29" s="149"/>
    </row>
    <row r="30" spans="1:3" s="258" customFormat="1" ht="12" customHeight="1" thickBot="1" x14ac:dyDescent="0.25">
      <c r="A30" s="250" t="s">
        <v>210</v>
      </c>
      <c r="B30" s="80" t="s">
        <v>556</v>
      </c>
      <c r="C30" s="52"/>
    </row>
    <row r="31" spans="1:3" s="258" customFormat="1" ht="12" customHeight="1" thickBot="1" x14ac:dyDescent="0.25">
      <c r="A31" s="93" t="s">
        <v>27</v>
      </c>
      <c r="B31" s="77" t="s">
        <v>349</v>
      </c>
      <c r="C31" s="151">
        <f>+C32+C33+C34</f>
        <v>0</v>
      </c>
    </row>
    <row r="32" spans="1:3" s="258" customFormat="1" ht="12" customHeight="1" x14ac:dyDescent="0.2">
      <c r="A32" s="251" t="s">
        <v>92</v>
      </c>
      <c r="B32" s="252" t="s">
        <v>232</v>
      </c>
      <c r="C32" s="49"/>
    </row>
    <row r="33" spans="1:4" s="258" customFormat="1" ht="12" customHeight="1" x14ac:dyDescent="0.2">
      <c r="A33" s="251" t="s">
        <v>93</v>
      </c>
      <c r="B33" s="253" t="s">
        <v>233</v>
      </c>
      <c r="C33" s="152"/>
    </row>
    <row r="34" spans="1:4" s="258" customFormat="1" ht="12" customHeight="1" thickBot="1" x14ac:dyDescent="0.25">
      <c r="A34" s="250" t="s">
        <v>94</v>
      </c>
      <c r="B34" s="80" t="s">
        <v>234</v>
      </c>
      <c r="C34" s="52"/>
    </row>
    <row r="35" spans="1:4" s="202" customFormat="1" ht="12" customHeight="1" thickBot="1" x14ac:dyDescent="0.25">
      <c r="A35" s="93" t="s">
        <v>28</v>
      </c>
      <c r="B35" s="77" t="s">
        <v>320</v>
      </c>
      <c r="C35" s="176"/>
    </row>
    <row r="36" spans="1:4" s="202" customFormat="1" ht="12" customHeight="1" thickBot="1" x14ac:dyDescent="0.25">
      <c r="A36" s="93" t="s">
        <v>29</v>
      </c>
      <c r="B36" s="77" t="s">
        <v>350</v>
      </c>
      <c r="C36" s="193"/>
    </row>
    <row r="37" spans="1:4" s="202" customFormat="1" ht="12" customHeight="1" thickBot="1" x14ac:dyDescent="0.25">
      <c r="A37" s="90" t="s">
        <v>30</v>
      </c>
      <c r="B37" s="77" t="s">
        <v>351</v>
      </c>
      <c r="C37" s="194">
        <f>+C8+C20+C25+C26+C31+C35+C36</f>
        <v>6280164</v>
      </c>
    </row>
    <row r="38" spans="1:4" s="202" customFormat="1" ht="12" customHeight="1" thickBot="1" x14ac:dyDescent="0.25">
      <c r="A38" s="110" t="s">
        <v>31</v>
      </c>
      <c r="B38" s="77" t="s">
        <v>352</v>
      </c>
      <c r="C38" s="194">
        <f>+C39+C40+C41</f>
        <v>203030706</v>
      </c>
    </row>
    <row r="39" spans="1:4" s="202" customFormat="1" ht="12" customHeight="1" x14ac:dyDescent="0.2">
      <c r="A39" s="251" t="s">
        <v>353</v>
      </c>
      <c r="B39" s="252" t="s">
        <v>177</v>
      </c>
      <c r="C39" s="49"/>
      <c r="D39" s="307"/>
    </row>
    <row r="40" spans="1:4" s="202" customFormat="1" ht="12" customHeight="1" x14ac:dyDescent="0.2">
      <c r="A40" s="251" t="s">
        <v>354</v>
      </c>
      <c r="B40" s="253" t="s">
        <v>13</v>
      </c>
      <c r="C40" s="152"/>
    </row>
    <row r="41" spans="1:4" s="258" customFormat="1" ht="12" customHeight="1" thickBot="1" x14ac:dyDescent="0.25">
      <c r="A41" s="250" t="s">
        <v>355</v>
      </c>
      <c r="B41" s="80" t="s">
        <v>356</v>
      </c>
      <c r="C41" s="52">
        <f>202666658-1388819+62043+1690824</f>
        <v>203030706</v>
      </c>
    </row>
    <row r="42" spans="1:4" s="258" customFormat="1" ht="15" customHeight="1" thickBot="1" x14ac:dyDescent="0.25">
      <c r="A42" s="110" t="s">
        <v>32</v>
      </c>
      <c r="B42" s="111" t="s">
        <v>357</v>
      </c>
      <c r="C42" s="197">
        <f>+C37+C38</f>
        <v>209310870</v>
      </c>
    </row>
    <row r="43" spans="1:4" s="258" customFormat="1" ht="15" customHeight="1" x14ac:dyDescent="0.2">
      <c r="A43" s="112"/>
      <c r="B43" s="113"/>
      <c r="C43" s="195"/>
    </row>
    <row r="44" spans="1:4" ht="13.5" thickBot="1" x14ac:dyDescent="0.25">
      <c r="A44" s="114"/>
      <c r="B44" s="115"/>
      <c r="C44" s="196"/>
    </row>
    <row r="45" spans="1:4" s="257" customFormat="1" ht="16.5" customHeight="1" thickBot="1" x14ac:dyDescent="0.25">
      <c r="A45" s="116"/>
      <c r="B45" s="117" t="s">
        <v>62</v>
      </c>
      <c r="C45" s="197"/>
    </row>
    <row r="46" spans="1:4" s="259" customFormat="1" ht="12" customHeight="1" thickBot="1" x14ac:dyDescent="0.25">
      <c r="A46" s="93" t="s">
        <v>23</v>
      </c>
      <c r="B46" s="77" t="s">
        <v>358</v>
      </c>
      <c r="C46" s="151">
        <f>SUM(C47:C51)</f>
        <v>201446403</v>
      </c>
    </row>
    <row r="47" spans="1:4" ht="12" customHeight="1" x14ac:dyDescent="0.2">
      <c r="A47" s="250" t="s">
        <v>99</v>
      </c>
      <c r="B47" s="8" t="s">
        <v>54</v>
      </c>
      <c r="C47" s="781">
        <f>134654515-569836+152400+1337422+71400-2500000+36000</f>
        <v>133181901</v>
      </c>
    </row>
    <row r="48" spans="1:4" ht="12" customHeight="1" x14ac:dyDescent="0.2">
      <c r="A48" s="250" t="s">
        <v>100</v>
      </c>
      <c r="B48" s="7" t="s">
        <v>148</v>
      </c>
      <c r="C48" s="783">
        <f>28757160-416745+98926+62043+268072+13930-487500+7013</f>
        <v>28302899</v>
      </c>
    </row>
    <row r="49" spans="1:3" ht="12" customHeight="1" x14ac:dyDescent="0.2">
      <c r="A49" s="250" t="s">
        <v>101</v>
      </c>
      <c r="B49" s="7" t="s">
        <v>124</v>
      </c>
      <c r="C49" s="51">
        <f>40114003-152400</f>
        <v>39961603</v>
      </c>
    </row>
    <row r="50" spans="1:3" ht="12" customHeight="1" x14ac:dyDescent="0.2">
      <c r="A50" s="250" t="s">
        <v>102</v>
      </c>
      <c r="B50" s="7" t="s">
        <v>149</v>
      </c>
      <c r="C50" s="51"/>
    </row>
    <row r="51" spans="1:3" ht="12" customHeight="1" thickBot="1" x14ac:dyDescent="0.25">
      <c r="A51" s="250" t="s">
        <v>125</v>
      </c>
      <c r="B51" s="7" t="s">
        <v>150</v>
      </c>
      <c r="C51" s="51"/>
    </row>
    <row r="52" spans="1:3" ht="12" customHeight="1" thickBot="1" x14ac:dyDescent="0.25">
      <c r="A52" s="93" t="s">
        <v>24</v>
      </c>
      <c r="B52" s="77" t="s">
        <v>359</v>
      </c>
      <c r="C52" s="151">
        <f>SUM(C53:C55)</f>
        <v>4919980</v>
      </c>
    </row>
    <row r="53" spans="1:3" s="259" customFormat="1" ht="12" customHeight="1" x14ac:dyDescent="0.2">
      <c r="A53" s="250" t="s">
        <v>105</v>
      </c>
      <c r="B53" s="8" t="s">
        <v>168</v>
      </c>
      <c r="C53" s="49">
        <v>4919980</v>
      </c>
    </row>
    <row r="54" spans="1:3" ht="12" customHeight="1" x14ac:dyDescent="0.2">
      <c r="A54" s="250" t="s">
        <v>106</v>
      </c>
      <c r="B54" s="7" t="s">
        <v>152</v>
      </c>
      <c r="C54" s="51"/>
    </row>
    <row r="55" spans="1:3" ht="12" customHeight="1" x14ac:dyDescent="0.2">
      <c r="A55" s="250" t="s">
        <v>107</v>
      </c>
      <c r="B55" s="7" t="s">
        <v>63</v>
      </c>
      <c r="C55" s="51"/>
    </row>
    <row r="56" spans="1:3" ht="12" customHeight="1" thickBot="1" x14ac:dyDescent="0.25">
      <c r="A56" s="250" t="s">
        <v>108</v>
      </c>
      <c r="B56" s="7" t="s">
        <v>557</v>
      </c>
      <c r="C56" s="51"/>
    </row>
    <row r="57" spans="1:3" ht="15" customHeight="1" thickBot="1" x14ac:dyDescent="0.25">
      <c r="A57" s="93" t="s">
        <v>25</v>
      </c>
      <c r="B57" s="77" t="s">
        <v>17</v>
      </c>
      <c r="C57" s="176"/>
    </row>
    <row r="58" spans="1:3" ht="13.5" thickBot="1" x14ac:dyDescent="0.25">
      <c r="A58" s="93" t="s">
        <v>26</v>
      </c>
      <c r="B58" s="118" t="s">
        <v>558</v>
      </c>
      <c r="C58" s="198">
        <f>+C46+C52+C57</f>
        <v>206366383</v>
      </c>
    </row>
    <row r="59" spans="1:3" ht="15" customHeight="1" thickBot="1" x14ac:dyDescent="0.25">
      <c r="C59" s="485"/>
    </row>
    <row r="60" spans="1:3" ht="14.25" customHeight="1" thickBot="1" x14ac:dyDescent="0.25">
      <c r="A60" s="121" t="s">
        <v>550</v>
      </c>
      <c r="B60" s="122"/>
      <c r="C60" s="979">
        <v>46.58</v>
      </c>
    </row>
    <row r="61" spans="1:3" ht="13.5" thickBot="1" x14ac:dyDescent="0.25">
      <c r="A61" s="121" t="s">
        <v>164</v>
      </c>
      <c r="B61" s="122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&amp;R13. melléklet a 17/2018.(VII.27.)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view="pageLayout" zoomScaleNormal="11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3" customHeight="1" x14ac:dyDescent="0.2">
      <c r="A2" s="212" t="s">
        <v>162</v>
      </c>
      <c r="B2" s="186" t="s">
        <v>400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342</v>
      </c>
      <c r="C3" s="521" t="s">
        <v>58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11615878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>
        <v>850000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4200000</v>
      </c>
    </row>
    <row r="12" spans="1:3" s="202" customFormat="1" ht="12" customHeight="1" x14ac:dyDescent="0.2">
      <c r="A12" s="250" t="s">
        <v>102</v>
      </c>
      <c r="B12" s="7" t="s">
        <v>221</v>
      </c>
      <c r="C12" s="528">
        <v>0</v>
      </c>
    </row>
    <row r="13" spans="1:3" s="202" customFormat="1" ht="12" customHeight="1" x14ac:dyDescent="0.2">
      <c r="A13" s="250" t="s">
        <v>125</v>
      </c>
      <c r="B13" s="7" t="s">
        <v>222</v>
      </c>
      <c r="C13" s="528">
        <v>638880</v>
      </c>
    </row>
    <row r="14" spans="1:3" s="202" customFormat="1" ht="12" customHeight="1" x14ac:dyDescent="0.2">
      <c r="A14" s="250" t="s">
        <v>103</v>
      </c>
      <c r="B14" s="7" t="s">
        <v>343</v>
      </c>
      <c r="C14" s="528">
        <v>1535998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4390000</v>
      </c>
    </row>
    <row r="16" spans="1:3" s="202" customFormat="1" ht="12" customHeight="1" x14ac:dyDescent="0.2">
      <c r="A16" s="250" t="s">
        <v>114</v>
      </c>
      <c r="B16" s="7" t="s">
        <v>225</v>
      </c>
      <c r="C16" s="528">
        <v>1000</v>
      </c>
    </row>
    <row r="17" spans="1:3" s="258" customFormat="1" ht="12" customHeight="1" x14ac:dyDescent="0.2">
      <c r="A17" s="250" t="s">
        <v>115</v>
      </c>
      <c r="B17" s="7" t="s">
        <v>226</v>
      </c>
      <c r="C17" s="528">
        <v>0</v>
      </c>
    </row>
    <row r="18" spans="1:3" s="258" customFormat="1" ht="12" customHeight="1" x14ac:dyDescent="0.2">
      <c r="A18" s="250" t="s">
        <v>116</v>
      </c>
      <c r="B18" s="7" t="s">
        <v>480</v>
      </c>
      <c r="C18" s="528">
        <v>0</v>
      </c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646">
        <v>30000</v>
      </c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11645878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292308773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665045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289157846+479604+110000+2068488+718040-624000+88350-354600</f>
        <v>291643728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303954651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526">
        <f>SUM(C46:C50)</f>
        <v>301602271</v>
      </c>
    </row>
    <row r="46" spans="1:3" ht="12" customHeight="1" x14ac:dyDescent="0.2">
      <c r="A46" s="250" t="s">
        <v>99</v>
      </c>
      <c r="B46" s="8" t="s">
        <v>54</v>
      </c>
      <c r="C46" s="532">
        <f>187166011+408000+1630390-80000+80000</f>
        <v>189204401</v>
      </c>
    </row>
    <row r="47" spans="1:3" ht="12" customHeight="1" x14ac:dyDescent="0.2">
      <c r="A47" s="250" t="s">
        <v>100</v>
      </c>
      <c r="B47" s="7" t="s">
        <v>148</v>
      </c>
      <c r="C47" s="614">
        <f>40197175+71604+308098+14040</f>
        <v>40590917</v>
      </c>
    </row>
    <row r="48" spans="1:3" ht="12" customHeight="1" x14ac:dyDescent="0.2">
      <c r="A48" s="250" t="s">
        <v>101</v>
      </c>
      <c r="B48" s="7" t="s">
        <v>124</v>
      </c>
      <c r="C48" s="614">
        <f>71308603+110000+60000+130000+80000+624000-624000+88350+30000</f>
        <v>71806953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790">
        <f>SUM(C52:C54)</f>
        <v>2352380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2157380-60000</f>
        <v>2097380</v>
      </c>
    </row>
    <row r="53" spans="1:3" ht="12" customHeight="1" x14ac:dyDescent="0.2">
      <c r="A53" s="250" t="s">
        <v>106</v>
      </c>
      <c r="B53" s="7" t="s">
        <v>152</v>
      </c>
      <c r="C53" s="375">
        <f>609600-354600</f>
        <v>255000</v>
      </c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303954651</v>
      </c>
    </row>
    <row r="58" spans="1:3" ht="15" customHeight="1" thickBot="1" x14ac:dyDescent="0.25">
      <c r="C58" s="980"/>
    </row>
    <row r="59" spans="1:3" ht="14.25" customHeight="1" thickBot="1" x14ac:dyDescent="0.25">
      <c r="A59" s="121" t="s">
        <v>550</v>
      </c>
      <c r="B59" s="122"/>
      <c r="C59" s="540">
        <v>54.7</v>
      </c>
    </row>
    <row r="60" spans="1:3" ht="13.5" thickBot="1" x14ac:dyDescent="0.25">
      <c r="A60" s="121" t="s">
        <v>164</v>
      </c>
      <c r="B60" s="122"/>
      <c r="C60" s="5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17/2018.(VII.27.)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3.75" customHeight="1" x14ac:dyDescent="0.2">
      <c r="A2" s="212" t="s">
        <v>162</v>
      </c>
      <c r="B2" s="186" t="s">
        <v>400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360</v>
      </c>
      <c r="C3" s="521" t="s">
        <v>65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11298378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>
        <v>600000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4200000</v>
      </c>
    </row>
    <row r="12" spans="1:3" s="202" customFormat="1" ht="12" customHeight="1" x14ac:dyDescent="0.2">
      <c r="A12" s="250" t="s">
        <v>102</v>
      </c>
      <c r="B12" s="7" t="s">
        <v>221</v>
      </c>
      <c r="C12" s="528">
        <v>0</v>
      </c>
    </row>
    <row r="13" spans="1:3" s="202" customFormat="1" ht="12" customHeight="1" x14ac:dyDescent="0.2">
      <c r="A13" s="250" t="s">
        <v>125</v>
      </c>
      <c r="B13" s="7" t="s">
        <v>222</v>
      </c>
      <c r="C13" s="528">
        <v>638880</v>
      </c>
    </row>
    <row r="14" spans="1:3" s="202" customFormat="1" ht="12" customHeight="1" x14ac:dyDescent="0.2">
      <c r="A14" s="250" t="s">
        <v>103</v>
      </c>
      <c r="B14" s="7" t="s">
        <v>343</v>
      </c>
      <c r="C14" s="528">
        <v>1468498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4390000</v>
      </c>
    </row>
    <row r="16" spans="1:3" s="202" customFormat="1" ht="12" customHeight="1" x14ac:dyDescent="0.2">
      <c r="A16" s="250" t="s">
        <v>114</v>
      </c>
      <c r="B16" s="7" t="s">
        <v>225</v>
      </c>
      <c r="C16" s="528">
        <v>1000</v>
      </c>
    </row>
    <row r="17" spans="1:3" s="258" customFormat="1" ht="12" customHeight="1" x14ac:dyDescent="0.2">
      <c r="A17" s="250" t="s">
        <v>115</v>
      </c>
      <c r="B17" s="7" t="s">
        <v>226</v>
      </c>
      <c r="C17" s="528">
        <v>0</v>
      </c>
    </row>
    <row r="18" spans="1:3" s="258" customFormat="1" ht="12" customHeight="1" x14ac:dyDescent="0.2">
      <c r="A18" s="250" t="s">
        <v>116</v>
      </c>
      <c r="B18" s="7" t="s">
        <v>480</v>
      </c>
      <c r="C18" s="528">
        <v>0</v>
      </c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646">
        <v>30000</v>
      </c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11328378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292308773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665045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289157846+479604+110000+2068488+718040-624000+88350-354600</f>
        <v>291643728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303637151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526">
        <f>SUM(C46:C50)</f>
        <v>301284771</v>
      </c>
    </row>
    <row r="46" spans="1:3" ht="12" customHeight="1" x14ac:dyDescent="0.2">
      <c r="A46" s="250" t="s">
        <v>99</v>
      </c>
      <c r="B46" s="8" t="s">
        <v>54</v>
      </c>
      <c r="C46" s="532">
        <f>187166011+408000+1630390-80000+80000</f>
        <v>189204401</v>
      </c>
    </row>
    <row r="47" spans="1:3" ht="12" customHeight="1" x14ac:dyDescent="0.2">
      <c r="A47" s="250" t="s">
        <v>100</v>
      </c>
      <c r="B47" s="7" t="s">
        <v>148</v>
      </c>
      <c r="C47" s="614">
        <f>40197175+71604+308098+14040</f>
        <v>40590917</v>
      </c>
    </row>
    <row r="48" spans="1:3" ht="12" customHeight="1" x14ac:dyDescent="0.2">
      <c r="A48" s="250" t="s">
        <v>101</v>
      </c>
      <c r="B48" s="7" t="s">
        <v>124</v>
      </c>
      <c r="C48" s="614">
        <f>70991103+110000+60000+130000+624000-624000+80000+88350+30000</f>
        <v>71489453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528"/>
    </row>
    <row r="51" spans="1:3" ht="12" customHeight="1" thickBot="1" x14ac:dyDescent="0.25">
      <c r="A51" s="93" t="s">
        <v>24</v>
      </c>
      <c r="B51" s="77" t="s">
        <v>359</v>
      </c>
      <c r="C51" s="791">
        <f>SUM(C52:C54)</f>
        <v>2352380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2157380-60000</f>
        <v>2097380</v>
      </c>
    </row>
    <row r="53" spans="1:3" ht="12" customHeight="1" x14ac:dyDescent="0.2">
      <c r="A53" s="250" t="s">
        <v>106</v>
      </c>
      <c r="B53" s="7" t="s">
        <v>152</v>
      </c>
      <c r="C53" s="783">
        <f>609600-354600</f>
        <v>255000</v>
      </c>
    </row>
    <row r="54" spans="1:3" ht="12" customHeight="1" x14ac:dyDescent="0.2">
      <c r="A54" s="250" t="s">
        <v>107</v>
      </c>
      <c r="B54" s="7" t="s">
        <v>63</v>
      </c>
      <c r="C54" s="528"/>
    </row>
    <row r="55" spans="1:3" ht="12" customHeight="1" thickBot="1" x14ac:dyDescent="0.25">
      <c r="A55" s="250" t="s">
        <v>108</v>
      </c>
      <c r="B55" s="7" t="s">
        <v>557</v>
      </c>
      <c r="C55" s="528"/>
    </row>
    <row r="56" spans="1:3" ht="15" customHeight="1" thickBot="1" x14ac:dyDescent="0.25">
      <c r="A56" s="93" t="s">
        <v>25</v>
      </c>
      <c r="B56" s="77" t="s">
        <v>17</v>
      </c>
      <c r="C56" s="981"/>
    </row>
    <row r="57" spans="1:3" ht="13.5" thickBot="1" x14ac:dyDescent="0.25">
      <c r="A57" s="93" t="s">
        <v>26</v>
      </c>
      <c r="B57" s="118" t="s">
        <v>558</v>
      </c>
      <c r="C57" s="791">
        <f>+C45+C51+C56</f>
        <v>303637151</v>
      </c>
    </row>
    <row r="58" spans="1:3" ht="15" customHeight="1" thickBot="1" x14ac:dyDescent="0.25">
      <c r="C58" s="980"/>
    </row>
    <row r="59" spans="1:3" ht="14.25" customHeight="1" thickBot="1" x14ac:dyDescent="0.25">
      <c r="A59" s="121" t="s">
        <v>550</v>
      </c>
      <c r="B59" s="122"/>
      <c r="C59" s="540">
        <v>54.7</v>
      </c>
    </row>
    <row r="60" spans="1:3" ht="13.5" thickBot="1" x14ac:dyDescent="0.25">
      <c r="A60" s="121" t="s">
        <v>164</v>
      </c>
      <c r="B60" s="122"/>
      <c r="C60" s="5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17/2018.(VII.27.)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30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6" customHeight="1" x14ac:dyDescent="0.2">
      <c r="A2" s="212" t="s">
        <v>162</v>
      </c>
      <c r="B2" s="186" t="s">
        <v>597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342</v>
      </c>
      <c r="C3" s="521" t="s">
        <v>58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790">
        <f>SUM(C9:C19)</f>
        <v>12914000</v>
      </c>
    </row>
    <row r="9" spans="1:3" s="202" customFormat="1" ht="12" customHeight="1" x14ac:dyDescent="0.2">
      <c r="A9" s="249" t="s">
        <v>99</v>
      </c>
      <c r="B9" s="9" t="s">
        <v>218</v>
      </c>
      <c r="C9" s="527">
        <f>150000-130000</f>
        <v>20000</v>
      </c>
    </row>
    <row r="10" spans="1:3" s="202" customFormat="1" ht="12" customHeight="1" x14ac:dyDescent="0.2">
      <c r="A10" s="250" t="s">
        <v>100</v>
      </c>
      <c r="B10" s="7" t="s">
        <v>219</v>
      </c>
      <c r="C10" s="528">
        <v>10382678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50000</v>
      </c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/>
    </row>
    <row r="14" spans="1:3" s="202" customFormat="1" ht="12" customHeight="1" x14ac:dyDescent="0.2">
      <c r="A14" s="250" t="s">
        <v>103</v>
      </c>
      <c r="B14" s="7" t="s">
        <v>343</v>
      </c>
      <c r="C14" s="528">
        <v>1291322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1170000</v>
      </c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828">
        <v>408000</v>
      </c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789">
        <f>+C8+C20+C25+C26+C30+C34+C35</f>
        <v>13322000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87233475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361287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84577606+203748+232749+1598336+27000+232749</f>
        <v>86872188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100555475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526">
        <f>SUM(C46:C50)</f>
        <v>96108435</v>
      </c>
    </row>
    <row r="46" spans="1:3" ht="12" customHeight="1" x14ac:dyDescent="0.2">
      <c r="A46" s="250" t="s">
        <v>99</v>
      </c>
      <c r="B46" s="8" t="s">
        <v>54</v>
      </c>
      <c r="C46" s="781">
        <f>44090923+170500+69000+27000+100000</f>
        <v>44457423</v>
      </c>
    </row>
    <row r="47" spans="1:3" ht="12" customHeight="1" x14ac:dyDescent="0.2">
      <c r="A47" s="250" t="s">
        <v>100</v>
      </c>
      <c r="B47" s="7" t="s">
        <v>148</v>
      </c>
      <c r="C47" s="614">
        <f>8671204+33248+12110</f>
        <v>8716562</v>
      </c>
    </row>
    <row r="48" spans="1:3" ht="12" customHeight="1" x14ac:dyDescent="0.2">
      <c r="A48" s="250" t="s">
        <v>101</v>
      </c>
      <c r="B48" s="7" t="s">
        <v>124</v>
      </c>
      <c r="C48" s="783">
        <f>42412062-81110+232749+408000-100000-170000+232749</f>
        <v>42934450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790">
        <f>SUM(C52:C54)</f>
        <v>4447040</v>
      </c>
    </row>
    <row r="52" spans="1:3" s="259" customFormat="1" ht="12" customHeight="1" x14ac:dyDescent="0.2">
      <c r="A52" s="250" t="s">
        <v>105</v>
      </c>
      <c r="B52" s="8" t="s">
        <v>168</v>
      </c>
      <c r="C52" s="829">
        <f>2678704+1598336+170000</f>
        <v>4447040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100555475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540">
        <v>16.75</v>
      </c>
    </row>
    <row r="60" spans="1:3" ht="13.5" thickBot="1" x14ac:dyDescent="0.25">
      <c r="A60" s="121" t="s">
        <v>164</v>
      </c>
      <c r="B60" s="122"/>
      <c r="C60" s="5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17/2018.(VII.27.)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3" customHeight="1" x14ac:dyDescent="0.2">
      <c r="A2" s="212" t="s">
        <v>162</v>
      </c>
      <c r="B2" s="186" t="s">
        <v>597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360</v>
      </c>
      <c r="C3" s="521" t="s">
        <v>65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12174000</v>
      </c>
    </row>
    <row r="9" spans="1:3" s="202" customFormat="1" ht="12" customHeight="1" x14ac:dyDescent="0.2">
      <c r="A9" s="249" t="s">
        <v>99</v>
      </c>
      <c r="B9" s="9" t="s">
        <v>218</v>
      </c>
      <c r="C9" s="527">
        <f>150000-130000</f>
        <v>20000</v>
      </c>
    </row>
    <row r="10" spans="1:3" s="202" customFormat="1" ht="12" customHeight="1" x14ac:dyDescent="0.2">
      <c r="A10" s="250" t="s">
        <v>100</v>
      </c>
      <c r="B10" s="7" t="s">
        <v>219</v>
      </c>
      <c r="C10" s="528">
        <v>9800000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50000</v>
      </c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/>
    </row>
    <row r="14" spans="1:3" s="202" customFormat="1" ht="12" customHeight="1" x14ac:dyDescent="0.2">
      <c r="A14" s="250" t="s">
        <v>103</v>
      </c>
      <c r="B14" s="7" t="s">
        <v>343</v>
      </c>
      <c r="C14" s="528">
        <v>1134000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1170000</v>
      </c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12174000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87206475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361287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84577606+203748+232749+1598336+232749</f>
        <v>86845188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99380475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94933435</v>
      </c>
    </row>
    <row r="46" spans="1:3" ht="12" customHeight="1" x14ac:dyDescent="0.2">
      <c r="A46" s="250" t="s">
        <v>99</v>
      </c>
      <c r="B46" s="8" t="s">
        <v>54</v>
      </c>
      <c r="C46" s="781">
        <f>44090923+170500+69000+100000</f>
        <v>44430423</v>
      </c>
    </row>
    <row r="47" spans="1:3" ht="12" customHeight="1" x14ac:dyDescent="0.2">
      <c r="A47" s="250" t="s">
        <v>100</v>
      </c>
      <c r="B47" s="7" t="s">
        <v>148</v>
      </c>
      <c r="C47" s="646">
        <f>8671204+33248+12110</f>
        <v>8716562</v>
      </c>
    </row>
    <row r="48" spans="1:3" ht="12" customHeight="1" x14ac:dyDescent="0.2">
      <c r="A48" s="250" t="s">
        <v>101</v>
      </c>
      <c r="B48" s="7" t="s">
        <v>124</v>
      </c>
      <c r="C48" s="783">
        <f>41672062-81110+232749-100000-170000+232749</f>
        <v>41786450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790">
        <f>SUM(C52:C54)</f>
        <v>4447040</v>
      </c>
    </row>
    <row r="52" spans="1:3" s="259" customFormat="1" ht="12" customHeight="1" x14ac:dyDescent="0.2">
      <c r="A52" s="250" t="s">
        <v>105</v>
      </c>
      <c r="B52" s="8" t="s">
        <v>168</v>
      </c>
      <c r="C52" s="781">
        <f>2678704+1598336+170000</f>
        <v>4447040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99380475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540">
        <v>16.75</v>
      </c>
    </row>
    <row r="60" spans="1:3" ht="13.5" thickBot="1" x14ac:dyDescent="0.25">
      <c r="A60" s="121" t="s">
        <v>164</v>
      </c>
      <c r="B60" s="122"/>
      <c r="C60" s="5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17/2018.(VII.27.)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J3" sqref="J3"/>
    </sheetView>
  </sheetViews>
  <sheetFormatPr defaultColWidth="9.33203125" defaultRowHeight="12.75" x14ac:dyDescent="0.2"/>
  <cols>
    <col min="1" max="1" width="13.83203125" style="119" customWidth="1"/>
    <col min="2" max="2" width="79.1640625" style="120" customWidth="1"/>
    <col min="3" max="3" width="25" style="120" customWidth="1"/>
    <col min="4" max="16384" width="9.33203125" style="120"/>
  </cols>
  <sheetData>
    <row r="1" spans="1:3" s="99" customFormat="1" ht="21" customHeight="1" thickBot="1" x14ac:dyDescent="0.25">
      <c r="A1" s="98"/>
      <c r="B1" s="100"/>
      <c r="C1" s="254" t="e">
        <f>+CONCATENATE("9.3.2. melléklet a ……/",LEFT(#REF!,4),". (….) önkormányzati rendelethez")</f>
        <v>#REF!</v>
      </c>
    </row>
    <row r="2" spans="1:3" s="255" customFormat="1" ht="36.75" customHeight="1" x14ac:dyDescent="0.2">
      <c r="A2" s="212" t="s">
        <v>162</v>
      </c>
      <c r="B2" s="186" t="s">
        <v>597</v>
      </c>
      <c r="C2" s="200" t="s">
        <v>66</v>
      </c>
    </row>
    <row r="3" spans="1:3" s="255" customFormat="1" ht="24.75" thickBot="1" x14ac:dyDescent="0.25">
      <c r="A3" s="248" t="s">
        <v>161</v>
      </c>
      <c r="B3" s="187" t="s">
        <v>361</v>
      </c>
      <c r="C3" s="201" t="s">
        <v>66</v>
      </c>
    </row>
    <row r="4" spans="1:3" s="256" customFormat="1" ht="15.95" customHeight="1" thickBot="1" x14ac:dyDescent="0.3">
      <c r="A4" s="102"/>
      <c r="B4" s="102"/>
      <c r="C4" s="103" t="s">
        <v>599</v>
      </c>
    </row>
    <row r="5" spans="1:3" ht="13.5" thickBot="1" x14ac:dyDescent="0.25">
      <c r="A5" s="213" t="s">
        <v>163</v>
      </c>
      <c r="B5" s="104" t="s">
        <v>59</v>
      </c>
      <c r="C5" s="105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92" t="s">
        <v>473</v>
      </c>
    </row>
    <row r="7" spans="1:3" s="257" customFormat="1" ht="15.95" customHeight="1" thickBot="1" x14ac:dyDescent="0.25">
      <c r="A7" s="106"/>
      <c r="B7" s="107" t="s">
        <v>61</v>
      </c>
      <c r="C7" s="108"/>
    </row>
    <row r="8" spans="1:3" s="202" customFormat="1" ht="12" customHeight="1" thickBot="1" x14ac:dyDescent="0.25">
      <c r="A8" s="90" t="s">
        <v>23</v>
      </c>
      <c r="B8" s="109" t="s">
        <v>553</v>
      </c>
      <c r="C8" s="151">
        <f>SUM(C9:C19)</f>
        <v>740000</v>
      </c>
    </row>
    <row r="9" spans="1:3" s="202" customFormat="1" ht="12" customHeight="1" x14ac:dyDescent="0.2">
      <c r="A9" s="249" t="s">
        <v>99</v>
      </c>
      <c r="B9" s="9" t="s">
        <v>218</v>
      </c>
      <c r="C9" s="191"/>
    </row>
    <row r="10" spans="1:3" s="202" customFormat="1" ht="12" customHeight="1" x14ac:dyDescent="0.2">
      <c r="A10" s="250" t="s">
        <v>100</v>
      </c>
      <c r="B10" s="7" t="s">
        <v>219</v>
      </c>
      <c r="C10" s="149">
        <v>582678</v>
      </c>
    </row>
    <row r="11" spans="1:3" s="202" customFormat="1" ht="12" customHeight="1" x14ac:dyDescent="0.2">
      <c r="A11" s="250" t="s">
        <v>101</v>
      </c>
      <c r="B11" s="7" t="s">
        <v>220</v>
      </c>
      <c r="C11" s="149"/>
    </row>
    <row r="12" spans="1:3" s="202" customFormat="1" ht="12" customHeight="1" x14ac:dyDescent="0.2">
      <c r="A12" s="250" t="s">
        <v>102</v>
      </c>
      <c r="B12" s="7" t="s">
        <v>221</v>
      </c>
      <c r="C12" s="149"/>
    </row>
    <row r="13" spans="1:3" s="202" customFormat="1" ht="12" customHeight="1" x14ac:dyDescent="0.2">
      <c r="A13" s="250" t="s">
        <v>125</v>
      </c>
      <c r="B13" s="7" t="s">
        <v>222</v>
      </c>
      <c r="C13" s="149"/>
    </row>
    <row r="14" spans="1:3" s="202" customFormat="1" ht="12" customHeight="1" x14ac:dyDescent="0.2">
      <c r="A14" s="250" t="s">
        <v>103</v>
      </c>
      <c r="B14" s="7" t="s">
        <v>343</v>
      </c>
      <c r="C14" s="149">
        <v>157322</v>
      </c>
    </row>
    <row r="15" spans="1:3" s="202" customFormat="1" ht="12" customHeight="1" x14ac:dyDescent="0.2">
      <c r="A15" s="250" t="s">
        <v>104</v>
      </c>
      <c r="B15" s="6" t="s">
        <v>344</v>
      </c>
      <c r="C15" s="149"/>
    </row>
    <row r="16" spans="1:3" s="202" customFormat="1" ht="12" customHeight="1" x14ac:dyDescent="0.2">
      <c r="A16" s="250" t="s">
        <v>114</v>
      </c>
      <c r="B16" s="7" t="s">
        <v>225</v>
      </c>
      <c r="C16" s="192"/>
    </row>
    <row r="17" spans="1:3" s="258" customFormat="1" ht="12" customHeight="1" x14ac:dyDescent="0.2">
      <c r="A17" s="250" t="s">
        <v>115</v>
      </c>
      <c r="B17" s="7" t="s">
        <v>226</v>
      </c>
      <c r="C17" s="149"/>
    </row>
    <row r="18" spans="1:3" s="258" customFormat="1" ht="12" customHeight="1" x14ac:dyDescent="0.2">
      <c r="A18" s="250" t="s">
        <v>116</v>
      </c>
      <c r="B18" s="7" t="s">
        <v>480</v>
      </c>
      <c r="C18" s="150"/>
    </row>
    <row r="19" spans="1:3" s="258" customFormat="1" ht="12" customHeight="1" thickBot="1" x14ac:dyDescent="0.25">
      <c r="A19" s="250" t="s">
        <v>117</v>
      </c>
      <c r="B19" s="6" t="s">
        <v>227</v>
      </c>
      <c r="C19" s="150"/>
    </row>
    <row r="20" spans="1:3" s="202" customFormat="1" ht="12" customHeight="1" thickBot="1" x14ac:dyDescent="0.25">
      <c r="A20" s="90" t="s">
        <v>24</v>
      </c>
      <c r="B20" s="109" t="s">
        <v>345</v>
      </c>
      <c r="C20" s="151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149"/>
    </row>
    <row r="22" spans="1:3" s="258" customFormat="1" ht="12" customHeight="1" x14ac:dyDescent="0.2">
      <c r="A22" s="250" t="s">
        <v>106</v>
      </c>
      <c r="B22" s="7" t="s">
        <v>346</v>
      </c>
      <c r="C22" s="149"/>
    </row>
    <row r="23" spans="1:3" s="258" customFormat="1" ht="12" customHeight="1" x14ac:dyDescent="0.2">
      <c r="A23" s="250" t="s">
        <v>107</v>
      </c>
      <c r="B23" s="7" t="s">
        <v>347</v>
      </c>
      <c r="C23" s="149"/>
    </row>
    <row r="24" spans="1:3" s="258" customFormat="1" ht="12" customHeight="1" thickBot="1" x14ac:dyDescent="0.25">
      <c r="A24" s="250" t="s">
        <v>108</v>
      </c>
      <c r="B24" s="7" t="s">
        <v>563</v>
      </c>
      <c r="C24" s="149"/>
    </row>
    <row r="25" spans="1:3" s="258" customFormat="1" ht="12" customHeight="1" thickBot="1" x14ac:dyDescent="0.25">
      <c r="A25" s="93" t="s">
        <v>25</v>
      </c>
      <c r="B25" s="77" t="s">
        <v>139</v>
      </c>
      <c r="C25" s="176"/>
    </row>
    <row r="26" spans="1:3" s="258" customFormat="1" ht="12" customHeight="1" thickBot="1" x14ac:dyDescent="0.25">
      <c r="A26" s="93" t="s">
        <v>26</v>
      </c>
      <c r="B26" s="77" t="s">
        <v>564</v>
      </c>
      <c r="C26" s="151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49"/>
    </row>
    <row r="28" spans="1:3" s="258" customFormat="1" ht="12" customHeight="1" x14ac:dyDescent="0.2">
      <c r="A28" s="251" t="s">
        <v>208</v>
      </c>
      <c r="B28" s="253" t="s">
        <v>348</v>
      </c>
      <c r="C28" s="152"/>
    </row>
    <row r="29" spans="1:3" s="258" customFormat="1" ht="12" customHeight="1" thickBot="1" x14ac:dyDescent="0.25">
      <c r="A29" s="250" t="s">
        <v>209</v>
      </c>
      <c r="B29" s="80" t="s">
        <v>565</v>
      </c>
      <c r="C29" s="52"/>
    </row>
    <row r="30" spans="1:3" s="258" customFormat="1" ht="12" customHeight="1" thickBot="1" x14ac:dyDescent="0.25">
      <c r="A30" s="93" t="s">
        <v>27</v>
      </c>
      <c r="B30" s="77" t="s">
        <v>349</v>
      </c>
      <c r="C30" s="151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49"/>
    </row>
    <row r="32" spans="1:3" s="258" customFormat="1" ht="12" customHeight="1" x14ac:dyDescent="0.2">
      <c r="A32" s="251" t="s">
        <v>93</v>
      </c>
      <c r="B32" s="253" t="s">
        <v>233</v>
      </c>
      <c r="C32" s="152"/>
    </row>
    <row r="33" spans="1:3" s="258" customFormat="1" ht="12" customHeight="1" thickBot="1" x14ac:dyDescent="0.25">
      <c r="A33" s="250" t="s">
        <v>94</v>
      </c>
      <c r="B33" s="80" t="s">
        <v>234</v>
      </c>
      <c r="C33" s="52"/>
    </row>
    <row r="34" spans="1:3" s="202" customFormat="1" ht="12" customHeight="1" thickBot="1" x14ac:dyDescent="0.25">
      <c r="A34" s="93" t="s">
        <v>28</v>
      </c>
      <c r="B34" s="77" t="s">
        <v>320</v>
      </c>
      <c r="C34" s="828">
        <v>408000</v>
      </c>
    </row>
    <row r="35" spans="1:3" s="202" customFormat="1" ht="12" customHeight="1" thickBot="1" x14ac:dyDescent="0.25">
      <c r="A35" s="93" t="s">
        <v>29</v>
      </c>
      <c r="B35" s="77" t="s">
        <v>350</v>
      </c>
      <c r="C35" s="193"/>
    </row>
    <row r="36" spans="1:3" s="202" customFormat="1" ht="12" customHeight="1" thickBot="1" x14ac:dyDescent="0.25">
      <c r="A36" s="90" t="s">
        <v>30</v>
      </c>
      <c r="B36" s="77" t="s">
        <v>566</v>
      </c>
      <c r="C36" s="789">
        <f>+C8+C20+C25+C26+C30+C34+C35</f>
        <v>1148000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194">
        <f>+C38+C39+C40</f>
        <v>0</v>
      </c>
    </row>
    <row r="38" spans="1:3" s="202" customFormat="1" ht="12" customHeight="1" x14ac:dyDescent="0.2">
      <c r="A38" s="251" t="s">
        <v>353</v>
      </c>
      <c r="B38" s="252" t="s">
        <v>177</v>
      </c>
      <c r="C38" s="49"/>
    </row>
    <row r="39" spans="1:3" s="202" customFormat="1" ht="12" customHeight="1" x14ac:dyDescent="0.2">
      <c r="A39" s="251" t="s">
        <v>354</v>
      </c>
      <c r="B39" s="253" t="s">
        <v>13</v>
      </c>
      <c r="C39" s="152"/>
    </row>
    <row r="40" spans="1:3" s="258" customFormat="1" ht="12" customHeight="1" thickBot="1" x14ac:dyDescent="0.25">
      <c r="A40" s="250" t="s">
        <v>355</v>
      </c>
      <c r="B40" s="80" t="s">
        <v>356</v>
      </c>
      <c r="C40" s="52"/>
    </row>
    <row r="41" spans="1:3" s="258" customFormat="1" ht="15" customHeight="1" thickBot="1" x14ac:dyDescent="0.25">
      <c r="A41" s="110" t="s">
        <v>32</v>
      </c>
      <c r="B41" s="111" t="s">
        <v>357</v>
      </c>
      <c r="C41" s="982">
        <f>+C36+C37</f>
        <v>1148000</v>
      </c>
    </row>
    <row r="42" spans="1:3" s="258" customFormat="1" ht="15" customHeight="1" x14ac:dyDescent="0.2">
      <c r="A42" s="112"/>
      <c r="B42" s="113"/>
      <c r="C42" s="195"/>
    </row>
    <row r="43" spans="1:3" ht="13.5" thickBot="1" x14ac:dyDescent="0.25">
      <c r="A43" s="114"/>
      <c r="B43" s="115"/>
      <c r="C43" s="196"/>
    </row>
    <row r="44" spans="1:3" s="257" customFormat="1" ht="16.5" customHeight="1" thickBot="1" x14ac:dyDescent="0.25">
      <c r="A44" s="116"/>
      <c r="B44" s="117" t="s">
        <v>62</v>
      </c>
      <c r="C44" s="197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1148000</v>
      </c>
    </row>
    <row r="46" spans="1:3" ht="12" customHeight="1" x14ac:dyDescent="0.2">
      <c r="A46" s="250" t="s">
        <v>99</v>
      </c>
      <c r="B46" s="8" t="s">
        <v>54</v>
      </c>
      <c r="C46" s="49"/>
    </row>
    <row r="47" spans="1:3" ht="12" customHeight="1" x14ac:dyDescent="0.2">
      <c r="A47" s="250" t="s">
        <v>100</v>
      </c>
      <c r="B47" s="7" t="s">
        <v>148</v>
      </c>
      <c r="C47" s="51"/>
    </row>
    <row r="48" spans="1:3" ht="12" customHeight="1" x14ac:dyDescent="0.2">
      <c r="A48" s="250" t="s">
        <v>101</v>
      </c>
      <c r="B48" s="7" t="s">
        <v>124</v>
      </c>
      <c r="C48" s="375">
        <f>740000+408000</f>
        <v>1148000</v>
      </c>
    </row>
    <row r="49" spans="1:3" ht="12" customHeight="1" x14ac:dyDescent="0.2">
      <c r="A49" s="250" t="s">
        <v>102</v>
      </c>
      <c r="B49" s="7" t="s">
        <v>149</v>
      </c>
      <c r="C49" s="51"/>
    </row>
    <row r="50" spans="1:3" ht="12" customHeight="1" thickBot="1" x14ac:dyDescent="0.25">
      <c r="A50" s="250" t="s">
        <v>125</v>
      </c>
      <c r="B50" s="7" t="s">
        <v>150</v>
      </c>
      <c r="C50" s="51"/>
    </row>
    <row r="51" spans="1:3" ht="12" customHeight="1" thickBot="1" x14ac:dyDescent="0.25">
      <c r="A51" s="93" t="s">
        <v>24</v>
      </c>
      <c r="B51" s="77" t="s">
        <v>359</v>
      </c>
      <c r="C51" s="151">
        <f>SUM(C52:C54)</f>
        <v>0</v>
      </c>
    </row>
    <row r="52" spans="1:3" s="259" customFormat="1" ht="12" customHeight="1" x14ac:dyDescent="0.2">
      <c r="A52" s="250" t="s">
        <v>105</v>
      </c>
      <c r="B52" s="8" t="s">
        <v>168</v>
      </c>
      <c r="C52" s="49"/>
    </row>
    <row r="53" spans="1:3" ht="12" customHeight="1" x14ac:dyDescent="0.2">
      <c r="A53" s="250" t="s">
        <v>106</v>
      </c>
      <c r="B53" s="7" t="s">
        <v>152</v>
      </c>
      <c r="C53" s="51"/>
    </row>
    <row r="54" spans="1:3" ht="12" customHeight="1" x14ac:dyDescent="0.2">
      <c r="A54" s="250" t="s">
        <v>107</v>
      </c>
      <c r="B54" s="7" t="s">
        <v>63</v>
      </c>
      <c r="C54" s="51"/>
    </row>
    <row r="55" spans="1:3" ht="12" customHeight="1" thickBot="1" x14ac:dyDescent="0.25">
      <c r="A55" s="250" t="s">
        <v>108</v>
      </c>
      <c r="B55" s="7" t="s">
        <v>557</v>
      </c>
      <c r="C55" s="51"/>
    </row>
    <row r="56" spans="1:3" ht="15" customHeight="1" thickBot="1" x14ac:dyDescent="0.25">
      <c r="A56" s="93" t="s">
        <v>25</v>
      </c>
      <c r="B56" s="77" t="s">
        <v>17</v>
      </c>
      <c r="C56" s="176"/>
    </row>
    <row r="57" spans="1:3" ht="13.5" thickBot="1" x14ac:dyDescent="0.25">
      <c r="A57" s="93" t="s">
        <v>26</v>
      </c>
      <c r="B57" s="118" t="s">
        <v>558</v>
      </c>
      <c r="C57" s="791">
        <f>+C45+C51+C56</f>
        <v>1148000</v>
      </c>
    </row>
    <row r="58" spans="1:3" ht="15" customHeight="1" thickBot="1" x14ac:dyDescent="0.25">
      <c r="C58" s="199"/>
    </row>
    <row r="59" spans="1:3" ht="14.25" customHeight="1" thickBot="1" x14ac:dyDescent="0.25">
      <c r="A59" s="121" t="s">
        <v>550</v>
      </c>
      <c r="B59" s="122"/>
      <c r="C59" s="76"/>
    </row>
    <row r="60" spans="1:3" ht="13.5" thickBot="1" x14ac:dyDescent="0.25">
      <c r="A60" s="121" t="s">
        <v>164</v>
      </c>
      <c r="B60" s="122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&amp;R18. melléklet az 17/2018.(VII.27.)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6" customHeight="1" x14ac:dyDescent="0.2">
      <c r="A2" s="212" t="s">
        <v>162</v>
      </c>
      <c r="B2" s="186" t="s">
        <v>567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342</v>
      </c>
      <c r="C3" s="521" t="s">
        <v>58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172674012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>
        <v>30591480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82270000</v>
      </c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614">
        <v>19857978</v>
      </c>
    </row>
    <row r="14" spans="1:3" s="202" customFormat="1" ht="12" customHeight="1" x14ac:dyDescent="0.2">
      <c r="A14" s="250" t="s">
        <v>103</v>
      </c>
      <c r="B14" s="7" t="s">
        <v>343</v>
      </c>
      <c r="C14" s="614">
        <v>27304554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12650000</v>
      </c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172674012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139881293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1426020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133587210+51600+742141-1383497+5457819</f>
        <v>138455273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312555305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311286305</v>
      </c>
    </row>
    <row r="46" spans="1:3" ht="12" customHeight="1" x14ac:dyDescent="0.2">
      <c r="A46" s="250" t="s">
        <v>99</v>
      </c>
      <c r="B46" s="8" t="s">
        <v>54</v>
      </c>
      <c r="C46" s="532">
        <f>61703726+51600+80000-1157738</f>
        <v>60677588</v>
      </c>
    </row>
    <row r="47" spans="1:3" ht="12" customHeight="1" x14ac:dyDescent="0.2">
      <c r="A47" s="250" t="s">
        <v>100</v>
      </c>
      <c r="B47" s="7" t="s">
        <v>148</v>
      </c>
      <c r="C47" s="614">
        <f>14089304-225759</f>
        <v>13863545</v>
      </c>
    </row>
    <row r="48" spans="1:3" ht="12" customHeight="1" x14ac:dyDescent="0.2">
      <c r="A48" s="250" t="s">
        <v>101</v>
      </c>
      <c r="B48" s="7" t="s">
        <v>124</v>
      </c>
      <c r="C48" s="783">
        <f>230665212+622141+5457819</f>
        <v>236745172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526">
        <f>SUM(C52:C54)</f>
        <v>1269000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1229000+40000</f>
        <v>1269000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312555305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983">
        <f>25.5-0.58</f>
        <v>24.92</v>
      </c>
    </row>
    <row r="60" spans="1:3" ht="13.5" thickBot="1" x14ac:dyDescent="0.25">
      <c r="A60" s="121" t="s">
        <v>164</v>
      </c>
      <c r="B60" s="122"/>
      <c r="C60" s="6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17/2018.(VII.27.)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J3" sqref="J3"/>
    </sheetView>
  </sheetViews>
  <sheetFormatPr defaultRowHeight="15.75" x14ac:dyDescent="0.25"/>
  <cols>
    <col min="1" max="1" width="9.5" style="208" customWidth="1"/>
    <col min="2" max="2" width="79" style="208" customWidth="1"/>
    <col min="3" max="3" width="21.6640625" style="372" customWidth="1"/>
    <col min="4" max="4" width="19.33203125" style="219" hidden="1" customWidth="1"/>
    <col min="5" max="5" width="15.83203125" style="219" hidden="1" customWidth="1"/>
    <col min="6" max="6" width="21.83203125" style="219" hidden="1" customWidth="1"/>
    <col min="7" max="16384" width="9.33203125" style="219"/>
  </cols>
  <sheetData>
    <row r="1" spans="1:6" ht="15.95" customHeight="1" x14ac:dyDescent="0.25">
      <c r="A1" s="1003" t="s">
        <v>20</v>
      </c>
      <c r="B1" s="1003"/>
      <c r="C1" s="1003"/>
    </row>
    <row r="2" spans="1:6" ht="15.95" customHeight="1" thickBot="1" x14ac:dyDescent="0.3">
      <c r="A2" s="1002" t="s">
        <v>128</v>
      </c>
      <c r="B2" s="1002"/>
      <c r="C2" s="146" t="s">
        <v>598</v>
      </c>
    </row>
    <row r="3" spans="1:6" ht="38.1" customHeight="1" thickBot="1" x14ac:dyDescent="0.3">
      <c r="A3" s="22" t="s">
        <v>74</v>
      </c>
      <c r="B3" s="23" t="s">
        <v>22</v>
      </c>
      <c r="C3" s="35" t="s">
        <v>622</v>
      </c>
      <c r="D3" s="208" t="s">
        <v>606</v>
      </c>
      <c r="E3" s="208" t="s">
        <v>607</v>
      </c>
      <c r="F3" s="208" t="s">
        <v>608</v>
      </c>
    </row>
    <row r="4" spans="1:6" s="220" customFormat="1" ht="12" customHeight="1" thickBot="1" x14ac:dyDescent="0.25">
      <c r="A4" s="214" t="s">
        <v>471</v>
      </c>
      <c r="B4" s="215" t="s">
        <v>472</v>
      </c>
      <c r="C4" s="216" t="s">
        <v>473</v>
      </c>
    </row>
    <row r="5" spans="1:6" s="221" customFormat="1" ht="12" customHeight="1" thickBot="1" x14ac:dyDescent="0.25">
      <c r="A5" s="19" t="s">
        <v>23</v>
      </c>
      <c r="B5" s="20" t="s">
        <v>189</v>
      </c>
      <c r="C5" s="137">
        <f t="shared" ref="C5:C68" si="0">SUM(D5:F5)</f>
        <v>1133036781</v>
      </c>
      <c r="D5" s="319">
        <f>+D6+D7+D8+D9+D10+D11</f>
        <v>1133036781</v>
      </c>
      <c r="E5" s="137">
        <f>+E6+E7+E8+E9+E10+E11</f>
        <v>0</v>
      </c>
      <c r="F5" s="137">
        <f>+F6+F7+F8+F9+F10+F11</f>
        <v>0</v>
      </c>
    </row>
    <row r="6" spans="1:6" s="221" customFormat="1" ht="12" customHeight="1" x14ac:dyDescent="0.2">
      <c r="A6" s="14" t="s">
        <v>99</v>
      </c>
      <c r="B6" s="222" t="s">
        <v>190</v>
      </c>
      <c r="C6" s="362">
        <f t="shared" si="0"/>
        <v>227855923</v>
      </c>
      <c r="D6" s="325">
        <v>227855923</v>
      </c>
      <c r="E6" s="260"/>
      <c r="F6" s="260"/>
    </row>
    <row r="7" spans="1:6" s="221" customFormat="1" ht="12" customHeight="1" x14ac:dyDescent="0.2">
      <c r="A7" s="13" t="s">
        <v>100</v>
      </c>
      <c r="B7" s="223" t="s">
        <v>191</v>
      </c>
      <c r="C7" s="499">
        <f t="shared" si="0"/>
        <v>225469302</v>
      </c>
      <c r="D7" s="296">
        <f>224734134+735168</f>
        <v>225469302</v>
      </c>
      <c r="E7" s="141"/>
      <c r="F7" s="141"/>
    </row>
    <row r="8" spans="1:6" s="221" customFormat="1" ht="12" customHeight="1" x14ac:dyDescent="0.2">
      <c r="A8" s="13" t="s">
        <v>101</v>
      </c>
      <c r="B8" s="223" t="s">
        <v>586</v>
      </c>
      <c r="C8" s="499">
        <f t="shared" si="0"/>
        <v>454097345</v>
      </c>
      <c r="D8" s="296">
        <f>126991000+65060600+192410145+62092600+7543000</f>
        <v>454097345</v>
      </c>
      <c r="E8" s="141"/>
      <c r="F8" s="141"/>
    </row>
    <row r="9" spans="1:6" s="221" customFormat="1" ht="12" customHeight="1" x14ac:dyDescent="0.2">
      <c r="A9" s="13" t="s">
        <v>102</v>
      </c>
      <c r="B9" s="223" t="s">
        <v>193</v>
      </c>
      <c r="C9" s="499">
        <f t="shared" si="0"/>
        <v>22066156</v>
      </c>
      <c r="D9" s="296">
        <f>16122040+1398336+4545780</f>
        <v>22066156</v>
      </c>
      <c r="E9" s="141"/>
      <c r="F9" s="141"/>
    </row>
    <row r="10" spans="1:6" s="221" customFormat="1" ht="12" customHeight="1" x14ac:dyDescent="0.2">
      <c r="A10" s="13" t="s">
        <v>125</v>
      </c>
      <c r="B10" s="133" t="s">
        <v>474</v>
      </c>
      <c r="C10" s="499">
        <f t="shared" si="0"/>
        <v>203548055</v>
      </c>
      <c r="D10" s="296">
        <f>16254886+190231327+1309600+298022-4545780</f>
        <v>203548055</v>
      </c>
      <c r="E10" s="141"/>
      <c r="F10" s="141"/>
    </row>
    <row r="11" spans="1:6" s="221" customFormat="1" ht="12" customHeight="1" thickBot="1" x14ac:dyDescent="0.25">
      <c r="A11" s="15" t="s">
        <v>103</v>
      </c>
      <c r="B11" s="134" t="s">
        <v>475</v>
      </c>
      <c r="C11" s="364">
        <f t="shared" si="0"/>
        <v>0</v>
      </c>
      <c r="D11" s="125"/>
      <c r="E11" s="138"/>
      <c r="F11" s="138"/>
    </row>
    <row r="12" spans="1:6" s="221" customFormat="1" ht="12" customHeight="1" thickBot="1" x14ac:dyDescent="0.25">
      <c r="A12" s="19" t="s">
        <v>24</v>
      </c>
      <c r="B12" s="132" t="s">
        <v>194</v>
      </c>
      <c r="C12" s="137">
        <f t="shared" si="0"/>
        <v>130072486</v>
      </c>
      <c r="D12" s="319">
        <f>+D13+D14+D15+D16+D17</f>
        <v>126955629</v>
      </c>
      <c r="E12" s="137">
        <f>+E13+E14+E15+E16+E17</f>
        <v>3116857</v>
      </c>
      <c r="F12" s="137">
        <f>+F13+F14+F15+F16+F17</f>
        <v>0</v>
      </c>
    </row>
    <row r="13" spans="1:6" s="221" customFormat="1" ht="12" customHeight="1" x14ac:dyDescent="0.2">
      <c r="A13" s="14" t="s">
        <v>105</v>
      </c>
      <c r="B13" s="222" t="s">
        <v>195</v>
      </c>
      <c r="C13" s="217">
        <f t="shared" si="0"/>
        <v>0</v>
      </c>
      <c r="D13" s="321"/>
      <c r="E13" s="139"/>
      <c r="F13" s="139"/>
    </row>
    <row r="14" spans="1:6" s="221" customFormat="1" ht="12" customHeight="1" x14ac:dyDescent="0.2">
      <c r="A14" s="13" t="s">
        <v>106</v>
      </c>
      <c r="B14" s="223" t="s">
        <v>196</v>
      </c>
      <c r="C14" s="368">
        <f t="shared" si="0"/>
        <v>0</v>
      </c>
      <c r="D14" s="125"/>
      <c r="E14" s="138"/>
      <c r="F14" s="138"/>
    </row>
    <row r="15" spans="1:6" s="221" customFormat="1" ht="12" customHeight="1" x14ac:dyDescent="0.2">
      <c r="A15" s="13" t="s">
        <v>107</v>
      </c>
      <c r="B15" s="223" t="s">
        <v>365</v>
      </c>
      <c r="C15" s="363">
        <f t="shared" si="0"/>
        <v>0</v>
      </c>
      <c r="D15" s="125"/>
      <c r="E15" s="138"/>
      <c r="F15" s="138"/>
    </row>
    <row r="16" spans="1:6" s="221" customFormat="1" ht="12" customHeight="1" x14ac:dyDescent="0.2">
      <c r="A16" s="13" t="s">
        <v>108</v>
      </c>
      <c r="B16" s="223" t="s">
        <v>366</v>
      </c>
      <c r="C16" s="363">
        <f t="shared" si="0"/>
        <v>0</v>
      </c>
      <c r="D16" s="125"/>
      <c r="E16" s="138"/>
      <c r="F16" s="138"/>
    </row>
    <row r="17" spans="1:6" s="221" customFormat="1" ht="12" customHeight="1" x14ac:dyDescent="0.2">
      <c r="A17" s="13" t="s">
        <v>109</v>
      </c>
      <c r="B17" s="223" t="s">
        <v>197</v>
      </c>
      <c r="C17" s="499">
        <f t="shared" si="0"/>
        <v>130072486</v>
      </c>
      <c r="D17" s="296">
        <f>4320000+24250000-344442+85531256+1831815+11367000</f>
        <v>126955629</v>
      </c>
      <c r="E17" s="298">
        <f>3096237+20620</f>
        <v>3116857</v>
      </c>
      <c r="F17" s="141"/>
    </row>
    <row r="18" spans="1:6" s="221" customFormat="1" ht="12" customHeight="1" thickBot="1" x14ac:dyDescent="0.25">
      <c r="A18" s="15" t="s">
        <v>118</v>
      </c>
      <c r="B18" s="134" t="s">
        <v>198</v>
      </c>
      <c r="C18" s="364">
        <f t="shared" si="0"/>
        <v>85531256</v>
      </c>
      <c r="D18" s="126">
        <v>85531256</v>
      </c>
      <c r="E18" s="211"/>
      <c r="F18" s="211"/>
    </row>
    <row r="19" spans="1:6" s="221" customFormat="1" ht="12" customHeight="1" thickBot="1" x14ac:dyDescent="0.25">
      <c r="A19" s="19" t="s">
        <v>25</v>
      </c>
      <c r="B19" s="20" t="s">
        <v>199</v>
      </c>
      <c r="C19" s="137">
        <f t="shared" si="0"/>
        <v>68947847</v>
      </c>
      <c r="D19" s="319">
        <f>+D20+D21+D22+D23+D24</f>
        <v>68947847</v>
      </c>
      <c r="E19" s="137">
        <f>+E20+E21+E22+E23+E24</f>
        <v>0</v>
      </c>
      <c r="F19" s="137">
        <f>+F20+F21+F22+F23+F24</f>
        <v>0</v>
      </c>
    </row>
    <row r="20" spans="1:6" s="221" customFormat="1" ht="12" customHeight="1" x14ac:dyDescent="0.2">
      <c r="A20" s="14" t="s">
        <v>88</v>
      </c>
      <c r="B20" s="222" t="s">
        <v>200</v>
      </c>
      <c r="C20" s="217">
        <f t="shared" si="0"/>
        <v>0</v>
      </c>
      <c r="D20" s="325"/>
      <c r="E20" s="295"/>
      <c r="F20" s="295"/>
    </row>
    <row r="21" spans="1:6" s="221" customFormat="1" ht="12" customHeight="1" x14ac:dyDescent="0.2">
      <c r="A21" s="13" t="s">
        <v>89</v>
      </c>
      <c r="B21" s="223" t="s">
        <v>201</v>
      </c>
      <c r="C21" s="368">
        <f t="shared" si="0"/>
        <v>0</v>
      </c>
      <c r="D21" s="296"/>
      <c r="E21" s="141"/>
      <c r="F21" s="141"/>
    </row>
    <row r="22" spans="1:6" s="221" customFormat="1" ht="12" customHeight="1" x14ac:dyDescent="0.2">
      <c r="A22" s="13" t="s">
        <v>90</v>
      </c>
      <c r="B22" s="223" t="s">
        <v>367</v>
      </c>
      <c r="C22" s="363">
        <f t="shared" si="0"/>
        <v>0</v>
      </c>
      <c r="D22" s="296"/>
      <c r="E22" s="141"/>
      <c r="F22" s="141"/>
    </row>
    <row r="23" spans="1:6" s="221" customFormat="1" ht="12" customHeight="1" x14ac:dyDescent="0.2">
      <c r="A23" s="13" t="s">
        <v>91</v>
      </c>
      <c r="B23" s="223" t="s">
        <v>368</v>
      </c>
      <c r="C23" s="363">
        <f t="shared" si="0"/>
        <v>0</v>
      </c>
      <c r="D23" s="296"/>
      <c r="E23" s="141"/>
      <c r="F23" s="141"/>
    </row>
    <row r="24" spans="1:6" s="221" customFormat="1" ht="12" customHeight="1" x14ac:dyDescent="0.2">
      <c r="A24" s="13" t="s">
        <v>136</v>
      </c>
      <c r="B24" s="223" t="s">
        <v>202</v>
      </c>
      <c r="C24" s="363">
        <f t="shared" si="0"/>
        <v>68947847</v>
      </c>
      <c r="D24" s="296">
        <f>5866130+3779393+3796748+55505576</f>
        <v>68947847</v>
      </c>
      <c r="E24" s="141"/>
      <c r="F24" s="141"/>
    </row>
    <row r="25" spans="1:6" s="221" customFormat="1" ht="12" customHeight="1" thickBot="1" x14ac:dyDescent="0.25">
      <c r="A25" s="15" t="s">
        <v>137</v>
      </c>
      <c r="B25" s="224" t="s">
        <v>203</v>
      </c>
      <c r="C25" s="364">
        <f t="shared" si="0"/>
        <v>68947847</v>
      </c>
      <c r="D25" s="300">
        <f>9645523+3796748+55505576</f>
        <v>68947847</v>
      </c>
      <c r="E25" s="211"/>
      <c r="F25" s="140"/>
    </row>
    <row r="26" spans="1:6" s="221" customFormat="1" ht="12" customHeight="1" thickBot="1" x14ac:dyDescent="0.25">
      <c r="A26" s="19" t="s">
        <v>138</v>
      </c>
      <c r="B26" s="20" t="s">
        <v>204</v>
      </c>
      <c r="C26" s="137">
        <f t="shared" si="0"/>
        <v>352658000</v>
      </c>
      <c r="D26" s="322">
        <f>+D27+D31+D32+D33</f>
        <v>352658000</v>
      </c>
      <c r="E26" s="142">
        <f>+E27+E31+E32+E33</f>
        <v>0</v>
      </c>
      <c r="F26" s="142">
        <f>+F27+F31+F32+F33</f>
        <v>0</v>
      </c>
    </row>
    <row r="27" spans="1:6" s="221" customFormat="1" ht="12" customHeight="1" x14ac:dyDescent="0.2">
      <c r="A27" s="14" t="s">
        <v>205</v>
      </c>
      <c r="B27" s="222" t="s">
        <v>476</v>
      </c>
      <c r="C27" s="217">
        <f t="shared" si="0"/>
        <v>308654000</v>
      </c>
      <c r="D27" s="352">
        <f>SUM(D28:D30)</f>
        <v>308654000</v>
      </c>
      <c r="E27" s="217"/>
      <c r="F27" s="217"/>
    </row>
    <row r="28" spans="1:6" s="221" customFormat="1" ht="12" customHeight="1" x14ac:dyDescent="0.2">
      <c r="A28" s="13" t="s">
        <v>206</v>
      </c>
      <c r="B28" s="223" t="s">
        <v>211</v>
      </c>
      <c r="C28" s="368">
        <f t="shared" si="0"/>
        <v>77500000</v>
      </c>
      <c r="D28" s="125">
        <v>77500000</v>
      </c>
      <c r="E28" s="138"/>
      <c r="F28" s="138"/>
    </row>
    <row r="29" spans="1:6" s="221" customFormat="1" ht="12" customHeight="1" x14ac:dyDescent="0.2">
      <c r="A29" s="13" t="s">
        <v>207</v>
      </c>
      <c r="B29" s="223" t="s">
        <v>578</v>
      </c>
      <c r="C29" s="363">
        <f t="shared" si="0"/>
        <v>231154000</v>
      </c>
      <c r="D29" s="125">
        <v>231154000</v>
      </c>
      <c r="E29" s="138"/>
      <c r="F29" s="138"/>
    </row>
    <row r="30" spans="1:6" s="221" customFormat="1" ht="12" customHeight="1" x14ac:dyDescent="0.2">
      <c r="A30" s="13" t="s">
        <v>477</v>
      </c>
      <c r="B30" s="223" t="s">
        <v>575</v>
      </c>
      <c r="C30" s="368">
        <f t="shared" si="0"/>
        <v>0</v>
      </c>
      <c r="D30" s="296"/>
      <c r="E30" s="141"/>
      <c r="F30" s="141"/>
    </row>
    <row r="31" spans="1:6" s="221" customFormat="1" ht="12" customHeight="1" x14ac:dyDescent="0.2">
      <c r="A31" s="13" t="s">
        <v>208</v>
      </c>
      <c r="B31" s="223" t="s">
        <v>213</v>
      </c>
      <c r="C31" s="363">
        <f t="shared" si="0"/>
        <v>28000000</v>
      </c>
      <c r="D31" s="125">
        <v>28000000</v>
      </c>
      <c r="E31" s="138"/>
      <c r="F31" s="141"/>
    </row>
    <row r="32" spans="1:6" s="221" customFormat="1" ht="12" customHeight="1" x14ac:dyDescent="0.2">
      <c r="A32" s="13" t="s">
        <v>209</v>
      </c>
      <c r="B32" s="223" t="s">
        <v>214</v>
      </c>
      <c r="C32" s="363">
        <f t="shared" si="0"/>
        <v>4000</v>
      </c>
      <c r="D32" s="125">
        <f>4504000-4500000</f>
        <v>4000</v>
      </c>
      <c r="E32" s="138"/>
      <c r="F32" s="141"/>
    </row>
    <row r="33" spans="1:6" s="221" customFormat="1" ht="12" customHeight="1" thickBot="1" x14ac:dyDescent="0.25">
      <c r="A33" s="15" t="s">
        <v>210</v>
      </c>
      <c r="B33" s="224" t="s">
        <v>215</v>
      </c>
      <c r="C33" s="364">
        <f t="shared" si="0"/>
        <v>16000000</v>
      </c>
      <c r="D33" s="300">
        <f>11500000+4500000</f>
        <v>16000000</v>
      </c>
      <c r="E33" s="211"/>
      <c r="F33" s="211"/>
    </row>
    <row r="34" spans="1:6" s="221" customFormat="1" ht="12" customHeight="1" thickBot="1" x14ac:dyDescent="0.25">
      <c r="A34" s="19" t="s">
        <v>27</v>
      </c>
      <c r="B34" s="20" t="s">
        <v>479</v>
      </c>
      <c r="C34" s="137">
        <f t="shared" si="0"/>
        <v>242004210</v>
      </c>
      <c r="D34" s="319">
        <f>SUM(D35:D45)</f>
        <v>36302398</v>
      </c>
      <c r="E34" s="137">
        <f>SUM(E35:E45)</f>
        <v>2005440</v>
      </c>
      <c r="F34" s="137">
        <f>SUM(F35:F45)</f>
        <v>203696372</v>
      </c>
    </row>
    <row r="35" spans="1:6" s="221" customFormat="1" ht="12" customHeight="1" x14ac:dyDescent="0.2">
      <c r="A35" s="14" t="s">
        <v>92</v>
      </c>
      <c r="B35" s="222" t="s">
        <v>218</v>
      </c>
      <c r="C35" s="362">
        <f t="shared" si="0"/>
        <v>20000</v>
      </c>
      <c r="D35" s="325"/>
      <c r="E35" s="260"/>
      <c r="F35" s="260">
        <v>20000</v>
      </c>
    </row>
    <row r="36" spans="1:6" s="221" customFormat="1" ht="12" customHeight="1" x14ac:dyDescent="0.2">
      <c r="A36" s="13" t="s">
        <v>93</v>
      </c>
      <c r="B36" s="223" t="s">
        <v>219</v>
      </c>
      <c r="C36" s="363">
        <f t="shared" si="0"/>
        <v>69094797</v>
      </c>
      <c r="D36" s="296">
        <f>13910169+100000+7239600</f>
        <v>21249769</v>
      </c>
      <c r="E36" s="141">
        <f>1198440+380000</f>
        <v>1578440</v>
      </c>
      <c r="F36" s="260">
        <v>46266588</v>
      </c>
    </row>
    <row r="37" spans="1:6" s="221" customFormat="1" ht="12" customHeight="1" x14ac:dyDescent="0.2">
      <c r="A37" s="13" t="s">
        <v>94</v>
      </c>
      <c r="B37" s="223" t="s">
        <v>220</v>
      </c>
      <c r="C37" s="363">
        <f t="shared" si="0"/>
        <v>90069200</v>
      </c>
      <c r="D37" s="296">
        <f>500000+300000+50000+1400000+947000+300000+52200</f>
        <v>3549200</v>
      </c>
      <c r="E37" s="141"/>
      <c r="F37" s="260">
        <v>86520000</v>
      </c>
    </row>
    <row r="38" spans="1:6" s="221" customFormat="1" ht="12" customHeight="1" x14ac:dyDescent="0.2">
      <c r="A38" s="13" t="s">
        <v>140</v>
      </c>
      <c r="B38" s="223" t="s">
        <v>221</v>
      </c>
      <c r="C38" s="363">
        <f t="shared" si="0"/>
        <v>430000</v>
      </c>
      <c r="D38" s="296">
        <v>430000</v>
      </c>
      <c r="E38" s="141"/>
      <c r="F38" s="260"/>
    </row>
    <row r="39" spans="1:6" s="221" customFormat="1" ht="12" customHeight="1" x14ac:dyDescent="0.2">
      <c r="A39" s="13" t="s">
        <v>141</v>
      </c>
      <c r="B39" s="223" t="s">
        <v>222</v>
      </c>
      <c r="C39" s="363">
        <f t="shared" si="0"/>
        <v>21166618</v>
      </c>
      <c r="D39" s="296"/>
      <c r="E39" s="141"/>
      <c r="F39" s="260">
        <v>21166618</v>
      </c>
    </row>
    <row r="40" spans="1:6" s="221" customFormat="1" ht="12" customHeight="1" x14ac:dyDescent="0.2">
      <c r="A40" s="13" t="s">
        <v>142</v>
      </c>
      <c r="B40" s="223" t="s">
        <v>223</v>
      </c>
      <c r="C40" s="363">
        <f t="shared" si="0"/>
        <v>40305452</v>
      </c>
      <c r="D40" s="296">
        <f>5162000+81000+13500+378000+81000+14094+682000+1954692</f>
        <v>8366286</v>
      </c>
      <c r="E40" s="141">
        <f>324000+103000</f>
        <v>427000</v>
      </c>
      <c r="F40" s="260">
        <v>31512166</v>
      </c>
    </row>
    <row r="41" spans="1:6" s="221" customFormat="1" ht="12" customHeight="1" x14ac:dyDescent="0.2">
      <c r="A41" s="13" t="s">
        <v>143</v>
      </c>
      <c r="B41" s="223" t="s">
        <v>224</v>
      </c>
      <c r="C41" s="363">
        <f t="shared" si="0"/>
        <v>18210000</v>
      </c>
      <c r="D41" s="296"/>
      <c r="E41" s="141"/>
      <c r="F41" s="260">
        <v>18210000</v>
      </c>
    </row>
    <row r="42" spans="1:6" s="221" customFormat="1" ht="12" customHeight="1" x14ac:dyDescent="0.2">
      <c r="A42" s="13" t="s">
        <v>144</v>
      </c>
      <c r="B42" s="223" t="s">
        <v>587</v>
      </c>
      <c r="C42" s="363">
        <f t="shared" si="0"/>
        <v>31000</v>
      </c>
      <c r="D42" s="296">
        <v>30000</v>
      </c>
      <c r="E42" s="141"/>
      <c r="F42" s="260">
        <v>1000</v>
      </c>
    </row>
    <row r="43" spans="1:6" s="221" customFormat="1" ht="12" customHeight="1" x14ac:dyDescent="0.2">
      <c r="A43" s="13" t="s">
        <v>216</v>
      </c>
      <c r="B43" s="223" t="s">
        <v>226</v>
      </c>
      <c r="C43" s="363">
        <f t="shared" si="0"/>
        <v>0</v>
      </c>
      <c r="D43" s="296"/>
      <c r="E43" s="141"/>
      <c r="F43" s="260"/>
    </row>
    <row r="44" spans="1:6" s="221" customFormat="1" ht="12" customHeight="1" x14ac:dyDescent="0.2">
      <c r="A44" s="15" t="s">
        <v>217</v>
      </c>
      <c r="B44" s="224" t="s">
        <v>480</v>
      </c>
      <c r="C44" s="363">
        <f t="shared" si="0"/>
        <v>500000</v>
      </c>
      <c r="D44" s="300">
        <v>500000</v>
      </c>
      <c r="E44" s="211"/>
      <c r="F44" s="211"/>
    </row>
    <row r="45" spans="1:6" s="221" customFormat="1" ht="12" customHeight="1" thickBot="1" x14ac:dyDescent="0.25">
      <c r="A45" s="15" t="s">
        <v>481</v>
      </c>
      <c r="B45" s="134" t="s">
        <v>227</v>
      </c>
      <c r="C45" s="364">
        <f t="shared" si="0"/>
        <v>2177143</v>
      </c>
      <c r="D45" s="300">
        <f>600000+1577143</f>
        <v>2177143</v>
      </c>
      <c r="E45" s="211"/>
      <c r="F45" s="311"/>
    </row>
    <row r="46" spans="1:6" s="221" customFormat="1" ht="12" customHeight="1" thickBot="1" x14ac:dyDescent="0.25">
      <c r="A46" s="19" t="s">
        <v>28</v>
      </c>
      <c r="B46" s="20" t="s">
        <v>228</v>
      </c>
      <c r="C46" s="137">
        <f t="shared" si="0"/>
        <v>30332500</v>
      </c>
      <c r="D46" s="319">
        <f>SUM(D47:D51)</f>
        <v>30332500</v>
      </c>
      <c r="E46" s="137">
        <f>SUM(E47:E51)</f>
        <v>0</v>
      </c>
      <c r="F46" s="137">
        <f>SUM(F47:F51)</f>
        <v>0</v>
      </c>
    </row>
    <row r="47" spans="1:6" s="221" customFormat="1" ht="12" customHeight="1" x14ac:dyDescent="0.2">
      <c r="A47" s="14" t="s">
        <v>95</v>
      </c>
      <c r="B47" s="222" t="s">
        <v>232</v>
      </c>
      <c r="C47" s="217">
        <f t="shared" si="0"/>
        <v>0</v>
      </c>
      <c r="D47" s="325"/>
      <c r="E47" s="260"/>
      <c r="F47" s="260"/>
    </row>
    <row r="48" spans="1:6" s="221" customFormat="1" ht="12" customHeight="1" x14ac:dyDescent="0.2">
      <c r="A48" s="13" t="s">
        <v>96</v>
      </c>
      <c r="B48" s="223" t="s">
        <v>233</v>
      </c>
      <c r="C48" s="368">
        <f>SUM(D48:F48)</f>
        <v>30332500</v>
      </c>
      <c r="D48" s="296">
        <v>30332500</v>
      </c>
      <c r="E48" s="141"/>
      <c r="F48" s="141"/>
    </row>
    <row r="49" spans="1:6" s="221" customFormat="1" ht="12" customHeight="1" x14ac:dyDescent="0.2">
      <c r="A49" s="13" t="s">
        <v>229</v>
      </c>
      <c r="B49" s="223" t="s">
        <v>234</v>
      </c>
      <c r="C49" s="368">
        <f t="shared" si="0"/>
        <v>0</v>
      </c>
      <c r="D49" s="296"/>
      <c r="E49" s="141"/>
      <c r="F49" s="141"/>
    </row>
    <row r="50" spans="1:6" s="221" customFormat="1" ht="12" customHeight="1" x14ac:dyDescent="0.2">
      <c r="A50" s="13" t="s">
        <v>230</v>
      </c>
      <c r="B50" s="223" t="s">
        <v>235</v>
      </c>
      <c r="C50" s="368">
        <f t="shared" si="0"/>
        <v>0</v>
      </c>
      <c r="D50" s="296"/>
      <c r="E50" s="141"/>
      <c r="F50" s="141"/>
    </row>
    <row r="51" spans="1:6" s="221" customFormat="1" ht="12" customHeight="1" thickBot="1" x14ac:dyDescent="0.25">
      <c r="A51" s="15" t="s">
        <v>231</v>
      </c>
      <c r="B51" s="134" t="s">
        <v>236</v>
      </c>
      <c r="C51" s="369">
        <f t="shared" si="0"/>
        <v>0</v>
      </c>
      <c r="D51" s="300"/>
      <c r="E51" s="211"/>
      <c r="F51" s="211"/>
    </row>
    <row r="52" spans="1:6" s="221" customFormat="1" ht="12" customHeight="1" thickBot="1" x14ac:dyDescent="0.25">
      <c r="A52" s="19" t="s">
        <v>145</v>
      </c>
      <c r="B52" s="20" t="s">
        <v>237</v>
      </c>
      <c r="C52" s="137">
        <f t="shared" si="0"/>
        <v>2950000</v>
      </c>
      <c r="D52" s="319">
        <f>SUM(D53:D55)</f>
        <v>2950000</v>
      </c>
      <c r="E52" s="137">
        <f>SUM(E53:E55)</f>
        <v>0</v>
      </c>
      <c r="F52" s="137">
        <f>SUM(F53:F55)</f>
        <v>0</v>
      </c>
    </row>
    <row r="53" spans="1:6" s="221" customFormat="1" ht="12" customHeight="1" x14ac:dyDescent="0.2">
      <c r="A53" s="14" t="s">
        <v>97</v>
      </c>
      <c r="B53" s="222" t="s">
        <v>238</v>
      </c>
      <c r="C53" s="217">
        <f t="shared" si="0"/>
        <v>0</v>
      </c>
      <c r="D53" s="321"/>
      <c r="E53" s="139"/>
      <c r="F53" s="139"/>
    </row>
    <row r="54" spans="1:6" s="221" customFormat="1" ht="12" customHeight="1" x14ac:dyDescent="0.2">
      <c r="A54" s="13" t="s">
        <v>98</v>
      </c>
      <c r="B54" s="223" t="s">
        <v>369</v>
      </c>
      <c r="C54" s="363">
        <f t="shared" si="0"/>
        <v>0</v>
      </c>
      <c r="D54" s="296"/>
      <c r="E54" s="141"/>
      <c r="F54" s="141"/>
    </row>
    <row r="55" spans="1:6" s="221" customFormat="1" ht="12" customHeight="1" x14ac:dyDescent="0.2">
      <c r="A55" s="13" t="s">
        <v>241</v>
      </c>
      <c r="B55" s="223" t="s">
        <v>239</v>
      </c>
      <c r="C55" s="363">
        <f t="shared" si="0"/>
        <v>2950000</v>
      </c>
      <c r="D55" s="296">
        <f>2900000+20000+30000</f>
        <v>2950000</v>
      </c>
      <c r="E55" s="141"/>
      <c r="F55" s="141"/>
    </row>
    <row r="56" spans="1:6" s="221" customFormat="1" ht="12" customHeight="1" thickBot="1" x14ac:dyDescent="0.25">
      <c r="A56" s="15" t="s">
        <v>242</v>
      </c>
      <c r="B56" s="134" t="s">
        <v>240</v>
      </c>
      <c r="C56" s="364">
        <f t="shared" si="0"/>
        <v>0</v>
      </c>
      <c r="D56" s="126"/>
      <c r="E56" s="140"/>
      <c r="F56" s="140"/>
    </row>
    <row r="57" spans="1:6" s="221" customFormat="1" ht="12" customHeight="1" thickBot="1" x14ac:dyDescent="0.25">
      <c r="A57" s="19" t="s">
        <v>30</v>
      </c>
      <c r="B57" s="132" t="s">
        <v>243</v>
      </c>
      <c r="C57" s="370">
        <f t="shared" si="0"/>
        <v>0</v>
      </c>
      <c r="D57" s="319">
        <f>SUM(D58:D60)</f>
        <v>0</v>
      </c>
      <c r="E57" s="137">
        <f>SUM(E58:E60)</f>
        <v>0</v>
      </c>
      <c r="F57" s="137">
        <f>SUM(F58:F60)</f>
        <v>0</v>
      </c>
    </row>
    <row r="58" spans="1:6" s="221" customFormat="1" ht="12" customHeight="1" x14ac:dyDescent="0.2">
      <c r="A58" s="14" t="s">
        <v>146</v>
      </c>
      <c r="B58" s="222" t="s">
        <v>245</v>
      </c>
      <c r="C58" s="217">
        <f t="shared" si="0"/>
        <v>0</v>
      </c>
      <c r="D58" s="296"/>
      <c r="E58" s="141"/>
      <c r="F58" s="141"/>
    </row>
    <row r="59" spans="1:6" s="221" customFormat="1" ht="12" customHeight="1" x14ac:dyDescent="0.2">
      <c r="A59" s="13" t="s">
        <v>147</v>
      </c>
      <c r="B59" s="223" t="s">
        <v>370</v>
      </c>
      <c r="C59" s="363">
        <f t="shared" si="0"/>
        <v>0</v>
      </c>
      <c r="D59" s="296"/>
      <c r="E59" s="141"/>
      <c r="F59" s="141"/>
    </row>
    <row r="60" spans="1:6" s="221" customFormat="1" ht="12" customHeight="1" x14ac:dyDescent="0.2">
      <c r="A60" s="13" t="s">
        <v>169</v>
      </c>
      <c r="B60" s="223" t="s">
        <v>246</v>
      </c>
      <c r="C60" s="363">
        <f t="shared" si="0"/>
        <v>0</v>
      </c>
      <c r="D60" s="296"/>
      <c r="E60" s="141"/>
      <c r="F60" s="141"/>
    </row>
    <row r="61" spans="1:6" s="221" customFormat="1" ht="12" customHeight="1" thickBot="1" x14ac:dyDescent="0.25">
      <c r="A61" s="15" t="s">
        <v>244</v>
      </c>
      <c r="B61" s="134" t="s">
        <v>247</v>
      </c>
      <c r="C61" s="369">
        <f t="shared" si="0"/>
        <v>0</v>
      </c>
      <c r="D61" s="296"/>
      <c r="E61" s="141"/>
      <c r="F61" s="141"/>
    </row>
    <row r="62" spans="1:6" s="221" customFormat="1" ht="12" customHeight="1" thickBot="1" x14ac:dyDescent="0.25">
      <c r="A62" s="279" t="s">
        <v>482</v>
      </c>
      <c r="B62" s="20" t="s">
        <v>248</v>
      </c>
      <c r="C62" s="137">
        <f t="shared" si="0"/>
        <v>1960001824</v>
      </c>
      <c r="D62" s="322">
        <f>+D5+D12+D19+D26+D34+D46+D52+D57</f>
        <v>1751183155</v>
      </c>
      <c r="E62" s="142">
        <f>+E5+E12+E19+E26+E34+E46+E52+E57</f>
        <v>5122297</v>
      </c>
      <c r="F62" s="142">
        <f>+F5+F12+F19+F26+F34+F46+F52+F57</f>
        <v>203696372</v>
      </c>
    </row>
    <row r="63" spans="1:6" s="221" customFormat="1" ht="12" customHeight="1" thickBot="1" x14ac:dyDescent="0.25">
      <c r="A63" s="280" t="s">
        <v>249</v>
      </c>
      <c r="B63" s="132" t="s">
        <v>250</v>
      </c>
      <c r="C63" s="370">
        <f t="shared" si="0"/>
        <v>193478462</v>
      </c>
      <c r="D63" s="319">
        <f>SUM(D64:D66)</f>
        <v>193478462</v>
      </c>
      <c r="E63" s="137">
        <f>SUM(E64:E66)</f>
        <v>0</v>
      </c>
      <c r="F63" s="137">
        <f>SUM(F64:F66)</f>
        <v>0</v>
      </c>
    </row>
    <row r="64" spans="1:6" s="221" customFormat="1" ht="12" customHeight="1" x14ac:dyDescent="0.2">
      <c r="A64" s="14" t="s">
        <v>281</v>
      </c>
      <c r="B64" s="222" t="s">
        <v>251</v>
      </c>
      <c r="C64" s="217">
        <f t="shared" si="0"/>
        <v>93478462</v>
      </c>
      <c r="D64" s="296">
        <v>93478462</v>
      </c>
      <c r="E64" s="141"/>
      <c r="F64" s="141"/>
    </row>
    <row r="65" spans="1:6" s="221" customFormat="1" ht="12" customHeight="1" x14ac:dyDescent="0.2">
      <c r="A65" s="13" t="s">
        <v>290</v>
      </c>
      <c r="B65" s="223" t="s">
        <v>252</v>
      </c>
      <c r="C65" s="368">
        <f t="shared" si="0"/>
        <v>100000000</v>
      </c>
      <c r="D65" s="296">
        <v>100000000</v>
      </c>
      <c r="E65" s="141"/>
      <c r="F65" s="141"/>
    </row>
    <row r="66" spans="1:6" s="221" customFormat="1" ht="12" customHeight="1" thickBot="1" x14ac:dyDescent="0.25">
      <c r="A66" s="15" t="s">
        <v>291</v>
      </c>
      <c r="B66" s="281" t="s">
        <v>483</v>
      </c>
      <c r="C66" s="369">
        <f t="shared" si="0"/>
        <v>0</v>
      </c>
      <c r="D66" s="296"/>
      <c r="E66" s="141"/>
      <c r="F66" s="141"/>
    </row>
    <row r="67" spans="1:6" s="221" customFormat="1" ht="12" customHeight="1" thickBot="1" x14ac:dyDescent="0.25">
      <c r="A67" s="280" t="s">
        <v>254</v>
      </c>
      <c r="B67" s="132" t="s">
        <v>255</v>
      </c>
      <c r="C67" s="370">
        <f t="shared" si="0"/>
        <v>0</v>
      </c>
      <c r="D67" s="319">
        <f>SUM(D68:D71)</f>
        <v>0</v>
      </c>
      <c r="E67" s="137">
        <f>SUM(E68:E71)</f>
        <v>0</v>
      </c>
      <c r="F67" s="137">
        <f>SUM(F68:F71)</f>
        <v>0</v>
      </c>
    </row>
    <row r="68" spans="1:6" s="221" customFormat="1" ht="12" customHeight="1" x14ac:dyDescent="0.2">
      <c r="A68" s="14" t="s">
        <v>126</v>
      </c>
      <c r="B68" s="222" t="s">
        <v>256</v>
      </c>
      <c r="C68" s="217">
        <f t="shared" si="0"/>
        <v>0</v>
      </c>
      <c r="D68" s="296"/>
      <c r="E68" s="141"/>
      <c r="F68" s="141"/>
    </row>
    <row r="69" spans="1:6" s="221" customFormat="1" ht="12" customHeight="1" x14ac:dyDescent="0.2">
      <c r="A69" s="13" t="s">
        <v>127</v>
      </c>
      <c r="B69" s="223" t="s">
        <v>257</v>
      </c>
      <c r="C69" s="368">
        <f t="shared" ref="C69:C87" si="1">SUM(D69:F69)</f>
        <v>0</v>
      </c>
      <c r="D69" s="296"/>
      <c r="E69" s="141"/>
      <c r="F69" s="141"/>
    </row>
    <row r="70" spans="1:6" s="221" customFormat="1" ht="12" customHeight="1" x14ac:dyDescent="0.2">
      <c r="A70" s="13" t="s">
        <v>282</v>
      </c>
      <c r="B70" s="223" t="s">
        <v>258</v>
      </c>
      <c r="C70" s="368">
        <f t="shared" si="1"/>
        <v>0</v>
      </c>
      <c r="D70" s="296"/>
      <c r="E70" s="141"/>
      <c r="F70" s="141"/>
    </row>
    <row r="71" spans="1:6" s="221" customFormat="1" ht="12" customHeight="1" thickBot="1" x14ac:dyDescent="0.25">
      <c r="A71" s="15" t="s">
        <v>283</v>
      </c>
      <c r="B71" s="134" t="s">
        <v>259</v>
      </c>
      <c r="C71" s="369">
        <f t="shared" si="1"/>
        <v>0</v>
      </c>
      <c r="D71" s="296"/>
      <c r="E71" s="141"/>
      <c r="F71" s="141"/>
    </row>
    <row r="72" spans="1:6" s="221" customFormat="1" ht="12" customHeight="1" thickBot="1" x14ac:dyDescent="0.25">
      <c r="A72" s="280" t="s">
        <v>260</v>
      </c>
      <c r="B72" s="132" t="s">
        <v>261</v>
      </c>
      <c r="C72" s="137">
        <f t="shared" si="1"/>
        <v>602650240</v>
      </c>
      <c r="D72" s="319">
        <f>SUM(D73:D74)</f>
        <v>594503730</v>
      </c>
      <c r="E72" s="137">
        <f>SUM(E73:E74)</f>
        <v>3212174</v>
      </c>
      <c r="F72" s="137">
        <f>SUM(F73:F74)</f>
        <v>4934336</v>
      </c>
    </row>
    <row r="73" spans="1:6" s="221" customFormat="1" ht="12" customHeight="1" x14ac:dyDescent="0.2">
      <c r="A73" s="14" t="s">
        <v>284</v>
      </c>
      <c r="B73" s="222" t="s">
        <v>262</v>
      </c>
      <c r="C73" s="362">
        <f t="shared" si="1"/>
        <v>602650240</v>
      </c>
      <c r="D73" s="296">
        <f>569119704-28+25384054</f>
        <v>594503730</v>
      </c>
      <c r="E73" s="141">
        <f>3148853+63321</f>
        <v>3212174</v>
      </c>
      <c r="F73" s="141">
        <v>4934336</v>
      </c>
    </row>
    <row r="74" spans="1:6" s="221" customFormat="1" ht="12" customHeight="1" thickBot="1" x14ac:dyDescent="0.25">
      <c r="A74" s="15" t="s">
        <v>285</v>
      </c>
      <c r="B74" s="134" t="s">
        <v>263</v>
      </c>
      <c r="C74" s="369">
        <f t="shared" si="1"/>
        <v>0</v>
      </c>
      <c r="D74" s="296"/>
      <c r="E74" s="141"/>
      <c r="F74" s="141"/>
    </row>
    <row r="75" spans="1:6" s="221" customFormat="1" ht="12" customHeight="1" thickBot="1" x14ac:dyDescent="0.25">
      <c r="A75" s="280" t="s">
        <v>264</v>
      </c>
      <c r="B75" s="132" t="s">
        <v>265</v>
      </c>
      <c r="C75" s="370">
        <f t="shared" si="1"/>
        <v>0</v>
      </c>
      <c r="D75" s="319">
        <f>SUM(D76:D78)</f>
        <v>0</v>
      </c>
      <c r="E75" s="137">
        <f>SUM(E76:E78)</f>
        <v>0</v>
      </c>
      <c r="F75" s="137">
        <f>SUM(F76:F78)</f>
        <v>0</v>
      </c>
    </row>
    <row r="76" spans="1:6" s="221" customFormat="1" ht="12" customHeight="1" x14ac:dyDescent="0.2">
      <c r="A76" s="14" t="s">
        <v>286</v>
      </c>
      <c r="B76" s="222" t="s">
        <v>266</v>
      </c>
      <c r="C76" s="217">
        <f t="shared" si="1"/>
        <v>0</v>
      </c>
      <c r="D76" s="296"/>
      <c r="E76" s="141"/>
      <c r="F76" s="141"/>
    </row>
    <row r="77" spans="1:6" s="221" customFormat="1" ht="12" customHeight="1" x14ac:dyDescent="0.2">
      <c r="A77" s="13" t="s">
        <v>287</v>
      </c>
      <c r="B77" s="223" t="s">
        <v>267</v>
      </c>
      <c r="C77" s="368">
        <f t="shared" si="1"/>
        <v>0</v>
      </c>
      <c r="D77" s="296"/>
      <c r="E77" s="141"/>
      <c r="F77" s="141"/>
    </row>
    <row r="78" spans="1:6" s="221" customFormat="1" ht="12" customHeight="1" thickBot="1" x14ac:dyDescent="0.25">
      <c r="A78" s="15" t="s">
        <v>288</v>
      </c>
      <c r="B78" s="134" t="s">
        <v>268</v>
      </c>
      <c r="C78" s="369">
        <f t="shared" si="1"/>
        <v>0</v>
      </c>
      <c r="D78" s="296"/>
      <c r="E78" s="141"/>
      <c r="F78" s="141"/>
    </row>
    <row r="79" spans="1:6" s="221" customFormat="1" ht="12" customHeight="1" thickBot="1" x14ac:dyDescent="0.25">
      <c r="A79" s="280" t="s">
        <v>269</v>
      </c>
      <c r="B79" s="132" t="s">
        <v>289</v>
      </c>
      <c r="C79" s="370">
        <f t="shared" si="1"/>
        <v>0</v>
      </c>
      <c r="D79" s="319">
        <f>SUM(D80:D83)</f>
        <v>0</v>
      </c>
      <c r="E79" s="137">
        <f>SUM(E80:E83)</f>
        <v>0</v>
      </c>
      <c r="F79" s="137">
        <f>SUM(F80:F83)</f>
        <v>0</v>
      </c>
    </row>
    <row r="80" spans="1:6" s="221" customFormat="1" ht="12" customHeight="1" x14ac:dyDescent="0.2">
      <c r="A80" s="226" t="s">
        <v>270</v>
      </c>
      <c r="B80" s="222" t="s">
        <v>271</v>
      </c>
      <c r="C80" s="217">
        <f t="shared" si="1"/>
        <v>0</v>
      </c>
      <c r="D80" s="296"/>
      <c r="E80" s="141"/>
      <c r="F80" s="141"/>
    </row>
    <row r="81" spans="1:6" s="221" customFormat="1" ht="12" customHeight="1" x14ac:dyDescent="0.2">
      <c r="A81" s="227" t="s">
        <v>272</v>
      </c>
      <c r="B81" s="223" t="s">
        <v>273</v>
      </c>
      <c r="C81" s="368">
        <f t="shared" si="1"/>
        <v>0</v>
      </c>
      <c r="D81" s="296"/>
      <c r="E81" s="141"/>
      <c r="F81" s="141"/>
    </row>
    <row r="82" spans="1:6" s="221" customFormat="1" ht="12" customHeight="1" x14ac:dyDescent="0.2">
      <c r="A82" s="227" t="s">
        <v>274</v>
      </c>
      <c r="B82" s="223" t="s">
        <v>275</v>
      </c>
      <c r="C82" s="368">
        <f t="shared" si="1"/>
        <v>0</v>
      </c>
      <c r="D82" s="296"/>
      <c r="E82" s="141"/>
      <c r="F82" s="141"/>
    </row>
    <row r="83" spans="1:6" s="221" customFormat="1" ht="12" customHeight="1" thickBot="1" x14ac:dyDescent="0.25">
      <c r="A83" s="228" t="s">
        <v>276</v>
      </c>
      <c r="B83" s="134" t="s">
        <v>277</v>
      </c>
      <c r="C83" s="369">
        <f t="shared" si="1"/>
        <v>0</v>
      </c>
      <c r="D83" s="296"/>
      <c r="E83" s="141"/>
      <c r="F83" s="141"/>
    </row>
    <row r="84" spans="1:6" s="221" customFormat="1" ht="12" customHeight="1" thickBot="1" x14ac:dyDescent="0.25">
      <c r="A84" s="280" t="s">
        <v>278</v>
      </c>
      <c r="B84" s="132" t="s">
        <v>484</v>
      </c>
      <c r="C84" s="501">
        <f t="shared" si="1"/>
        <v>0</v>
      </c>
      <c r="D84" s="326"/>
      <c r="E84" s="261"/>
      <c r="F84" s="261"/>
    </row>
    <row r="85" spans="1:6" s="221" customFormat="1" ht="13.5" customHeight="1" thickBot="1" x14ac:dyDescent="0.25">
      <c r="A85" s="280" t="s">
        <v>280</v>
      </c>
      <c r="B85" s="132" t="s">
        <v>279</v>
      </c>
      <c r="C85" s="370">
        <f t="shared" si="1"/>
        <v>0</v>
      </c>
      <c r="D85" s="326"/>
      <c r="E85" s="261"/>
      <c r="F85" s="261"/>
    </row>
    <row r="86" spans="1:6" s="221" customFormat="1" ht="15.75" customHeight="1" thickBot="1" x14ac:dyDescent="0.25">
      <c r="A86" s="280" t="s">
        <v>292</v>
      </c>
      <c r="B86" s="229" t="s">
        <v>485</v>
      </c>
      <c r="C86" s="137">
        <f t="shared" si="1"/>
        <v>796128702</v>
      </c>
      <c r="D86" s="322">
        <f>+D63+D67+D72+D75+D79+D85+D84</f>
        <v>787982192</v>
      </c>
      <c r="E86" s="142">
        <f>+E63+E67+E72+E75+E79+E85+E84</f>
        <v>3212174</v>
      </c>
      <c r="F86" s="142">
        <f>+F63+F67+F72+F75+F79+F85+F84</f>
        <v>4934336</v>
      </c>
    </row>
    <row r="87" spans="1:6" s="221" customFormat="1" ht="16.5" customHeight="1" thickBot="1" x14ac:dyDescent="0.25">
      <c r="A87" s="282" t="s">
        <v>486</v>
      </c>
      <c r="B87" s="230" t="s">
        <v>487</v>
      </c>
      <c r="C87" s="286">
        <f t="shared" si="1"/>
        <v>2756130526</v>
      </c>
      <c r="D87" s="322">
        <f>+D62+D86</f>
        <v>2539165347</v>
      </c>
      <c r="E87" s="142">
        <f>+E62+E86</f>
        <v>8334471</v>
      </c>
      <c r="F87" s="142">
        <f>+F62+F86</f>
        <v>208630708</v>
      </c>
    </row>
    <row r="88" spans="1:6" s="221" customFormat="1" ht="83.25" customHeight="1" x14ac:dyDescent="0.2">
      <c r="A88" s="4"/>
      <c r="B88" s="5"/>
      <c r="C88" s="143"/>
    </row>
    <row r="89" spans="1:6" ht="16.5" customHeight="1" x14ac:dyDescent="0.25">
      <c r="A89" s="1003" t="s">
        <v>52</v>
      </c>
      <c r="B89" s="1003"/>
      <c r="C89" s="1003"/>
    </row>
    <row r="90" spans="1:6" s="231" customFormat="1" ht="16.5" customHeight="1" thickBot="1" x14ac:dyDescent="0.3">
      <c r="A90" s="1004" t="s">
        <v>129</v>
      </c>
      <c r="B90" s="1004"/>
      <c r="C90" s="79" t="s">
        <v>598</v>
      </c>
    </row>
    <row r="91" spans="1:6" ht="38.1" customHeight="1" thickBot="1" x14ac:dyDescent="0.3">
      <c r="A91" s="22" t="s">
        <v>74</v>
      </c>
      <c r="B91" s="23" t="s">
        <v>53</v>
      </c>
      <c r="C91" s="35" t="str">
        <f>+C3</f>
        <v>2018. évi előirányzat</v>
      </c>
    </row>
    <row r="92" spans="1:6" s="220" customFormat="1" ht="12" customHeight="1" thickBot="1" x14ac:dyDescent="0.25">
      <c r="A92" s="31" t="s">
        <v>471</v>
      </c>
      <c r="B92" s="32" t="s">
        <v>472</v>
      </c>
      <c r="C92" s="216" t="s">
        <v>473</v>
      </c>
    </row>
    <row r="93" spans="1:6" ht="12" customHeight="1" thickBot="1" x14ac:dyDescent="0.3">
      <c r="A93" s="21" t="s">
        <v>23</v>
      </c>
      <c r="B93" s="25" t="s">
        <v>525</v>
      </c>
      <c r="C93" s="137">
        <f t="shared" ref="C93:C154" si="2">SUM(D93:F93)</f>
        <v>1604874792</v>
      </c>
      <c r="D93" s="329">
        <f>+D94+D95+D96+D97+D98+D111</f>
        <v>647260273</v>
      </c>
      <c r="E93" s="136">
        <f>+E94+E95+E96+E97+E98+E111</f>
        <v>28774983</v>
      </c>
      <c r="F93" s="347">
        <f>F94+F95+F96+F97+F98+F111</f>
        <v>928839536</v>
      </c>
    </row>
    <row r="94" spans="1:6" ht="12" customHeight="1" x14ac:dyDescent="0.25">
      <c r="A94" s="16" t="s">
        <v>99</v>
      </c>
      <c r="B94" s="9" t="s">
        <v>54</v>
      </c>
      <c r="C94" s="500">
        <f t="shared" si="2"/>
        <v>520853966</v>
      </c>
      <c r="D94" s="353">
        <f>2854500+25097896+11111000+584100+20000+1182990+1095900-175365+408000-198000+58577+6274800+23800+450000-1077738+237552+1313740+277000-198000+10136586+100000+1757125+1407675+12000+972</f>
        <v>62755110</v>
      </c>
      <c r="E94" s="305">
        <f>481000+2215000</f>
        <v>2696000</v>
      </c>
      <c r="F94" s="324">
        <f>454281366-811000+1852490+80000</f>
        <v>455402856</v>
      </c>
    </row>
    <row r="95" spans="1:6" ht="12" customHeight="1" x14ac:dyDescent="0.25">
      <c r="A95" s="13" t="s">
        <v>100</v>
      </c>
      <c r="B95" s="7" t="s">
        <v>148</v>
      </c>
      <c r="C95" s="499">
        <f t="shared" si="2"/>
        <v>109420900</v>
      </c>
      <c r="D95" s="296">
        <f>500965+4771305+2167000+14000+207615+213701-18991+71604+3298-34749+11423+1380456+4650+78975-225759-237552+261960+54015-34749+1949335+337374+2331-972</f>
        <v>11477235</v>
      </c>
      <c r="E95" s="141">
        <f>114000+461687</f>
        <v>575687</v>
      </c>
      <c r="F95" s="323">
        <f>97140882-128290+341346+14040</f>
        <v>97367978</v>
      </c>
    </row>
    <row r="96" spans="1:6" ht="12" customHeight="1" x14ac:dyDescent="0.25">
      <c r="A96" s="13" t="s">
        <v>101</v>
      </c>
      <c r="B96" s="7" t="s">
        <v>124</v>
      </c>
      <c r="C96" s="499">
        <f t="shared" si="2"/>
        <v>623838549</v>
      </c>
      <c r="D96" s="300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</f>
        <v>246516551</v>
      </c>
      <c r="E96" s="211">
        <f>324000+352000+137126+419550+20620</f>
        <v>1253296</v>
      </c>
      <c r="F96" s="323">
        <f>375583932-1110+485880+624000-624000</f>
        <v>376068702</v>
      </c>
    </row>
    <row r="97" spans="1:6" ht="12" customHeight="1" x14ac:dyDescent="0.25">
      <c r="A97" s="13" t="s">
        <v>102</v>
      </c>
      <c r="B97" s="7" t="s">
        <v>149</v>
      </c>
      <c r="C97" s="499">
        <f t="shared" si="2"/>
        <v>163264000</v>
      </c>
      <c r="D97" s="300">
        <f>69500000+3500000+69312000-2000000-1016000-282000</f>
        <v>139014000</v>
      </c>
      <c r="E97" s="211">
        <v>24250000</v>
      </c>
      <c r="F97" s="323"/>
    </row>
    <row r="98" spans="1:6" ht="12" customHeight="1" x14ac:dyDescent="0.25">
      <c r="A98" s="13" t="s">
        <v>113</v>
      </c>
      <c r="B98" s="6" t="s">
        <v>150</v>
      </c>
      <c r="C98" s="499">
        <f>SUM(D98:F98)</f>
        <v>130674403</v>
      </c>
      <c r="D98" s="300">
        <f>5697126+16985629+16551218+32866801+100000+660000+49357310+3869819+86500+4500000</f>
        <v>130674403</v>
      </c>
      <c r="E98" s="211"/>
      <c r="F98" s="211"/>
    </row>
    <row r="99" spans="1:6" ht="12" customHeight="1" x14ac:dyDescent="0.25">
      <c r="A99" s="13" t="s">
        <v>103</v>
      </c>
      <c r="B99" s="7" t="s">
        <v>488</v>
      </c>
      <c r="C99" s="363">
        <f t="shared" si="2"/>
        <v>4056319</v>
      </c>
      <c r="D99" s="300">
        <f>100000+3869819+86500</f>
        <v>4056319</v>
      </c>
      <c r="E99" s="211"/>
      <c r="F99" s="211"/>
    </row>
    <row r="100" spans="1:6" ht="12" customHeight="1" x14ac:dyDescent="0.25">
      <c r="A100" s="13" t="s">
        <v>104</v>
      </c>
      <c r="B100" s="83" t="s">
        <v>489</v>
      </c>
      <c r="C100" s="363">
        <f t="shared" si="2"/>
        <v>0</v>
      </c>
      <c r="D100" s="300"/>
      <c r="E100" s="211"/>
      <c r="F100" s="211"/>
    </row>
    <row r="101" spans="1:6" ht="12" customHeight="1" x14ac:dyDescent="0.25">
      <c r="A101" s="13" t="s">
        <v>114</v>
      </c>
      <c r="B101" s="83" t="s">
        <v>490</v>
      </c>
      <c r="C101" s="363">
        <f t="shared" si="2"/>
        <v>0</v>
      </c>
      <c r="D101" s="300"/>
      <c r="E101" s="211"/>
      <c r="F101" s="211"/>
    </row>
    <row r="102" spans="1:6" ht="12" customHeight="1" x14ac:dyDescent="0.25">
      <c r="A102" s="13" t="s">
        <v>115</v>
      </c>
      <c r="B102" s="81" t="s">
        <v>295</v>
      </c>
      <c r="C102" s="363">
        <f t="shared" si="2"/>
        <v>0</v>
      </c>
      <c r="D102" s="300"/>
      <c r="E102" s="211"/>
      <c r="F102" s="211"/>
    </row>
    <row r="103" spans="1:6" ht="12" customHeight="1" x14ac:dyDescent="0.25">
      <c r="A103" s="13" t="s">
        <v>116</v>
      </c>
      <c r="B103" s="82" t="s">
        <v>296</v>
      </c>
      <c r="C103" s="363">
        <f t="shared" si="2"/>
        <v>0</v>
      </c>
      <c r="D103" s="300"/>
      <c r="E103" s="211"/>
      <c r="F103" s="211"/>
    </row>
    <row r="104" spans="1:6" ht="12" customHeight="1" x14ac:dyDescent="0.25">
      <c r="A104" s="13" t="s">
        <v>117</v>
      </c>
      <c r="B104" s="82" t="s">
        <v>297</v>
      </c>
      <c r="C104" s="363">
        <f t="shared" si="2"/>
        <v>0</v>
      </c>
      <c r="D104" s="300"/>
      <c r="E104" s="211"/>
      <c r="F104" s="211"/>
    </row>
    <row r="105" spans="1:6" ht="12" customHeight="1" x14ac:dyDescent="0.25">
      <c r="A105" s="13" t="s">
        <v>119</v>
      </c>
      <c r="B105" s="81" t="s">
        <v>298</v>
      </c>
      <c r="C105" s="363">
        <f t="shared" si="2"/>
        <v>660000</v>
      </c>
      <c r="D105" s="300">
        <v>660000</v>
      </c>
      <c r="E105" s="211"/>
      <c r="F105" s="211"/>
    </row>
    <row r="106" spans="1:6" ht="12" customHeight="1" x14ac:dyDescent="0.25">
      <c r="A106" s="13" t="s">
        <v>151</v>
      </c>
      <c r="B106" s="81" t="s">
        <v>299</v>
      </c>
      <c r="C106" s="363">
        <f t="shared" si="2"/>
        <v>0</v>
      </c>
      <c r="D106" s="361"/>
      <c r="E106" s="211"/>
      <c r="F106" s="211"/>
    </row>
    <row r="107" spans="1:6" ht="12" customHeight="1" x14ac:dyDescent="0.25">
      <c r="A107" s="13" t="s">
        <v>293</v>
      </c>
      <c r="B107" s="82" t="s">
        <v>300</v>
      </c>
      <c r="C107" s="363">
        <f t="shared" si="2"/>
        <v>0</v>
      </c>
      <c r="D107" s="300"/>
      <c r="E107" s="211"/>
      <c r="F107" s="211"/>
    </row>
    <row r="108" spans="1:6" ht="12" customHeight="1" x14ac:dyDescent="0.25">
      <c r="A108" s="12" t="s">
        <v>294</v>
      </c>
      <c r="B108" s="83" t="s">
        <v>301</v>
      </c>
      <c r="C108" s="363">
        <f t="shared" si="2"/>
        <v>0</v>
      </c>
      <c r="D108" s="300"/>
      <c r="E108" s="211"/>
      <c r="F108" s="211"/>
    </row>
    <row r="109" spans="1:6" ht="12" customHeight="1" x14ac:dyDescent="0.25">
      <c r="A109" s="13" t="s">
        <v>491</v>
      </c>
      <c r="B109" s="83" t="s">
        <v>302</v>
      </c>
      <c r="C109" s="363">
        <f t="shared" si="2"/>
        <v>0</v>
      </c>
      <c r="D109" s="300"/>
      <c r="E109" s="211"/>
      <c r="F109" s="211"/>
    </row>
    <row r="110" spans="1:6" ht="12" customHeight="1" x14ac:dyDescent="0.25">
      <c r="A110" s="15" t="s">
        <v>492</v>
      </c>
      <c r="B110" s="83" t="s">
        <v>303</v>
      </c>
      <c r="C110" s="499">
        <f t="shared" si="2"/>
        <v>125958084</v>
      </c>
      <c r="D110" s="296">
        <f>5697126+16985629+16551218+32866801+660000+49357310-660000+4500000</f>
        <v>125958084</v>
      </c>
      <c r="E110" s="141"/>
      <c r="F110" s="211"/>
    </row>
    <row r="111" spans="1:6" ht="12" customHeight="1" x14ac:dyDescent="0.25">
      <c r="A111" s="13" t="s">
        <v>493</v>
      </c>
      <c r="B111" s="7" t="s">
        <v>55</v>
      </c>
      <c r="C111" s="363">
        <f t="shared" si="2"/>
        <v>56822974</v>
      </c>
      <c r="D111" s="296">
        <f>SUM(D112:D113)</f>
        <v>56822974</v>
      </c>
      <c r="E111" s="141"/>
      <c r="F111" s="141">
        <f>SUM(F112:F113)</f>
        <v>0</v>
      </c>
    </row>
    <row r="112" spans="1:6" ht="12" customHeight="1" x14ac:dyDescent="0.25">
      <c r="A112" s="13" t="s">
        <v>494</v>
      </c>
      <c r="B112" s="7" t="s">
        <v>495</v>
      </c>
      <c r="C112" s="499">
        <f t="shared" si="2"/>
        <v>1255127</v>
      </c>
      <c r="D112" s="300">
        <f>15000000-21705-8451320+266142+295985-5833975</f>
        <v>1255127</v>
      </c>
      <c r="E112" s="211"/>
      <c r="F112" s="141"/>
    </row>
    <row r="113" spans="1:6" ht="12" customHeight="1" thickBot="1" x14ac:dyDescent="0.3">
      <c r="A113" s="17" t="s">
        <v>496</v>
      </c>
      <c r="B113" s="283" t="s">
        <v>497</v>
      </c>
      <c r="C113" s="795">
        <f t="shared" si="2"/>
        <v>55567847</v>
      </c>
      <c r="D113" s="354">
        <f>65846522-6946019+750000-2582475-1500181</f>
        <v>55567847</v>
      </c>
      <c r="E113" s="315"/>
      <c r="F113" s="315"/>
    </row>
    <row r="114" spans="1:6" ht="12" customHeight="1" thickBot="1" x14ac:dyDescent="0.3">
      <c r="A114" s="284" t="s">
        <v>24</v>
      </c>
      <c r="B114" s="285" t="s">
        <v>304</v>
      </c>
      <c r="C114" s="137">
        <f t="shared" si="2"/>
        <v>660396505</v>
      </c>
      <c r="D114" s="319">
        <f>+D115+D117+D119</f>
        <v>651145625</v>
      </c>
      <c r="E114" s="137">
        <f>+E115+E117+E119</f>
        <v>0</v>
      </c>
      <c r="F114" s="286">
        <f>+F115+F117+F119</f>
        <v>9250880</v>
      </c>
    </row>
    <row r="115" spans="1:6" ht="18.75" customHeight="1" x14ac:dyDescent="0.25">
      <c r="A115" s="14" t="s">
        <v>105</v>
      </c>
      <c r="B115" s="7" t="s">
        <v>168</v>
      </c>
      <c r="C115" s="500">
        <f t="shared" si="2"/>
        <v>312985028</v>
      </c>
      <c r="D115" s="325">
        <f>359410+2345001+219008101+381000+1500000+3139585+33894811+2338070+4950460-60000+275000+20930495+5189661+457200+6704583+305000+174200+752475+1598336+515000-1212200+797560</f>
        <v>304343748</v>
      </c>
      <c r="E115" s="260"/>
      <c r="F115" s="260">
        <f>8663894-22614</f>
        <v>8641280</v>
      </c>
    </row>
    <row r="116" spans="1:6" ht="12" customHeight="1" x14ac:dyDescent="0.25">
      <c r="A116" s="14" t="s">
        <v>106</v>
      </c>
      <c r="B116" s="11" t="s">
        <v>308</v>
      </c>
      <c r="C116" s="362">
        <f t="shared" si="2"/>
        <v>280328983</v>
      </c>
      <c r="D116" s="325">
        <f>218246101+33259811+20930495+1187993+6704583</f>
        <v>280328983</v>
      </c>
      <c r="E116" s="260"/>
      <c r="F116" s="260"/>
    </row>
    <row r="117" spans="1:6" ht="12" customHeight="1" x14ac:dyDescent="0.25">
      <c r="A117" s="14" t="s">
        <v>107</v>
      </c>
      <c r="B117" s="11" t="s">
        <v>152</v>
      </c>
      <c r="C117" s="500">
        <f t="shared" si="2"/>
        <v>281600756</v>
      </c>
      <c r="D117" s="296">
        <f>180701362+1500000+37902555+48165993+9194292-354600+3402201+479353</f>
        <v>280991156</v>
      </c>
      <c r="E117" s="141"/>
      <c r="F117" s="141">
        <v>609600</v>
      </c>
    </row>
    <row r="118" spans="1:6" ht="12" customHeight="1" x14ac:dyDescent="0.25">
      <c r="A118" s="14" t="s">
        <v>108</v>
      </c>
      <c r="B118" s="11" t="s">
        <v>309</v>
      </c>
      <c r="C118" s="362">
        <f t="shared" si="2"/>
        <v>230773273</v>
      </c>
      <c r="D118" s="296">
        <f>146098020+36509260+48165993</f>
        <v>230773273</v>
      </c>
      <c r="E118" s="308"/>
      <c r="F118" s="308"/>
    </row>
    <row r="119" spans="1:6" ht="12" customHeight="1" x14ac:dyDescent="0.25">
      <c r="A119" s="14" t="s">
        <v>109</v>
      </c>
      <c r="B119" s="134" t="s">
        <v>170</v>
      </c>
      <c r="C119" s="363">
        <f t="shared" si="2"/>
        <v>65810721</v>
      </c>
      <c r="D119" s="300">
        <f>65710721+100000</f>
        <v>65810721</v>
      </c>
      <c r="E119" s="296"/>
      <c r="F119" s="296"/>
    </row>
    <row r="120" spans="1:6" ht="12" customHeight="1" x14ac:dyDescent="0.25">
      <c r="A120" s="14" t="s">
        <v>118</v>
      </c>
      <c r="B120" s="133" t="s">
        <v>371</v>
      </c>
      <c r="C120" s="363">
        <f t="shared" si="2"/>
        <v>0</v>
      </c>
      <c r="D120" s="125"/>
      <c r="E120" s="125"/>
      <c r="F120" s="125"/>
    </row>
    <row r="121" spans="1:6" ht="12" customHeight="1" x14ac:dyDescent="0.25">
      <c r="A121" s="14" t="s">
        <v>120</v>
      </c>
      <c r="B121" s="218" t="s">
        <v>314</v>
      </c>
      <c r="C121" s="363">
        <f t="shared" si="2"/>
        <v>0</v>
      </c>
      <c r="D121" s="125"/>
      <c r="E121" s="125"/>
      <c r="F121" s="125"/>
    </row>
    <row r="122" spans="1:6" x14ac:dyDescent="0.25">
      <c r="A122" s="14" t="s">
        <v>153</v>
      </c>
      <c r="B122" s="82" t="s">
        <v>297</v>
      </c>
      <c r="C122" s="363">
        <f t="shared" si="2"/>
        <v>0</v>
      </c>
      <c r="D122" s="125"/>
      <c r="E122" s="125"/>
      <c r="F122" s="125"/>
    </row>
    <row r="123" spans="1:6" ht="12" customHeight="1" x14ac:dyDescent="0.25">
      <c r="A123" s="14" t="s">
        <v>154</v>
      </c>
      <c r="B123" s="82" t="s">
        <v>313</v>
      </c>
      <c r="C123" s="363">
        <f t="shared" si="2"/>
        <v>0</v>
      </c>
      <c r="D123" s="125"/>
      <c r="E123" s="125"/>
      <c r="F123" s="125"/>
    </row>
    <row r="124" spans="1:6" ht="12" customHeight="1" x14ac:dyDescent="0.25">
      <c r="A124" s="14" t="s">
        <v>155</v>
      </c>
      <c r="B124" s="82" t="s">
        <v>312</v>
      </c>
      <c r="C124" s="363">
        <f t="shared" si="2"/>
        <v>0</v>
      </c>
      <c r="D124" s="125"/>
      <c r="E124" s="125"/>
      <c r="F124" s="125"/>
    </row>
    <row r="125" spans="1:6" ht="12" customHeight="1" x14ac:dyDescent="0.25">
      <c r="A125" s="14" t="s">
        <v>305</v>
      </c>
      <c r="B125" s="82" t="s">
        <v>300</v>
      </c>
      <c r="C125" s="363">
        <f t="shared" si="2"/>
        <v>0</v>
      </c>
      <c r="D125" s="125"/>
      <c r="E125" s="125"/>
      <c r="F125" s="125"/>
    </row>
    <row r="126" spans="1:6" ht="12" customHeight="1" x14ac:dyDescent="0.25">
      <c r="A126" s="14" t="s">
        <v>306</v>
      </c>
      <c r="B126" s="82" t="s">
        <v>311</v>
      </c>
      <c r="C126" s="363">
        <f t="shared" si="2"/>
        <v>0</v>
      </c>
      <c r="D126" s="125"/>
      <c r="E126" s="125"/>
      <c r="F126" s="125"/>
    </row>
    <row r="127" spans="1:6" ht="16.5" thickBot="1" x14ac:dyDescent="0.3">
      <c r="A127" s="12" t="s">
        <v>307</v>
      </c>
      <c r="B127" s="82" t="s">
        <v>310</v>
      </c>
      <c r="C127" s="364">
        <f t="shared" si="2"/>
        <v>65810721</v>
      </c>
      <c r="D127" s="126">
        <f>65710721+100000</f>
        <v>65810721</v>
      </c>
      <c r="E127" s="300"/>
      <c r="F127" s="126"/>
    </row>
    <row r="128" spans="1:6" ht="12" customHeight="1" thickBot="1" x14ac:dyDescent="0.3">
      <c r="A128" s="19" t="s">
        <v>25</v>
      </c>
      <c r="B128" s="77" t="s">
        <v>498</v>
      </c>
      <c r="C128" s="137">
        <f t="shared" si="2"/>
        <v>2265271297</v>
      </c>
      <c r="D128" s="319">
        <f>+D93+D114</f>
        <v>1298405898</v>
      </c>
      <c r="E128" s="137">
        <f>+E93+E114</f>
        <v>28774983</v>
      </c>
      <c r="F128" s="137">
        <f>+F93+F114</f>
        <v>938090416</v>
      </c>
    </row>
    <row r="129" spans="1:6" ht="12" customHeight="1" thickBot="1" x14ac:dyDescent="0.3">
      <c r="A129" s="19" t="s">
        <v>26</v>
      </c>
      <c r="B129" s="77" t="s">
        <v>499</v>
      </c>
      <c r="C129" s="370">
        <f t="shared" si="2"/>
        <v>104042704</v>
      </c>
      <c r="D129" s="319">
        <f>+D130+D131+D132</f>
        <v>104042704</v>
      </c>
      <c r="E129" s="137">
        <f>+E130+E131+E132</f>
        <v>0</v>
      </c>
      <c r="F129" s="137">
        <f>+F130+F131+F132</f>
        <v>0</v>
      </c>
    </row>
    <row r="130" spans="1:6" ht="12" customHeight="1" x14ac:dyDescent="0.25">
      <c r="A130" s="14" t="s">
        <v>205</v>
      </c>
      <c r="B130" s="11" t="s">
        <v>500</v>
      </c>
      <c r="C130" s="217">
        <f t="shared" si="2"/>
        <v>4042704</v>
      </c>
      <c r="D130" s="296">
        <v>4042704</v>
      </c>
      <c r="E130" s="296"/>
      <c r="F130" s="296"/>
    </row>
    <row r="131" spans="1:6" ht="12" customHeight="1" x14ac:dyDescent="0.25">
      <c r="A131" s="14" t="s">
        <v>208</v>
      </c>
      <c r="B131" s="11" t="s">
        <v>501</v>
      </c>
      <c r="C131" s="368">
        <f t="shared" si="2"/>
        <v>100000000</v>
      </c>
      <c r="D131" s="125">
        <v>100000000</v>
      </c>
      <c r="E131" s="125"/>
      <c r="F131" s="125"/>
    </row>
    <row r="132" spans="1:6" ht="12" customHeight="1" thickBot="1" x14ac:dyDescent="0.3">
      <c r="A132" s="12" t="s">
        <v>209</v>
      </c>
      <c r="B132" s="11" t="s">
        <v>502</v>
      </c>
      <c r="C132" s="369">
        <f t="shared" si="2"/>
        <v>0</v>
      </c>
      <c r="D132" s="125"/>
      <c r="E132" s="125"/>
      <c r="F132" s="125"/>
    </row>
    <row r="133" spans="1:6" ht="12" customHeight="1" thickBot="1" x14ac:dyDescent="0.3">
      <c r="A133" s="19" t="s">
        <v>27</v>
      </c>
      <c r="B133" s="77" t="s">
        <v>503</v>
      </c>
      <c r="C133" s="370">
        <f t="shared" si="2"/>
        <v>0</v>
      </c>
      <c r="D133" s="319">
        <f>+D134+D135+D136+D137+D138+D139</f>
        <v>0</v>
      </c>
      <c r="E133" s="137">
        <f>+E134+E135+E136+E137+E138+E139</f>
        <v>0</v>
      </c>
      <c r="F133" s="137">
        <f>SUM(F134:F139)</f>
        <v>0</v>
      </c>
    </row>
    <row r="134" spans="1:6" ht="12" customHeight="1" x14ac:dyDescent="0.25">
      <c r="A134" s="14" t="s">
        <v>92</v>
      </c>
      <c r="B134" s="8" t="s">
        <v>504</v>
      </c>
      <c r="C134" s="217">
        <f t="shared" si="2"/>
        <v>0</v>
      </c>
      <c r="D134" s="125"/>
      <c r="E134" s="125"/>
      <c r="F134" s="125"/>
    </row>
    <row r="135" spans="1:6" ht="12" customHeight="1" x14ac:dyDescent="0.25">
      <c r="A135" s="14" t="s">
        <v>93</v>
      </c>
      <c r="B135" s="8" t="s">
        <v>505</v>
      </c>
      <c r="C135" s="368">
        <f t="shared" si="2"/>
        <v>0</v>
      </c>
      <c r="D135" s="125"/>
      <c r="E135" s="125"/>
      <c r="F135" s="125"/>
    </row>
    <row r="136" spans="1:6" ht="12" customHeight="1" x14ac:dyDescent="0.25">
      <c r="A136" s="14" t="s">
        <v>94</v>
      </c>
      <c r="B136" s="8" t="s">
        <v>506</v>
      </c>
      <c r="C136" s="368">
        <f t="shared" si="2"/>
        <v>0</v>
      </c>
      <c r="D136" s="125"/>
      <c r="E136" s="125"/>
      <c r="F136" s="125"/>
    </row>
    <row r="137" spans="1:6" ht="12" customHeight="1" x14ac:dyDescent="0.25">
      <c r="A137" s="14" t="s">
        <v>140</v>
      </c>
      <c r="B137" s="8" t="s">
        <v>507</v>
      </c>
      <c r="C137" s="368">
        <f t="shared" si="2"/>
        <v>0</v>
      </c>
      <c r="D137" s="125"/>
      <c r="E137" s="125"/>
      <c r="F137" s="125"/>
    </row>
    <row r="138" spans="1:6" ht="12" customHeight="1" x14ac:dyDescent="0.25">
      <c r="A138" s="14" t="s">
        <v>141</v>
      </c>
      <c r="B138" s="8" t="s">
        <v>508</v>
      </c>
      <c r="C138" s="368">
        <f t="shared" si="2"/>
        <v>0</v>
      </c>
      <c r="D138" s="125"/>
      <c r="E138" s="125"/>
      <c r="F138" s="125"/>
    </row>
    <row r="139" spans="1:6" ht="12" customHeight="1" thickBot="1" x14ac:dyDescent="0.3">
      <c r="A139" s="12" t="s">
        <v>142</v>
      </c>
      <c r="B139" s="8" t="s">
        <v>509</v>
      </c>
      <c r="C139" s="369">
        <f t="shared" si="2"/>
        <v>0</v>
      </c>
      <c r="D139" s="125"/>
      <c r="E139" s="125"/>
      <c r="F139" s="125"/>
    </row>
    <row r="140" spans="1:6" ht="12" customHeight="1" thickBot="1" x14ac:dyDescent="0.3">
      <c r="A140" s="19" t="s">
        <v>28</v>
      </c>
      <c r="B140" s="77" t="s">
        <v>510</v>
      </c>
      <c r="C140" s="137">
        <f t="shared" si="2"/>
        <v>38167591</v>
      </c>
      <c r="D140" s="322">
        <f>+D141+D142+D143+D144</f>
        <v>38167591</v>
      </c>
      <c r="E140" s="142">
        <f>+E141+E142+E143+E144</f>
        <v>0</v>
      </c>
      <c r="F140" s="142">
        <f>+F141+F142+F143+F144</f>
        <v>0</v>
      </c>
    </row>
    <row r="141" spans="1:6" ht="12" customHeight="1" x14ac:dyDescent="0.25">
      <c r="A141" s="14" t="s">
        <v>95</v>
      </c>
      <c r="B141" s="8" t="s">
        <v>315</v>
      </c>
      <c r="C141" s="217">
        <f t="shared" si="2"/>
        <v>0</v>
      </c>
      <c r="D141" s="125"/>
      <c r="E141" s="125"/>
      <c r="F141" s="125"/>
    </row>
    <row r="142" spans="1:6" ht="12" customHeight="1" x14ac:dyDescent="0.25">
      <c r="A142" s="14" t="s">
        <v>96</v>
      </c>
      <c r="B142" s="8" t="s">
        <v>316</v>
      </c>
      <c r="C142" s="368">
        <f t="shared" si="2"/>
        <v>38167591</v>
      </c>
      <c r="D142" s="125">
        <v>38167591</v>
      </c>
      <c r="E142" s="125"/>
      <c r="F142" s="125"/>
    </row>
    <row r="143" spans="1:6" ht="12" customHeight="1" x14ac:dyDescent="0.25">
      <c r="A143" s="14" t="s">
        <v>229</v>
      </c>
      <c r="B143" s="8" t="s">
        <v>511</v>
      </c>
      <c r="C143" s="368">
        <f t="shared" si="2"/>
        <v>0</v>
      </c>
      <c r="D143" s="125"/>
      <c r="E143" s="125"/>
      <c r="F143" s="125"/>
    </row>
    <row r="144" spans="1:6" ht="12" customHeight="1" thickBot="1" x14ac:dyDescent="0.3">
      <c r="A144" s="12" t="s">
        <v>230</v>
      </c>
      <c r="B144" s="6" t="s">
        <v>334</v>
      </c>
      <c r="C144" s="369">
        <f t="shared" si="2"/>
        <v>0</v>
      </c>
      <c r="D144" s="125"/>
      <c r="E144" s="125"/>
      <c r="F144" s="125"/>
    </row>
    <row r="145" spans="1:9" ht="12" customHeight="1" thickBot="1" x14ac:dyDescent="0.3">
      <c r="A145" s="19" t="s">
        <v>29</v>
      </c>
      <c r="B145" s="77" t="s">
        <v>512</v>
      </c>
      <c r="C145" s="370">
        <f t="shared" si="2"/>
        <v>0</v>
      </c>
      <c r="D145" s="331">
        <f>+D146+D147+D148+D149+D150</f>
        <v>0</v>
      </c>
      <c r="E145" s="145">
        <f>+E146+E147+E148+E149+E150</f>
        <v>0</v>
      </c>
      <c r="F145" s="145">
        <f>SUM(F146:F150)</f>
        <v>0</v>
      </c>
    </row>
    <row r="146" spans="1:9" ht="12" customHeight="1" x14ac:dyDescent="0.25">
      <c r="A146" s="14" t="s">
        <v>97</v>
      </c>
      <c r="B146" s="8" t="s">
        <v>513</v>
      </c>
      <c r="C146" s="217">
        <f t="shared" si="2"/>
        <v>0</v>
      </c>
      <c r="D146" s="125"/>
      <c r="E146" s="125"/>
      <c r="F146" s="125"/>
    </row>
    <row r="147" spans="1:9" ht="12" customHeight="1" x14ac:dyDescent="0.25">
      <c r="A147" s="14" t="s">
        <v>98</v>
      </c>
      <c r="B147" s="8" t="s">
        <v>514</v>
      </c>
      <c r="C147" s="368">
        <f t="shared" si="2"/>
        <v>0</v>
      </c>
      <c r="D147" s="125"/>
      <c r="E147" s="125"/>
      <c r="F147" s="125"/>
    </row>
    <row r="148" spans="1:9" ht="12" customHeight="1" x14ac:dyDescent="0.25">
      <c r="A148" s="14" t="s">
        <v>241</v>
      </c>
      <c r="B148" s="8" t="s">
        <v>515</v>
      </c>
      <c r="C148" s="368">
        <f t="shared" si="2"/>
        <v>0</v>
      </c>
      <c r="D148" s="125"/>
      <c r="E148" s="125"/>
      <c r="F148" s="125"/>
    </row>
    <row r="149" spans="1:9" ht="12" customHeight="1" x14ac:dyDescent="0.25">
      <c r="A149" s="14" t="s">
        <v>242</v>
      </c>
      <c r="B149" s="8" t="s">
        <v>516</v>
      </c>
      <c r="C149" s="368">
        <f t="shared" si="2"/>
        <v>0</v>
      </c>
      <c r="D149" s="125"/>
      <c r="E149" s="125"/>
      <c r="F149" s="125"/>
    </row>
    <row r="150" spans="1:9" ht="12" customHeight="1" thickBot="1" x14ac:dyDescent="0.3">
      <c r="A150" s="14" t="s">
        <v>517</v>
      </c>
      <c r="B150" s="8" t="s">
        <v>518</v>
      </c>
      <c r="C150" s="369">
        <f t="shared" si="2"/>
        <v>0</v>
      </c>
      <c r="D150" s="126"/>
      <c r="E150" s="126"/>
      <c r="F150" s="125"/>
    </row>
    <row r="151" spans="1:9" ht="12" customHeight="1" thickBot="1" x14ac:dyDescent="0.3">
      <c r="A151" s="19" t="s">
        <v>30</v>
      </c>
      <c r="B151" s="77" t="s">
        <v>519</v>
      </c>
      <c r="C151" s="137">
        <f t="shared" si="2"/>
        <v>0</v>
      </c>
      <c r="D151" s="331"/>
      <c r="E151" s="145"/>
      <c r="F151" s="287"/>
    </row>
    <row r="152" spans="1:9" ht="12" customHeight="1" thickBot="1" x14ac:dyDescent="0.3">
      <c r="A152" s="19" t="s">
        <v>31</v>
      </c>
      <c r="B152" s="77" t="s">
        <v>520</v>
      </c>
      <c r="C152" s="136">
        <f t="shared" si="2"/>
        <v>0</v>
      </c>
      <c r="D152" s="331"/>
      <c r="E152" s="145"/>
      <c r="F152" s="287"/>
    </row>
    <row r="153" spans="1:9" ht="15" customHeight="1" thickBot="1" x14ac:dyDescent="0.3">
      <c r="A153" s="19" t="s">
        <v>32</v>
      </c>
      <c r="B153" s="77" t="s">
        <v>521</v>
      </c>
      <c r="C153" s="136">
        <f t="shared" si="2"/>
        <v>142210295</v>
      </c>
      <c r="D153" s="332">
        <f>+D129+D133+D140+D145+D151+D152</f>
        <v>142210295</v>
      </c>
      <c r="E153" s="232">
        <f>+E129+E133+E140+E145+E151+E152</f>
        <v>0</v>
      </c>
      <c r="F153" s="232">
        <f>+F129+F133+F140+F145+F151+F152</f>
        <v>0</v>
      </c>
      <c r="G153" s="233"/>
      <c r="H153" s="233"/>
      <c r="I153" s="233"/>
    </row>
    <row r="154" spans="1:9" s="221" customFormat="1" ht="12.95" customHeight="1" thickBot="1" x14ac:dyDescent="0.25">
      <c r="A154" s="135" t="s">
        <v>33</v>
      </c>
      <c r="B154" s="207" t="s">
        <v>522</v>
      </c>
      <c r="C154" s="137">
        <f t="shared" si="2"/>
        <v>2407481592</v>
      </c>
      <c r="D154" s="332">
        <f>+D128+D153</f>
        <v>1440616193</v>
      </c>
      <c r="E154" s="232">
        <f>+E128+E153</f>
        <v>28774983</v>
      </c>
      <c r="F154" s="232">
        <f>+F128+F153</f>
        <v>938090416</v>
      </c>
    </row>
    <row r="155" spans="1:9" ht="7.5" customHeight="1" x14ac:dyDescent="0.25"/>
    <row r="156" spans="1:9" x14ac:dyDescent="0.25">
      <c r="A156" s="1005" t="s">
        <v>317</v>
      </c>
      <c r="B156" s="1005"/>
      <c r="C156" s="1005"/>
    </row>
    <row r="157" spans="1:9" ht="15" customHeight="1" thickBot="1" x14ac:dyDescent="0.3">
      <c r="A157" s="1002" t="s">
        <v>130</v>
      </c>
      <c r="B157" s="1002"/>
      <c r="C157" s="146" t="s">
        <v>598</v>
      </c>
    </row>
    <row r="158" spans="1:9" ht="13.5" customHeight="1" thickBot="1" x14ac:dyDescent="0.3">
      <c r="A158" s="19">
        <v>1</v>
      </c>
      <c r="B158" s="24" t="s">
        <v>523</v>
      </c>
      <c r="C158" s="137">
        <f>+C62-C128</f>
        <v>-305269473</v>
      </c>
    </row>
    <row r="159" spans="1:9" ht="27.75" customHeight="1" thickBot="1" x14ac:dyDescent="0.3">
      <c r="A159" s="19" t="s">
        <v>24</v>
      </c>
      <c r="B159" s="24" t="s">
        <v>524</v>
      </c>
      <c r="C159" s="137">
        <f>+C86-C153</f>
        <v>653918407</v>
      </c>
    </row>
    <row r="160" spans="1:9" x14ac:dyDescent="0.25">
      <c r="F160" s="37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17/2018.(VII.27.)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4.5" customHeight="1" x14ac:dyDescent="0.2">
      <c r="A2" s="212" t="s">
        <v>162</v>
      </c>
      <c r="B2" s="186" t="s">
        <v>567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360</v>
      </c>
      <c r="C3" s="521" t="s">
        <v>65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172674012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>
        <v>30591480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82270000</v>
      </c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614">
        <v>19857978</v>
      </c>
    </row>
    <row r="14" spans="1:3" s="202" customFormat="1" ht="12" customHeight="1" x14ac:dyDescent="0.2">
      <c r="A14" s="250" t="s">
        <v>103</v>
      </c>
      <c r="B14" s="7" t="s">
        <v>343</v>
      </c>
      <c r="C14" s="614">
        <v>27304554</v>
      </c>
    </row>
    <row r="15" spans="1:3" s="202" customFormat="1" ht="12" customHeight="1" x14ac:dyDescent="0.2">
      <c r="A15" s="250" t="s">
        <v>104</v>
      </c>
      <c r="B15" s="6" t="s">
        <v>344</v>
      </c>
      <c r="C15" s="528">
        <v>12650000</v>
      </c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172674012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139881293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1426020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133587210+51600+742141-1383497+5457819</f>
        <v>138455273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312555305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311286305</v>
      </c>
    </row>
    <row r="46" spans="1:3" ht="12" customHeight="1" x14ac:dyDescent="0.2">
      <c r="A46" s="250" t="s">
        <v>99</v>
      </c>
      <c r="B46" s="8" t="s">
        <v>54</v>
      </c>
      <c r="C46" s="826">
        <f>61703726+51600+80000-1157738</f>
        <v>60677588</v>
      </c>
    </row>
    <row r="47" spans="1:3" ht="12" customHeight="1" x14ac:dyDescent="0.2">
      <c r="A47" s="250" t="s">
        <v>100</v>
      </c>
      <c r="B47" s="7" t="s">
        <v>148</v>
      </c>
      <c r="C47" s="646">
        <f>14089304-225759</f>
        <v>13863545</v>
      </c>
    </row>
    <row r="48" spans="1:3" ht="12" customHeight="1" x14ac:dyDescent="0.2">
      <c r="A48" s="250" t="s">
        <v>101</v>
      </c>
      <c r="B48" s="7" t="s">
        <v>124</v>
      </c>
      <c r="C48" s="783">
        <f>230665212+622141+5457819</f>
        <v>236745172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526">
        <f>SUM(C52:C54)</f>
        <v>1269000</v>
      </c>
    </row>
    <row r="52" spans="1:3" s="259" customFormat="1" ht="12" customHeight="1" x14ac:dyDescent="0.2">
      <c r="A52" s="250" t="s">
        <v>105</v>
      </c>
      <c r="B52" s="8" t="s">
        <v>168</v>
      </c>
      <c r="C52" s="826">
        <f>1229000+40000</f>
        <v>1269000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312555305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983">
        <f>25.5-0.58</f>
        <v>24.92</v>
      </c>
    </row>
    <row r="60" spans="1:3" ht="13.5" thickBot="1" x14ac:dyDescent="0.25">
      <c r="A60" s="121" t="s">
        <v>164</v>
      </c>
      <c r="B60" s="122"/>
      <c r="C60" s="6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17/2018.(VII.27.)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view="pageLayout" zoomScaleNormal="11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3.75" customHeight="1" x14ac:dyDescent="0.2">
      <c r="A2" s="212" t="s">
        <v>162</v>
      </c>
      <c r="B2" s="186" t="s">
        <v>589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342</v>
      </c>
      <c r="C3" s="521" t="s">
        <v>58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185172773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614">
        <f>10239158+2371063</f>
        <v>12610221</v>
      </c>
    </row>
    <row r="11" spans="1:3" s="202" customFormat="1" ht="12" customHeight="1" x14ac:dyDescent="0.2">
      <c r="A11" s="250" t="s">
        <v>101</v>
      </c>
      <c r="B11" s="7" t="s">
        <v>220</v>
      </c>
      <c r="C11" s="614">
        <v>12700000</v>
      </c>
    </row>
    <row r="12" spans="1:3" s="202" customFormat="1" ht="12" customHeight="1" x14ac:dyDescent="0.2">
      <c r="A12" s="250" t="s">
        <v>102</v>
      </c>
      <c r="B12" s="7" t="s">
        <v>221</v>
      </c>
      <c r="C12" s="614"/>
    </row>
    <row r="13" spans="1:3" s="202" customFormat="1" ht="12" customHeight="1" x14ac:dyDescent="0.2">
      <c r="A13" s="250" t="s">
        <v>125</v>
      </c>
      <c r="B13" s="7" t="s">
        <v>222</v>
      </c>
      <c r="C13" s="783">
        <f>157919035-4000000</f>
        <v>153919035</v>
      </c>
    </row>
    <row r="14" spans="1:3" s="202" customFormat="1" ht="12" customHeight="1" x14ac:dyDescent="0.2">
      <c r="A14" s="250" t="s">
        <v>103</v>
      </c>
      <c r="B14" s="7" t="s">
        <v>343</v>
      </c>
      <c r="C14" s="614">
        <f>3708080+640187</f>
        <v>4348267</v>
      </c>
    </row>
    <row r="15" spans="1:3" s="202" customFormat="1" ht="12" customHeight="1" x14ac:dyDescent="0.2">
      <c r="A15" s="250" t="s">
        <v>104</v>
      </c>
      <c r="B15" s="6" t="s">
        <v>344</v>
      </c>
      <c r="C15" s="528"/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842">
        <v>1595250</v>
      </c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15159060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646">
        <f>19512535-4353475</f>
        <v>15159060</v>
      </c>
    </row>
    <row r="24" spans="1:3" s="258" customFormat="1" ht="12" customHeight="1" thickBot="1" x14ac:dyDescent="0.25">
      <c r="A24" s="250" t="s">
        <v>108</v>
      </c>
      <c r="B24" s="7" t="s">
        <v>563</v>
      </c>
      <c r="C24" s="528">
        <v>399535</v>
      </c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4353475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807">
        <v>4353475</v>
      </c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204685308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540681882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f>20415305-28</f>
        <v>20415277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498171287+500631+6485645+446930-639436+1462000+12047801+1791747</f>
        <v>520266605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745367190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732853140</v>
      </c>
    </row>
    <row r="46" spans="1:3" ht="12" customHeight="1" x14ac:dyDescent="0.2">
      <c r="A46" s="250" t="s">
        <v>99</v>
      </c>
      <c r="B46" s="8" t="s">
        <v>54</v>
      </c>
      <c r="C46" s="781">
        <f>432587281+258000+4907657+673383+374000+1000000+1499370</f>
        <v>441299691</v>
      </c>
    </row>
    <row r="47" spans="1:3" ht="12" customHeight="1" x14ac:dyDescent="0.2">
      <c r="A47" s="250" t="s">
        <v>100</v>
      </c>
      <c r="B47" s="7" t="s">
        <v>148</v>
      </c>
      <c r="C47" s="783">
        <f>91161523+50310+949388+132042+72930+175500+292377</f>
        <v>92834070</v>
      </c>
    </row>
    <row r="48" spans="1:3" ht="12" customHeight="1" x14ac:dyDescent="0.2">
      <c r="A48" s="250" t="s">
        <v>101</v>
      </c>
      <c r="B48" s="7" t="s">
        <v>124</v>
      </c>
      <c r="C48" s="783">
        <f>186217978+192293+628600+1606688+955814-528975-179000+1462000+8047801+400000-83820</f>
        <v>198719379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790">
        <f>SUM(C52:C54)</f>
        <v>12514050</v>
      </c>
    </row>
    <row r="52" spans="1:3" s="259" customFormat="1" ht="12" customHeight="1" x14ac:dyDescent="0.2">
      <c r="A52" s="250" t="s">
        <v>105</v>
      </c>
      <c r="B52" s="8" t="s">
        <v>168</v>
      </c>
      <c r="C52" s="781">
        <f>12698618+599137-646525+179000-400000+83820</f>
        <v>12514050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745367190</v>
      </c>
    </row>
    <row r="58" spans="1:3" ht="15" customHeight="1" thickBot="1" x14ac:dyDescent="0.25">
      <c r="C58" s="537"/>
    </row>
    <row r="59" spans="1:3" ht="14.25" customHeight="1" x14ac:dyDescent="0.2">
      <c r="A59" s="487" t="s">
        <v>550</v>
      </c>
      <c r="B59" s="488"/>
      <c r="C59" s="988">
        <f>143.4+0.67</f>
        <v>144.07</v>
      </c>
    </row>
    <row r="60" spans="1:3" x14ac:dyDescent="0.2">
      <c r="A60" s="541" t="s">
        <v>718</v>
      </c>
      <c r="B60" s="542"/>
      <c r="C60" s="618">
        <v>61</v>
      </c>
    </row>
    <row r="61" spans="1:3" s="539" customFormat="1" ht="13.9" customHeight="1" thickBot="1" x14ac:dyDescent="0.25">
      <c r="A61" s="1015" t="s">
        <v>719</v>
      </c>
      <c r="B61" s="1016"/>
      <c r="C61" s="619">
        <v>2</v>
      </c>
    </row>
    <row r="62" spans="1:3" s="539" customFormat="1" ht="19.899999999999999" customHeight="1" thickBot="1" x14ac:dyDescent="0.25">
      <c r="A62" s="1017" t="s">
        <v>746</v>
      </c>
      <c r="B62" s="1018"/>
      <c r="C62" s="827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17/2018.(VII.27.)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5.25" customHeight="1" x14ac:dyDescent="0.2">
      <c r="A2" s="212" t="s">
        <v>162</v>
      </c>
      <c r="B2" s="186" t="s">
        <v>589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360</v>
      </c>
      <c r="C3" s="521" t="s">
        <v>65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6699387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>
        <v>5275108</v>
      </c>
    </row>
    <row r="11" spans="1:3" s="202" customFormat="1" ht="12" customHeight="1" x14ac:dyDescent="0.2">
      <c r="A11" s="250" t="s">
        <v>101</v>
      </c>
      <c r="B11" s="7" t="s">
        <v>220</v>
      </c>
      <c r="C11" s="528"/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/>
    </row>
    <row r="14" spans="1:3" s="202" customFormat="1" ht="12" customHeight="1" x14ac:dyDescent="0.2">
      <c r="A14" s="250" t="s">
        <v>103</v>
      </c>
      <c r="B14" s="7" t="s">
        <v>343</v>
      </c>
      <c r="C14" s="528">
        <v>1424279</v>
      </c>
    </row>
    <row r="15" spans="1:3" s="202" customFormat="1" ht="12" customHeight="1" x14ac:dyDescent="0.2">
      <c r="A15" s="250" t="s">
        <v>104</v>
      </c>
      <c r="B15" s="6" t="s">
        <v>344</v>
      </c>
      <c r="C15" s="528"/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6699387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137237746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f>2388345-28</f>
        <v>2388317</v>
      </c>
    </row>
    <row r="39" spans="1:3" s="202" customFormat="1" ht="12" customHeight="1" x14ac:dyDescent="0.2">
      <c r="A39" s="251" t="s">
        <v>354</v>
      </c>
      <c r="B39" s="253" t="s">
        <v>13</v>
      </c>
      <c r="C39" s="807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133674788+28+345880-940400-22614+1791747</f>
        <v>134849429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143937133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142991747</v>
      </c>
    </row>
    <row r="46" spans="1:3" ht="12" customHeight="1" x14ac:dyDescent="0.2">
      <c r="A46" s="250" t="s">
        <v>99</v>
      </c>
      <c r="B46" s="8" t="s">
        <v>54</v>
      </c>
      <c r="C46" s="781">
        <f>102376295-800000+450000+1499370</f>
        <v>103525665</v>
      </c>
    </row>
    <row r="47" spans="1:3" ht="12" customHeight="1" x14ac:dyDescent="0.2">
      <c r="A47" s="250" t="s">
        <v>100</v>
      </c>
      <c r="B47" s="7" t="s">
        <v>148</v>
      </c>
      <c r="C47" s="783">
        <f>22455001-140400+78975+292377</f>
        <v>22685953</v>
      </c>
    </row>
    <row r="48" spans="1:3" ht="12" customHeight="1" x14ac:dyDescent="0.2">
      <c r="A48" s="250" t="s">
        <v>101</v>
      </c>
      <c r="B48" s="7" t="s">
        <v>124</v>
      </c>
      <c r="C48" s="614">
        <f>16963224+345880-528975+200000-200000</f>
        <v>16780129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526">
        <f>SUM(C52:C54)</f>
        <v>945386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968000-22614</f>
        <v>945386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143937133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984">
        <f>35+0.67</f>
        <v>35.67</v>
      </c>
    </row>
    <row r="60" spans="1:3" ht="13.5" thickBot="1" x14ac:dyDescent="0.25">
      <c r="A60" s="121" t="s">
        <v>164</v>
      </c>
      <c r="B60" s="122"/>
      <c r="C60" s="6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17/2018.(VII.27.)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view="pageLayout" zoomScaleNormal="14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4" width="9.5" style="120" bestFit="1" customWidth="1"/>
    <col min="5" max="5" width="10.83203125" style="120" bestFit="1" customWidth="1"/>
    <col min="6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4.5" customHeight="1" x14ac:dyDescent="0.2">
      <c r="A2" s="212" t="s">
        <v>162</v>
      </c>
      <c r="B2" s="186" t="s">
        <v>589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361</v>
      </c>
      <c r="C3" s="521" t="s">
        <v>66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173053136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646">
        <f>4964050-1896850</f>
        <v>3067200</v>
      </c>
    </row>
    <row r="11" spans="1:3" s="202" customFormat="1" ht="12" customHeight="1" x14ac:dyDescent="0.2">
      <c r="A11" s="250" t="s">
        <v>101</v>
      </c>
      <c r="B11" s="7" t="s">
        <v>220</v>
      </c>
      <c r="C11" s="528">
        <v>12700000</v>
      </c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>
        <f>157919035-4000000</f>
        <v>153919035</v>
      </c>
    </row>
    <row r="14" spans="1:3" s="202" customFormat="1" ht="12" customHeight="1" x14ac:dyDescent="0.2">
      <c r="A14" s="250" t="s">
        <v>103</v>
      </c>
      <c r="B14" s="7" t="s">
        <v>343</v>
      </c>
      <c r="C14" s="646">
        <f>2283801-512150</f>
        <v>1771651</v>
      </c>
    </row>
    <row r="15" spans="1:3" s="202" customFormat="1" ht="12" customHeight="1" x14ac:dyDescent="0.2">
      <c r="A15" s="250" t="s">
        <v>104</v>
      </c>
      <c r="B15" s="6" t="s">
        <v>344</v>
      </c>
      <c r="C15" s="528"/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842">
        <v>1595250</v>
      </c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15159060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646">
        <f>19512535-4353475</f>
        <v>15159060</v>
      </c>
    </row>
    <row r="24" spans="1:3" s="258" customFormat="1" ht="12" customHeight="1" thickBot="1" x14ac:dyDescent="0.25">
      <c r="A24" s="250" t="s">
        <v>108</v>
      </c>
      <c r="B24" s="7" t="s">
        <v>563</v>
      </c>
      <c r="C24" s="528">
        <v>399535</v>
      </c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4353475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807">
        <v>4353475</v>
      </c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/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192565671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403444136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18026960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364496499+308310+192293+4907657+949388+282720+446930+940400+22614-639436+1462000+12047801</f>
        <v>385417176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596009807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585159188</v>
      </c>
    </row>
    <row r="46" spans="1:3" ht="12" customHeight="1" x14ac:dyDescent="0.2">
      <c r="A46" s="250" t="s">
        <v>99</v>
      </c>
      <c r="B46" s="8" t="s">
        <v>54</v>
      </c>
      <c r="C46" s="826">
        <f>330210986+258000+800000+4907657+374000+550000-688792</f>
        <v>336411851</v>
      </c>
    </row>
    <row r="47" spans="1:3" ht="12" customHeight="1" x14ac:dyDescent="0.2">
      <c r="A47" s="250" t="s">
        <v>100</v>
      </c>
      <c r="B47" s="7" t="s">
        <v>148</v>
      </c>
      <c r="C47" s="646">
        <f>68706522+50310+949388+140400+72930+96525-135254</f>
        <v>69880821</v>
      </c>
    </row>
    <row r="48" spans="1:3" ht="12" customHeight="1" x14ac:dyDescent="0.2">
      <c r="A48" s="250" t="s">
        <v>101</v>
      </c>
      <c r="B48" s="7" t="s">
        <v>124</v>
      </c>
      <c r="C48" s="783">
        <f>169254754+192293+282720+955814-179000+1462000-1466046+8047801+400000-83820</f>
        <v>178866516</v>
      </c>
    </row>
    <row r="49" spans="1:5" ht="12" customHeight="1" x14ac:dyDescent="0.2">
      <c r="A49" s="250" t="s">
        <v>102</v>
      </c>
      <c r="B49" s="7" t="s">
        <v>149</v>
      </c>
      <c r="C49" s="614"/>
    </row>
    <row r="50" spans="1:5" ht="12" customHeight="1" thickBot="1" x14ac:dyDescent="0.25">
      <c r="A50" s="250" t="s">
        <v>125</v>
      </c>
      <c r="B50" s="7" t="s">
        <v>150</v>
      </c>
      <c r="C50" s="614"/>
    </row>
    <row r="51" spans="1:5" ht="12" customHeight="1" thickBot="1" x14ac:dyDescent="0.25">
      <c r="A51" s="93" t="s">
        <v>24</v>
      </c>
      <c r="B51" s="77" t="s">
        <v>359</v>
      </c>
      <c r="C51" s="790">
        <f>SUM(C52:C54)</f>
        <v>11568664</v>
      </c>
    </row>
    <row r="52" spans="1:5" s="259" customFormat="1" ht="12" customHeight="1" x14ac:dyDescent="0.2">
      <c r="A52" s="250" t="s">
        <v>105</v>
      </c>
      <c r="B52" s="8" t="s">
        <v>168</v>
      </c>
      <c r="C52" s="781">
        <f>11730618+22614+599137-646525+179000-400000+83820</f>
        <v>11568664</v>
      </c>
    </row>
    <row r="53" spans="1:5" ht="12" customHeight="1" x14ac:dyDescent="0.2">
      <c r="A53" s="250" t="s">
        <v>106</v>
      </c>
      <c r="B53" s="7" t="s">
        <v>152</v>
      </c>
      <c r="C53" s="614"/>
    </row>
    <row r="54" spans="1:5" ht="12" customHeight="1" x14ac:dyDescent="0.2">
      <c r="A54" s="250" t="s">
        <v>107</v>
      </c>
      <c r="B54" s="7" t="s">
        <v>63</v>
      </c>
      <c r="C54" s="614"/>
    </row>
    <row r="55" spans="1:5" ht="12" customHeight="1" thickBot="1" x14ac:dyDescent="0.25">
      <c r="A55" s="250" t="s">
        <v>108</v>
      </c>
      <c r="B55" s="7" t="s">
        <v>557</v>
      </c>
      <c r="C55" s="614"/>
    </row>
    <row r="56" spans="1:5" ht="15" customHeight="1" thickBot="1" x14ac:dyDescent="0.25">
      <c r="A56" s="93" t="s">
        <v>25</v>
      </c>
      <c r="B56" s="77" t="s">
        <v>17</v>
      </c>
      <c r="C56" s="531"/>
    </row>
    <row r="57" spans="1:5" ht="13.5" thickBot="1" x14ac:dyDescent="0.25">
      <c r="A57" s="93" t="s">
        <v>26</v>
      </c>
      <c r="B57" s="118" t="s">
        <v>558</v>
      </c>
      <c r="C57" s="790">
        <f>+C45+C51+C56</f>
        <v>596727852</v>
      </c>
      <c r="D57" s="43"/>
      <c r="E57" s="43"/>
    </row>
    <row r="58" spans="1:5" ht="15" customHeight="1" thickBot="1" x14ac:dyDescent="0.25">
      <c r="C58" s="537"/>
    </row>
    <row r="59" spans="1:5" ht="14.25" customHeight="1" thickBot="1" x14ac:dyDescent="0.25">
      <c r="A59" s="121" t="s">
        <v>550</v>
      </c>
      <c r="B59" s="122"/>
      <c r="C59" s="843">
        <v>108.4</v>
      </c>
    </row>
    <row r="60" spans="1:5" ht="13.5" thickBot="1" x14ac:dyDescent="0.25">
      <c r="A60" s="541" t="s">
        <v>718</v>
      </c>
      <c r="B60" s="542"/>
      <c r="C60" s="617">
        <v>61</v>
      </c>
    </row>
    <row r="61" spans="1:5" ht="13.5" thickBot="1" x14ac:dyDescent="0.25">
      <c r="A61" s="1015" t="s">
        <v>719</v>
      </c>
      <c r="B61" s="1016"/>
      <c r="C61" s="572">
        <v>2</v>
      </c>
      <c r="D61" s="489"/>
    </row>
    <row r="62" spans="1:5" s="539" customFormat="1" ht="13.5" thickBot="1" x14ac:dyDescent="0.25">
      <c r="A62" s="1017" t="s">
        <v>746</v>
      </c>
      <c r="B62" s="1018"/>
      <c r="C62" s="827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17/2018.(VII.27.)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6" customHeight="1" x14ac:dyDescent="0.2">
      <c r="A2" s="212" t="s">
        <v>162</v>
      </c>
      <c r="B2" s="186" t="s">
        <v>568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342</v>
      </c>
      <c r="C3" s="521" t="s">
        <v>58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850595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/>
    </row>
    <row r="11" spans="1:3" s="202" customFormat="1" ht="12" customHeight="1" x14ac:dyDescent="0.2">
      <c r="A11" s="250" t="s">
        <v>101</v>
      </c>
      <c r="B11" s="7" t="s">
        <v>220</v>
      </c>
      <c r="C11" s="528"/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>
        <v>669760</v>
      </c>
    </row>
    <row r="14" spans="1:3" s="202" customFormat="1" ht="12" customHeight="1" x14ac:dyDescent="0.2">
      <c r="A14" s="250" t="s">
        <v>103</v>
      </c>
      <c r="B14" s="7" t="s">
        <v>343</v>
      </c>
      <c r="C14" s="528">
        <v>180835</v>
      </c>
    </row>
    <row r="15" spans="1:3" s="202" customFormat="1" ht="12" customHeight="1" x14ac:dyDescent="0.2">
      <c r="A15" s="250" t="s">
        <v>104</v>
      </c>
      <c r="B15" s="6" t="s">
        <v>344</v>
      </c>
      <c r="C15" s="528"/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535">
        <v>20000</v>
      </c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870595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87165107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93639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86651516+10000+134200+275752</f>
        <v>87071468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88035702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85965692</v>
      </c>
    </row>
    <row r="46" spans="1:3" ht="12" customHeight="1" x14ac:dyDescent="0.2">
      <c r="A46" s="250" t="s">
        <v>99</v>
      </c>
      <c r="B46" s="8" t="s">
        <v>54</v>
      </c>
      <c r="C46" s="781">
        <f>58944411+230755</f>
        <v>59175166</v>
      </c>
    </row>
    <row r="47" spans="1:3" ht="12" customHeight="1" x14ac:dyDescent="0.2">
      <c r="A47" s="250" t="s">
        <v>100</v>
      </c>
      <c r="B47" s="7" t="s">
        <v>148</v>
      </c>
      <c r="C47" s="783">
        <f>11728198+44997</f>
        <v>11773195</v>
      </c>
    </row>
    <row r="48" spans="1:3" ht="12" customHeight="1" x14ac:dyDescent="0.2">
      <c r="A48" s="250" t="s">
        <v>101</v>
      </c>
      <c r="B48" s="7" t="s">
        <v>124</v>
      </c>
      <c r="C48" s="614">
        <f>15292331+10000-285000</f>
        <v>15017331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526">
        <f>SUM(C52:C54)</f>
        <v>2070010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1630810+134200+305000</f>
        <v>2070010</v>
      </c>
    </row>
    <row r="53" spans="1:3" ht="12" customHeight="1" x14ac:dyDescent="0.2">
      <c r="A53" s="250" t="s">
        <v>106</v>
      </c>
      <c r="B53" s="7" t="s">
        <v>152</v>
      </c>
      <c r="C53" s="646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790">
        <f>+C45+C51+C56</f>
        <v>88035702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617">
        <v>21</v>
      </c>
    </row>
    <row r="60" spans="1:3" ht="13.5" thickBot="1" x14ac:dyDescent="0.25">
      <c r="A60" s="121" t="s">
        <v>164</v>
      </c>
      <c r="B60" s="122"/>
      <c r="C60" s="6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17/2018.(VII.27.)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J3" sqref="J3"/>
    </sheetView>
  </sheetViews>
  <sheetFormatPr defaultRowHeight="12.75" x14ac:dyDescent="0.2"/>
  <cols>
    <col min="1" max="1" width="13.83203125" style="119" customWidth="1"/>
    <col min="2" max="2" width="79.1640625" style="120" customWidth="1"/>
    <col min="3" max="3" width="25" style="539" customWidth="1"/>
    <col min="4" max="256" width="9.33203125" style="120"/>
    <col min="257" max="257" width="13.83203125" style="120" customWidth="1"/>
    <col min="258" max="258" width="79.1640625" style="120" customWidth="1"/>
    <col min="259" max="259" width="25" style="120" customWidth="1"/>
    <col min="260" max="512" width="9.33203125" style="120"/>
    <col min="513" max="513" width="13.83203125" style="120" customWidth="1"/>
    <col min="514" max="514" width="79.1640625" style="120" customWidth="1"/>
    <col min="515" max="515" width="25" style="120" customWidth="1"/>
    <col min="516" max="768" width="9.33203125" style="120"/>
    <col min="769" max="769" width="13.83203125" style="120" customWidth="1"/>
    <col min="770" max="770" width="79.1640625" style="120" customWidth="1"/>
    <col min="771" max="771" width="25" style="120" customWidth="1"/>
    <col min="772" max="1024" width="9.33203125" style="120"/>
    <col min="1025" max="1025" width="13.83203125" style="120" customWidth="1"/>
    <col min="1026" max="1026" width="79.1640625" style="120" customWidth="1"/>
    <col min="1027" max="1027" width="25" style="120" customWidth="1"/>
    <col min="1028" max="1280" width="9.33203125" style="120"/>
    <col min="1281" max="1281" width="13.83203125" style="120" customWidth="1"/>
    <col min="1282" max="1282" width="79.1640625" style="120" customWidth="1"/>
    <col min="1283" max="1283" width="25" style="120" customWidth="1"/>
    <col min="1284" max="1536" width="9.33203125" style="120"/>
    <col min="1537" max="1537" width="13.83203125" style="120" customWidth="1"/>
    <col min="1538" max="1538" width="79.1640625" style="120" customWidth="1"/>
    <col min="1539" max="1539" width="25" style="120" customWidth="1"/>
    <col min="1540" max="1792" width="9.33203125" style="120"/>
    <col min="1793" max="1793" width="13.83203125" style="120" customWidth="1"/>
    <col min="1794" max="1794" width="79.1640625" style="120" customWidth="1"/>
    <col min="1795" max="1795" width="25" style="120" customWidth="1"/>
    <col min="1796" max="2048" width="9.33203125" style="120"/>
    <col min="2049" max="2049" width="13.83203125" style="120" customWidth="1"/>
    <col min="2050" max="2050" width="79.1640625" style="120" customWidth="1"/>
    <col min="2051" max="2051" width="25" style="120" customWidth="1"/>
    <col min="2052" max="2304" width="9.33203125" style="120"/>
    <col min="2305" max="2305" width="13.83203125" style="120" customWidth="1"/>
    <col min="2306" max="2306" width="79.1640625" style="120" customWidth="1"/>
    <col min="2307" max="2307" width="25" style="120" customWidth="1"/>
    <col min="2308" max="2560" width="9.33203125" style="120"/>
    <col min="2561" max="2561" width="13.83203125" style="120" customWidth="1"/>
    <col min="2562" max="2562" width="79.1640625" style="120" customWidth="1"/>
    <col min="2563" max="2563" width="25" style="120" customWidth="1"/>
    <col min="2564" max="2816" width="9.33203125" style="120"/>
    <col min="2817" max="2817" width="13.83203125" style="120" customWidth="1"/>
    <col min="2818" max="2818" width="79.1640625" style="120" customWidth="1"/>
    <col min="2819" max="2819" width="25" style="120" customWidth="1"/>
    <col min="2820" max="3072" width="9.33203125" style="120"/>
    <col min="3073" max="3073" width="13.83203125" style="120" customWidth="1"/>
    <col min="3074" max="3074" width="79.1640625" style="120" customWidth="1"/>
    <col min="3075" max="3075" width="25" style="120" customWidth="1"/>
    <col min="3076" max="3328" width="9.33203125" style="120"/>
    <col min="3329" max="3329" width="13.83203125" style="120" customWidth="1"/>
    <col min="3330" max="3330" width="79.1640625" style="120" customWidth="1"/>
    <col min="3331" max="3331" width="25" style="120" customWidth="1"/>
    <col min="3332" max="3584" width="9.33203125" style="120"/>
    <col min="3585" max="3585" width="13.83203125" style="120" customWidth="1"/>
    <col min="3586" max="3586" width="79.1640625" style="120" customWidth="1"/>
    <col min="3587" max="3587" width="25" style="120" customWidth="1"/>
    <col min="3588" max="3840" width="9.33203125" style="120"/>
    <col min="3841" max="3841" width="13.83203125" style="120" customWidth="1"/>
    <col min="3842" max="3842" width="79.1640625" style="120" customWidth="1"/>
    <col min="3843" max="3843" width="25" style="120" customWidth="1"/>
    <col min="3844" max="4096" width="9.33203125" style="120"/>
    <col min="4097" max="4097" width="13.83203125" style="120" customWidth="1"/>
    <col min="4098" max="4098" width="79.1640625" style="120" customWidth="1"/>
    <col min="4099" max="4099" width="25" style="120" customWidth="1"/>
    <col min="4100" max="4352" width="9.33203125" style="120"/>
    <col min="4353" max="4353" width="13.83203125" style="120" customWidth="1"/>
    <col min="4354" max="4354" width="79.1640625" style="120" customWidth="1"/>
    <col min="4355" max="4355" width="25" style="120" customWidth="1"/>
    <col min="4356" max="4608" width="9.33203125" style="120"/>
    <col min="4609" max="4609" width="13.83203125" style="120" customWidth="1"/>
    <col min="4610" max="4610" width="79.1640625" style="120" customWidth="1"/>
    <col min="4611" max="4611" width="25" style="120" customWidth="1"/>
    <col min="4612" max="4864" width="9.33203125" style="120"/>
    <col min="4865" max="4865" width="13.83203125" style="120" customWidth="1"/>
    <col min="4866" max="4866" width="79.1640625" style="120" customWidth="1"/>
    <col min="4867" max="4867" width="25" style="120" customWidth="1"/>
    <col min="4868" max="5120" width="9.33203125" style="120"/>
    <col min="5121" max="5121" width="13.83203125" style="120" customWidth="1"/>
    <col min="5122" max="5122" width="79.1640625" style="120" customWidth="1"/>
    <col min="5123" max="5123" width="25" style="120" customWidth="1"/>
    <col min="5124" max="5376" width="9.33203125" style="120"/>
    <col min="5377" max="5377" width="13.83203125" style="120" customWidth="1"/>
    <col min="5378" max="5378" width="79.1640625" style="120" customWidth="1"/>
    <col min="5379" max="5379" width="25" style="120" customWidth="1"/>
    <col min="5380" max="5632" width="9.33203125" style="120"/>
    <col min="5633" max="5633" width="13.83203125" style="120" customWidth="1"/>
    <col min="5634" max="5634" width="79.1640625" style="120" customWidth="1"/>
    <col min="5635" max="5635" width="25" style="120" customWidth="1"/>
    <col min="5636" max="5888" width="9.33203125" style="120"/>
    <col min="5889" max="5889" width="13.83203125" style="120" customWidth="1"/>
    <col min="5890" max="5890" width="79.1640625" style="120" customWidth="1"/>
    <col min="5891" max="5891" width="25" style="120" customWidth="1"/>
    <col min="5892" max="6144" width="9.33203125" style="120"/>
    <col min="6145" max="6145" width="13.83203125" style="120" customWidth="1"/>
    <col min="6146" max="6146" width="79.1640625" style="120" customWidth="1"/>
    <col min="6147" max="6147" width="25" style="120" customWidth="1"/>
    <col min="6148" max="6400" width="9.33203125" style="120"/>
    <col min="6401" max="6401" width="13.83203125" style="120" customWidth="1"/>
    <col min="6402" max="6402" width="79.1640625" style="120" customWidth="1"/>
    <col min="6403" max="6403" width="25" style="120" customWidth="1"/>
    <col min="6404" max="6656" width="9.33203125" style="120"/>
    <col min="6657" max="6657" width="13.83203125" style="120" customWidth="1"/>
    <col min="6658" max="6658" width="79.1640625" style="120" customWidth="1"/>
    <col min="6659" max="6659" width="25" style="120" customWidth="1"/>
    <col min="6660" max="6912" width="9.33203125" style="120"/>
    <col min="6913" max="6913" width="13.83203125" style="120" customWidth="1"/>
    <col min="6914" max="6914" width="79.1640625" style="120" customWidth="1"/>
    <col min="6915" max="6915" width="25" style="120" customWidth="1"/>
    <col min="6916" max="7168" width="9.33203125" style="120"/>
    <col min="7169" max="7169" width="13.83203125" style="120" customWidth="1"/>
    <col min="7170" max="7170" width="79.1640625" style="120" customWidth="1"/>
    <col min="7171" max="7171" width="25" style="120" customWidth="1"/>
    <col min="7172" max="7424" width="9.33203125" style="120"/>
    <col min="7425" max="7425" width="13.83203125" style="120" customWidth="1"/>
    <col min="7426" max="7426" width="79.1640625" style="120" customWidth="1"/>
    <col min="7427" max="7427" width="25" style="120" customWidth="1"/>
    <col min="7428" max="7680" width="9.33203125" style="120"/>
    <col min="7681" max="7681" width="13.83203125" style="120" customWidth="1"/>
    <col min="7682" max="7682" width="79.1640625" style="120" customWidth="1"/>
    <col min="7683" max="7683" width="25" style="120" customWidth="1"/>
    <col min="7684" max="7936" width="9.33203125" style="120"/>
    <col min="7937" max="7937" width="13.83203125" style="120" customWidth="1"/>
    <col min="7938" max="7938" width="79.1640625" style="120" customWidth="1"/>
    <col min="7939" max="7939" width="25" style="120" customWidth="1"/>
    <col min="7940" max="8192" width="9.33203125" style="120"/>
    <col min="8193" max="8193" width="13.83203125" style="120" customWidth="1"/>
    <col min="8194" max="8194" width="79.1640625" style="120" customWidth="1"/>
    <col min="8195" max="8195" width="25" style="120" customWidth="1"/>
    <col min="8196" max="8448" width="9.33203125" style="120"/>
    <col min="8449" max="8449" width="13.83203125" style="120" customWidth="1"/>
    <col min="8450" max="8450" width="79.1640625" style="120" customWidth="1"/>
    <col min="8451" max="8451" width="25" style="120" customWidth="1"/>
    <col min="8452" max="8704" width="9.33203125" style="120"/>
    <col min="8705" max="8705" width="13.83203125" style="120" customWidth="1"/>
    <col min="8706" max="8706" width="79.1640625" style="120" customWidth="1"/>
    <col min="8707" max="8707" width="25" style="120" customWidth="1"/>
    <col min="8708" max="8960" width="9.33203125" style="120"/>
    <col min="8961" max="8961" width="13.83203125" style="120" customWidth="1"/>
    <col min="8962" max="8962" width="79.1640625" style="120" customWidth="1"/>
    <col min="8963" max="8963" width="25" style="120" customWidth="1"/>
    <col min="8964" max="9216" width="9.33203125" style="120"/>
    <col min="9217" max="9217" width="13.83203125" style="120" customWidth="1"/>
    <col min="9218" max="9218" width="79.1640625" style="120" customWidth="1"/>
    <col min="9219" max="9219" width="25" style="120" customWidth="1"/>
    <col min="9220" max="9472" width="9.33203125" style="120"/>
    <col min="9473" max="9473" width="13.83203125" style="120" customWidth="1"/>
    <col min="9474" max="9474" width="79.1640625" style="120" customWidth="1"/>
    <col min="9475" max="9475" width="25" style="120" customWidth="1"/>
    <col min="9476" max="9728" width="9.33203125" style="120"/>
    <col min="9729" max="9729" width="13.83203125" style="120" customWidth="1"/>
    <col min="9730" max="9730" width="79.1640625" style="120" customWidth="1"/>
    <col min="9731" max="9731" width="25" style="120" customWidth="1"/>
    <col min="9732" max="9984" width="9.33203125" style="120"/>
    <col min="9985" max="9985" width="13.83203125" style="120" customWidth="1"/>
    <col min="9986" max="9986" width="79.1640625" style="120" customWidth="1"/>
    <col min="9987" max="9987" width="25" style="120" customWidth="1"/>
    <col min="9988" max="10240" width="9.33203125" style="120"/>
    <col min="10241" max="10241" width="13.83203125" style="120" customWidth="1"/>
    <col min="10242" max="10242" width="79.1640625" style="120" customWidth="1"/>
    <col min="10243" max="10243" width="25" style="120" customWidth="1"/>
    <col min="10244" max="10496" width="9.33203125" style="120"/>
    <col min="10497" max="10497" width="13.83203125" style="120" customWidth="1"/>
    <col min="10498" max="10498" width="79.1640625" style="120" customWidth="1"/>
    <col min="10499" max="10499" width="25" style="120" customWidth="1"/>
    <col min="10500" max="10752" width="9.33203125" style="120"/>
    <col min="10753" max="10753" width="13.83203125" style="120" customWidth="1"/>
    <col min="10754" max="10754" width="79.1640625" style="120" customWidth="1"/>
    <col min="10755" max="10755" width="25" style="120" customWidth="1"/>
    <col min="10756" max="11008" width="9.33203125" style="120"/>
    <col min="11009" max="11009" width="13.83203125" style="120" customWidth="1"/>
    <col min="11010" max="11010" width="79.1640625" style="120" customWidth="1"/>
    <col min="11011" max="11011" width="25" style="120" customWidth="1"/>
    <col min="11012" max="11264" width="9.33203125" style="120"/>
    <col min="11265" max="11265" width="13.83203125" style="120" customWidth="1"/>
    <col min="11266" max="11266" width="79.1640625" style="120" customWidth="1"/>
    <col min="11267" max="11267" width="25" style="120" customWidth="1"/>
    <col min="11268" max="11520" width="9.33203125" style="120"/>
    <col min="11521" max="11521" width="13.83203125" style="120" customWidth="1"/>
    <col min="11522" max="11522" width="79.1640625" style="120" customWidth="1"/>
    <col min="11523" max="11523" width="25" style="120" customWidth="1"/>
    <col min="11524" max="11776" width="9.33203125" style="120"/>
    <col min="11777" max="11777" width="13.83203125" style="120" customWidth="1"/>
    <col min="11778" max="11778" width="79.1640625" style="120" customWidth="1"/>
    <col min="11779" max="11779" width="25" style="120" customWidth="1"/>
    <col min="11780" max="12032" width="9.33203125" style="120"/>
    <col min="12033" max="12033" width="13.83203125" style="120" customWidth="1"/>
    <col min="12034" max="12034" width="79.1640625" style="120" customWidth="1"/>
    <col min="12035" max="12035" width="25" style="120" customWidth="1"/>
    <col min="12036" max="12288" width="9.33203125" style="120"/>
    <col min="12289" max="12289" width="13.83203125" style="120" customWidth="1"/>
    <col min="12290" max="12290" width="79.1640625" style="120" customWidth="1"/>
    <col min="12291" max="12291" width="25" style="120" customWidth="1"/>
    <col min="12292" max="12544" width="9.33203125" style="120"/>
    <col min="12545" max="12545" width="13.83203125" style="120" customWidth="1"/>
    <col min="12546" max="12546" width="79.1640625" style="120" customWidth="1"/>
    <col min="12547" max="12547" width="25" style="120" customWidth="1"/>
    <col min="12548" max="12800" width="9.33203125" style="120"/>
    <col min="12801" max="12801" width="13.83203125" style="120" customWidth="1"/>
    <col min="12802" max="12802" width="79.1640625" style="120" customWidth="1"/>
    <col min="12803" max="12803" width="25" style="120" customWidth="1"/>
    <col min="12804" max="13056" width="9.33203125" style="120"/>
    <col min="13057" max="13057" width="13.83203125" style="120" customWidth="1"/>
    <col min="13058" max="13058" width="79.1640625" style="120" customWidth="1"/>
    <col min="13059" max="13059" width="25" style="120" customWidth="1"/>
    <col min="13060" max="13312" width="9.33203125" style="120"/>
    <col min="13313" max="13313" width="13.83203125" style="120" customWidth="1"/>
    <col min="13314" max="13314" width="79.1640625" style="120" customWidth="1"/>
    <col min="13315" max="13315" width="25" style="120" customWidth="1"/>
    <col min="13316" max="13568" width="9.33203125" style="120"/>
    <col min="13569" max="13569" width="13.83203125" style="120" customWidth="1"/>
    <col min="13570" max="13570" width="79.1640625" style="120" customWidth="1"/>
    <col min="13571" max="13571" width="25" style="120" customWidth="1"/>
    <col min="13572" max="13824" width="9.33203125" style="120"/>
    <col min="13825" max="13825" width="13.83203125" style="120" customWidth="1"/>
    <col min="13826" max="13826" width="79.1640625" style="120" customWidth="1"/>
    <col min="13827" max="13827" width="25" style="120" customWidth="1"/>
    <col min="13828" max="14080" width="9.33203125" style="120"/>
    <col min="14081" max="14081" width="13.83203125" style="120" customWidth="1"/>
    <col min="14082" max="14082" width="79.1640625" style="120" customWidth="1"/>
    <col min="14083" max="14083" width="25" style="120" customWidth="1"/>
    <col min="14084" max="14336" width="9.33203125" style="120"/>
    <col min="14337" max="14337" width="13.83203125" style="120" customWidth="1"/>
    <col min="14338" max="14338" width="79.1640625" style="120" customWidth="1"/>
    <col min="14339" max="14339" width="25" style="120" customWidth="1"/>
    <col min="14340" max="14592" width="9.33203125" style="120"/>
    <col min="14593" max="14593" width="13.83203125" style="120" customWidth="1"/>
    <col min="14594" max="14594" width="79.1640625" style="120" customWidth="1"/>
    <col min="14595" max="14595" width="25" style="120" customWidth="1"/>
    <col min="14596" max="14848" width="9.33203125" style="120"/>
    <col min="14849" max="14849" width="13.83203125" style="120" customWidth="1"/>
    <col min="14850" max="14850" width="79.1640625" style="120" customWidth="1"/>
    <col min="14851" max="14851" width="25" style="120" customWidth="1"/>
    <col min="14852" max="15104" width="9.33203125" style="120"/>
    <col min="15105" max="15105" width="13.83203125" style="120" customWidth="1"/>
    <col min="15106" max="15106" width="79.1640625" style="120" customWidth="1"/>
    <col min="15107" max="15107" width="25" style="120" customWidth="1"/>
    <col min="15108" max="15360" width="9.33203125" style="120"/>
    <col min="15361" max="15361" width="13.83203125" style="120" customWidth="1"/>
    <col min="15362" max="15362" width="79.1640625" style="120" customWidth="1"/>
    <col min="15363" max="15363" width="25" style="120" customWidth="1"/>
    <col min="15364" max="15616" width="9.33203125" style="120"/>
    <col min="15617" max="15617" width="13.83203125" style="120" customWidth="1"/>
    <col min="15618" max="15618" width="79.1640625" style="120" customWidth="1"/>
    <col min="15619" max="15619" width="25" style="120" customWidth="1"/>
    <col min="15620" max="15872" width="9.33203125" style="120"/>
    <col min="15873" max="15873" width="13.83203125" style="120" customWidth="1"/>
    <col min="15874" max="15874" width="79.1640625" style="120" customWidth="1"/>
    <col min="15875" max="15875" width="25" style="120" customWidth="1"/>
    <col min="15876" max="16128" width="9.33203125" style="120"/>
    <col min="16129" max="16129" width="13.83203125" style="120" customWidth="1"/>
    <col min="16130" max="16130" width="79.1640625" style="120" customWidth="1"/>
    <col min="16131" max="16131" width="25" style="120" customWidth="1"/>
    <col min="16132" max="16384" width="9.33203125" style="120"/>
  </cols>
  <sheetData>
    <row r="1" spans="1:3" s="99" customFormat="1" ht="21" customHeight="1" thickBot="1" x14ac:dyDescent="0.25">
      <c r="A1" s="98"/>
      <c r="B1" s="100"/>
      <c r="C1" s="519"/>
    </row>
    <row r="2" spans="1:3" s="255" customFormat="1" ht="36" customHeight="1" x14ac:dyDescent="0.2">
      <c r="A2" s="212" t="s">
        <v>162</v>
      </c>
      <c r="B2" s="186" t="s">
        <v>568</v>
      </c>
      <c r="C2" s="520" t="s">
        <v>66</v>
      </c>
    </row>
    <row r="3" spans="1:3" s="255" customFormat="1" ht="24.75" thickBot="1" x14ac:dyDescent="0.25">
      <c r="A3" s="248" t="s">
        <v>161</v>
      </c>
      <c r="B3" s="187" t="s">
        <v>360</v>
      </c>
      <c r="C3" s="521" t="s">
        <v>65</v>
      </c>
    </row>
    <row r="4" spans="1:3" s="256" customFormat="1" ht="15.95" customHeight="1" thickBot="1" x14ac:dyDescent="0.3">
      <c r="A4" s="102"/>
      <c r="B4" s="102"/>
      <c r="C4" s="522" t="s">
        <v>599</v>
      </c>
    </row>
    <row r="5" spans="1:3" ht="13.5" thickBot="1" x14ac:dyDescent="0.25">
      <c r="A5" s="213" t="s">
        <v>163</v>
      </c>
      <c r="B5" s="104" t="s">
        <v>59</v>
      </c>
      <c r="C5" s="523" t="s">
        <v>60</v>
      </c>
    </row>
    <row r="6" spans="1:3" s="257" customFormat="1" ht="12.95" customHeight="1" thickBot="1" x14ac:dyDescent="0.25">
      <c r="A6" s="90" t="s">
        <v>471</v>
      </c>
      <c r="B6" s="91" t="s">
        <v>472</v>
      </c>
      <c r="C6" s="524" t="s">
        <v>473</v>
      </c>
    </row>
    <row r="7" spans="1:3" s="257" customFormat="1" ht="15.95" customHeight="1" thickBot="1" x14ac:dyDescent="0.25">
      <c r="A7" s="106"/>
      <c r="B7" s="107" t="s">
        <v>61</v>
      </c>
      <c r="C7" s="525"/>
    </row>
    <row r="8" spans="1:3" s="202" customFormat="1" ht="12" customHeight="1" thickBot="1" x14ac:dyDescent="0.25">
      <c r="A8" s="90" t="s">
        <v>23</v>
      </c>
      <c r="B8" s="109" t="s">
        <v>553</v>
      </c>
      <c r="C8" s="526">
        <f>SUM(C9:C19)</f>
        <v>850595</v>
      </c>
    </row>
    <row r="9" spans="1:3" s="202" customFormat="1" ht="12" customHeight="1" x14ac:dyDescent="0.2">
      <c r="A9" s="249" t="s">
        <v>99</v>
      </c>
      <c r="B9" s="9" t="s">
        <v>218</v>
      </c>
      <c r="C9" s="527"/>
    </row>
    <row r="10" spans="1:3" s="202" customFormat="1" ht="12" customHeight="1" x14ac:dyDescent="0.2">
      <c r="A10" s="250" t="s">
        <v>100</v>
      </c>
      <c r="B10" s="7" t="s">
        <v>219</v>
      </c>
      <c r="C10" s="528"/>
    </row>
    <row r="11" spans="1:3" s="202" customFormat="1" ht="12" customHeight="1" x14ac:dyDescent="0.2">
      <c r="A11" s="250" t="s">
        <v>101</v>
      </c>
      <c r="B11" s="7" t="s">
        <v>220</v>
      </c>
      <c r="C11" s="528"/>
    </row>
    <row r="12" spans="1:3" s="202" customFormat="1" ht="12" customHeight="1" x14ac:dyDescent="0.2">
      <c r="A12" s="250" t="s">
        <v>102</v>
      </c>
      <c r="B12" s="7" t="s">
        <v>221</v>
      </c>
      <c r="C12" s="528"/>
    </row>
    <row r="13" spans="1:3" s="202" customFormat="1" ht="12" customHeight="1" x14ac:dyDescent="0.2">
      <c r="A13" s="250" t="s">
        <v>125</v>
      </c>
      <c r="B13" s="7" t="s">
        <v>222</v>
      </c>
      <c r="C13" s="528">
        <v>669760</v>
      </c>
    </row>
    <row r="14" spans="1:3" s="202" customFormat="1" ht="12" customHeight="1" x14ac:dyDescent="0.2">
      <c r="A14" s="250" t="s">
        <v>103</v>
      </c>
      <c r="B14" s="7" t="s">
        <v>343</v>
      </c>
      <c r="C14" s="528">
        <v>180835</v>
      </c>
    </row>
    <row r="15" spans="1:3" s="202" customFormat="1" ht="12" customHeight="1" x14ac:dyDescent="0.2">
      <c r="A15" s="250" t="s">
        <v>104</v>
      </c>
      <c r="B15" s="6" t="s">
        <v>344</v>
      </c>
      <c r="C15" s="528"/>
    </row>
    <row r="16" spans="1:3" s="202" customFormat="1" ht="12" customHeight="1" x14ac:dyDescent="0.2">
      <c r="A16" s="250" t="s">
        <v>114</v>
      </c>
      <c r="B16" s="7" t="s">
        <v>225</v>
      </c>
      <c r="C16" s="529"/>
    </row>
    <row r="17" spans="1:3" s="258" customFormat="1" ht="12" customHeight="1" x14ac:dyDescent="0.2">
      <c r="A17" s="250" t="s">
        <v>115</v>
      </c>
      <c r="B17" s="7" t="s">
        <v>226</v>
      </c>
      <c r="C17" s="528"/>
    </row>
    <row r="18" spans="1:3" s="258" customFormat="1" ht="12" customHeight="1" x14ac:dyDescent="0.2">
      <c r="A18" s="250" t="s">
        <v>116</v>
      </c>
      <c r="B18" s="7" t="s">
        <v>480</v>
      </c>
      <c r="C18" s="530"/>
    </row>
    <row r="19" spans="1:3" s="258" customFormat="1" ht="12" customHeight="1" thickBot="1" x14ac:dyDescent="0.25">
      <c r="A19" s="250" t="s">
        <v>117</v>
      </c>
      <c r="B19" s="6" t="s">
        <v>227</v>
      </c>
      <c r="C19" s="530"/>
    </row>
    <row r="20" spans="1:3" s="202" customFormat="1" ht="12" customHeight="1" thickBot="1" x14ac:dyDescent="0.25">
      <c r="A20" s="90" t="s">
        <v>24</v>
      </c>
      <c r="B20" s="109" t="s">
        <v>345</v>
      </c>
      <c r="C20" s="526">
        <f>SUM(C21:C23)</f>
        <v>0</v>
      </c>
    </row>
    <row r="21" spans="1:3" s="258" customFormat="1" ht="12" customHeight="1" x14ac:dyDescent="0.2">
      <c r="A21" s="250" t="s">
        <v>105</v>
      </c>
      <c r="B21" s="8" t="s">
        <v>195</v>
      </c>
      <c r="C21" s="528"/>
    </row>
    <row r="22" spans="1:3" s="258" customFormat="1" ht="12" customHeight="1" x14ac:dyDescent="0.2">
      <c r="A22" s="250" t="s">
        <v>106</v>
      </c>
      <c r="B22" s="7" t="s">
        <v>346</v>
      </c>
      <c r="C22" s="528"/>
    </row>
    <row r="23" spans="1:3" s="258" customFormat="1" ht="12" customHeight="1" x14ac:dyDescent="0.2">
      <c r="A23" s="250" t="s">
        <v>107</v>
      </c>
      <c r="B23" s="7" t="s">
        <v>347</v>
      </c>
      <c r="C23" s="528"/>
    </row>
    <row r="24" spans="1:3" s="258" customFormat="1" ht="12" customHeight="1" thickBot="1" x14ac:dyDescent="0.25">
      <c r="A24" s="250" t="s">
        <v>108</v>
      </c>
      <c r="B24" s="7" t="s">
        <v>563</v>
      </c>
      <c r="C24" s="528"/>
    </row>
    <row r="25" spans="1:3" s="258" customFormat="1" ht="12" customHeight="1" thickBot="1" x14ac:dyDescent="0.25">
      <c r="A25" s="93" t="s">
        <v>25</v>
      </c>
      <c r="B25" s="77" t="s">
        <v>139</v>
      </c>
      <c r="C25" s="531"/>
    </row>
    <row r="26" spans="1:3" s="258" customFormat="1" ht="12" customHeight="1" thickBot="1" x14ac:dyDescent="0.25">
      <c r="A26" s="93" t="s">
        <v>26</v>
      </c>
      <c r="B26" s="77" t="s">
        <v>564</v>
      </c>
      <c r="C26" s="526">
        <f>+C27+C28</f>
        <v>0</v>
      </c>
    </row>
    <row r="27" spans="1:3" s="258" customFormat="1" ht="12" customHeight="1" x14ac:dyDescent="0.2">
      <c r="A27" s="251" t="s">
        <v>205</v>
      </c>
      <c r="B27" s="252" t="s">
        <v>346</v>
      </c>
      <c r="C27" s="532"/>
    </row>
    <row r="28" spans="1:3" s="258" customFormat="1" ht="12" customHeight="1" x14ac:dyDescent="0.2">
      <c r="A28" s="251" t="s">
        <v>208</v>
      </c>
      <c r="B28" s="253" t="s">
        <v>348</v>
      </c>
      <c r="C28" s="533"/>
    </row>
    <row r="29" spans="1:3" s="258" customFormat="1" ht="12" customHeight="1" thickBot="1" x14ac:dyDescent="0.25">
      <c r="A29" s="250" t="s">
        <v>209</v>
      </c>
      <c r="B29" s="80" t="s">
        <v>565</v>
      </c>
      <c r="C29" s="534"/>
    </row>
    <row r="30" spans="1:3" s="258" customFormat="1" ht="12" customHeight="1" thickBot="1" x14ac:dyDescent="0.25">
      <c r="A30" s="93" t="s">
        <v>27</v>
      </c>
      <c r="B30" s="77" t="s">
        <v>349</v>
      </c>
      <c r="C30" s="526">
        <f>+C31+C32+C33</f>
        <v>0</v>
      </c>
    </row>
    <row r="31" spans="1:3" s="258" customFormat="1" ht="12" customHeight="1" x14ac:dyDescent="0.2">
      <c r="A31" s="251" t="s">
        <v>92</v>
      </c>
      <c r="B31" s="252" t="s">
        <v>232</v>
      </c>
      <c r="C31" s="532"/>
    </row>
    <row r="32" spans="1:3" s="258" customFormat="1" ht="12" customHeight="1" x14ac:dyDescent="0.2">
      <c r="A32" s="251" t="s">
        <v>93</v>
      </c>
      <c r="B32" s="253" t="s">
        <v>233</v>
      </c>
      <c r="C32" s="533"/>
    </row>
    <row r="33" spans="1:3" s="258" customFormat="1" ht="12" customHeight="1" thickBot="1" x14ac:dyDescent="0.25">
      <c r="A33" s="250" t="s">
        <v>94</v>
      </c>
      <c r="B33" s="80" t="s">
        <v>234</v>
      </c>
      <c r="C33" s="534"/>
    </row>
    <row r="34" spans="1:3" s="202" customFormat="1" ht="12" customHeight="1" thickBot="1" x14ac:dyDescent="0.25">
      <c r="A34" s="93" t="s">
        <v>28</v>
      </c>
      <c r="B34" s="77" t="s">
        <v>320</v>
      </c>
      <c r="C34" s="531"/>
    </row>
    <row r="35" spans="1:3" s="202" customFormat="1" ht="12" customHeight="1" thickBot="1" x14ac:dyDescent="0.25">
      <c r="A35" s="93" t="s">
        <v>29</v>
      </c>
      <c r="B35" s="77" t="s">
        <v>350</v>
      </c>
      <c r="C35" s="985">
        <v>20000</v>
      </c>
    </row>
    <row r="36" spans="1:3" s="202" customFormat="1" ht="12" customHeight="1" thickBot="1" x14ac:dyDescent="0.25">
      <c r="A36" s="90" t="s">
        <v>30</v>
      </c>
      <c r="B36" s="77" t="s">
        <v>566</v>
      </c>
      <c r="C36" s="536">
        <f>+C8+C20+C25+C26+C30+C34+C35</f>
        <v>870595</v>
      </c>
    </row>
    <row r="37" spans="1:3" s="202" customFormat="1" ht="12" customHeight="1" thickBot="1" x14ac:dyDescent="0.25">
      <c r="A37" s="110" t="s">
        <v>31</v>
      </c>
      <c r="B37" s="77" t="s">
        <v>352</v>
      </c>
      <c r="C37" s="789">
        <f>+C38+C39+C40</f>
        <v>87165107</v>
      </c>
    </row>
    <row r="38" spans="1:3" s="202" customFormat="1" ht="12" customHeight="1" x14ac:dyDescent="0.2">
      <c r="A38" s="251" t="s">
        <v>353</v>
      </c>
      <c r="B38" s="252" t="s">
        <v>177</v>
      </c>
      <c r="C38" s="532">
        <v>93639</v>
      </c>
    </row>
    <row r="39" spans="1:3" s="202" customFormat="1" ht="12" customHeight="1" x14ac:dyDescent="0.2">
      <c r="A39" s="251" t="s">
        <v>354</v>
      </c>
      <c r="B39" s="253" t="s">
        <v>13</v>
      </c>
      <c r="C39" s="533"/>
    </row>
    <row r="40" spans="1:3" s="258" customFormat="1" ht="12" customHeight="1" thickBot="1" x14ac:dyDescent="0.25">
      <c r="A40" s="250" t="s">
        <v>355</v>
      </c>
      <c r="B40" s="80" t="s">
        <v>356</v>
      </c>
      <c r="C40" s="788">
        <f>86651516+10000+134200+275752</f>
        <v>87071468</v>
      </c>
    </row>
    <row r="41" spans="1:3" s="258" customFormat="1" ht="15" customHeight="1" thickBot="1" x14ac:dyDescent="0.25">
      <c r="A41" s="110" t="s">
        <v>32</v>
      </c>
      <c r="B41" s="111" t="s">
        <v>357</v>
      </c>
      <c r="C41" s="789">
        <f>+C36+C37</f>
        <v>88035702</v>
      </c>
    </row>
    <row r="42" spans="1:3" s="258" customFormat="1" ht="15" customHeight="1" x14ac:dyDescent="0.2">
      <c r="A42" s="112"/>
      <c r="B42" s="113"/>
      <c r="C42" s="615"/>
    </row>
    <row r="43" spans="1:3" ht="13.5" thickBot="1" x14ac:dyDescent="0.25">
      <c r="A43" s="114"/>
      <c r="B43" s="115"/>
      <c r="C43" s="616"/>
    </row>
    <row r="44" spans="1:3" s="257" customFormat="1" ht="16.5" customHeight="1" thickBot="1" x14ac:dyDescent="0.25">
      <c r="A44" s="116"/>
      <c r="B44" s="117" t="s">
        <v>62</v>
      </c>
      <c r="C44" s="536"/>
    </row>
    <row r="45" spans="1:3" s="259" customFormat="1" ht="12" customHeight="1" thickBot="1" x14ac:dyDescent="0.25">
      <c r="A45" s="93" t="s">
        <v>23</v>
      </c>
      <c r="B45" s="77" t="s">
        <v>358</v>
      </c>
      <c r="C45" s="790">
        <f>SUM(C46:C50)</f>
        <v>85965692</v>
      </c>
    </row>
    <row r="46" spans="1:3" ht="12" customHeight="1" x14ac:dyDescent="0.2">
      <c r="A46" s="250" t="s">
        <v>99</v>
      </c>
      <c r="B46" s="8" t="s">
        <v>54</v>
      </c>
      <c r="C46" s="781">
        <f>58944411+230755</f>
        <v>59175166</v>
      </c>
    </row>
    <row r="47" spans="1:3" ht="12" customHeight="1" x14ac:dyDescent="0.2">
      <c r="A47" s="250" t="s">
        <v>100</v>
      </c>
      <c r="B47" s="7" t="s">
        <v>148</v>
      </c>
      <c r="C47" s="783">
        <f>11728198+44997</f>
        <v>11773195</v>
      </c>
    </row>
    <row r="48" spans="1:3" ht="12" customHeight="1" x14ac:dyDescent="0.2">
      <c r="A48" s="250" t="s">
        <v>101</v>
      </c>
      <c r="B48" s="7" t="s">
        <v>124</v>
      </c>
      <c r="C48" s="614">
        <f>15292331+10000-285000</f>
        <v>15017331</v>
      </c>
    </row>
    <row r="49" spans="1:3" ht="12" customHeight="1" x14ac:dyDescent="0.2">
      <c r="A49" s="250" t="s">
        <v>102</v>
      </c>
      <c r="B49" s="7" t="s">
        <v>149</v>
      </c>
      <c r="C49" s="614"/>
    </row>
    <row r="50" spans="1:3" ht="12" customHeight="1" thickBot="1" x14ac:dyDescent="0.25">
      <c r="A50" s="250" t="s">
        <v>125</v>
      </c>
      <c r="B50" s="7" t="s">
        <v>150</v>
      </c>
      <c r="C50" s="614"/>
    </row>
    <row r="51" spans="1:3" ht="12" customHeight="1" thickBot="1" x14ac:dyDescent="0.25">
      <c r="A51" s="93" t="s">
        <v>24</v>
      </c>
      <c r="B51" s="77" t="s">
        <v>359</v>
      </c>
      <c r="C51" s="526">
        <f>SUM(C52:C54)</f>
        <v>2070010</v>
      </c>
    </row>
    <row r="52" spans="1:3" s="259" customFormat="1" ht="12" customHeight="1" x14ac:dyDescent="0.2">
      <c r="A52" s="250" t="s">
        <v>105</v>
      </c>
      <c r="B52" s="8" t="s">
        <v>168</v>
      </c>
      <c r="C52" s="532">
        <f>1630810+134200+305000</f>
        <v>2070010</v>
      </c>
    </row>
    <row r="53" spans="1:3" ht="12" customHeight="1" x14ac:dyDescent="0.2">
      <c r="A53" s="250" t="s">
        <v>106</v>
      </c>
      <c r="B53" s="7" t="s">
        <v>152</v>
      </c>
      <c r="C53" s="614"/>
    </row>
    <row r="54" spans="1:3" ht="12" customHeight="1" x14ac:dyDescent="0.2">
      <c r="A54" s="250" t="s">
        <v>107</v>
      </c>
      <c r="B54" s="7" t="s">
        <v>63</v>
      </c>
      <c r="C54" s="614"/>
    </row>
    <row r="55" spans="1:3" ht="12" customHeight="1" thickBot="1" x14ac:dyDescent="0.25">
      <c r="A55" s="250" t="s">
        <v>108</v>
      </c>
      <c r="B55" s="7" t="s">
        <v>557</v>
      </c>
      <c r="C55" s="614"/>
    </row>
    <row r="56" spans="1:3" ht="15" customHeight="1" thickBot="1" x14ac:dyDescent="0.25">
      <c r="A56" s="93" t="s">
        <v>25</v>
      </c>
      <c r="B56" s="77" t="s">
        <v>17</v>
      </c>
      <c r="C56" s="531"/>
    </row>
    <row r="57" spans="1:3" ht="13.5" thickBot="1" x14ac:dyDescent="0.25">
      <c r="A57" s="93" t="s">
        <v>26</v>
      </c>
      <c r="B57" s="118" t="s">
        <v>558</v>
      </c>
      <c r="C57" s="526">
        <f>+C45+C51+C56</f>
        <v>88035702</v>
      </c>
    </row>
    <row r="58" spans="1:3" ht="15" customHeight="1" thickBot="1" x14ac:dyDescent="0.25">
      <c r="C58" s="537"/>
    </row>
    <row r="59" spans="1:3" ht="14.25" customHeight="1" thickBot="1" x14ac:dyDescent="0.25">
      <c r="A59" s="121" t="s">
        <v>550</v>
      </c>
      <c r="B59" s="122"/>
      <c r="C59" s="617">
        <v>21</v>
      </c>
    </row>
    <row r="60" spans="1:3" ht="13.5" thickBot="1" x14ac:dyDescent="0.25">
      <c r="A60" s="121" t="s">
        <v>164</v>
      </c>
      <c r="B60" s="122"/>
      <c r="C60" s="538"/>
    </row>
    <row r="61" spans="1:3" x14ac:dyDescent="0.2">
      <c r="C61" s="620"/>
    </row>
    <row r="62" spans="1:3" x14ac:dyDescent="0.2">
      <c r="C62" s="620"/>
    </row>
    <row r="63" spans="1:3" x14ac:dyDescent="0.2">
      <c r="C63" s="620"/>
    </row>
    <row r="64" spans="1:3" x14ac:dyDescent="0.2">
      <c r="C64" s="620"/>
    </row>
    <row r="65" spans="3:3" x14ac:dyDescent="0.2">
      <c r="C65" s="620"/>
    </row>
    <row r="66" spans="3:3" x14ac:dyDescent="0.2">
      <c r="C66" s="620"/>
    </row>
    <row r="67" spans="3:3" x14ac:dyDescent="0.2">
      <c r="C67" s="620"/>
    </row>
    <row r="68" spans="3:3" x14ac:dyDescent="0.2">
      <c r="C68" s="6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17/2018.(VII.27.)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Layout" zoomScaleNormal="100" zoomScaleSheetLayoutView="115" workbookViewId="0">
      <selection activeCell="J3" sqref="J3"/>
    </sheetView>
  </sheetViews>
  <sheetFormatPr defaultColWidth="12.5" defaultRowHeight="12.75" x14ac:dyDescent="0.2"/>
  <cols>
    <col min="1" max="1" width="35.83203125" style="377" customWidth="1"/>
    <col min="2" max="2" width="12" style="377" customWidth="1"/>
    <col min="3" max="3" width="16" style="377" customWidth="1"/>
    <col min="4" max="4" width="15" style="810" customWidth="1"/>
    <col min="5" max="5" width="14" style="377" customWidth="1"/>
    <col min="6" max="6" width="13.6640625" style="377" customWidth="1"/>
    <col min="7" max="7" width="13.33203125" style="377" customWidth="1"/>
    <col min="8" max="8" width="12.33203125" style="377" customWidth="1"/>
    <col min="9" max="10" width="12" style="377" customWidth="1"/>
    <col min="11" max="11" width="14.83203125" style="377" customWidth="1"/>
    <col min="12" max="12" width="12.6640625" style="377" bestFit="1" customWidth="1"/>
    <col min="13" max="257" width="12.5" style="377"/>
    <col min="258" max="258" width="34" style="377" bestFit="1" customWidth="1"/>
    <col min="259" max="259" width="13" style="377" bestFit="1" customWidth="1"/>
    <col min="260" max="261" width="14.83203125" style="377" bestFit="1" customWidth="1"/>
    <col min="262" max="262" width="13.1640625" style="377" customWidth="1"/>
    <col min="263" max="264" width="13" style="377" bestFit="1" customWidth="1"/>
    <col min="265" max="265" width="12.83203125" style="377" customWidth="1"/>
    <col min="266" max="266" width="11.83203125" style="377" bestFit="1" customWidth="1"/>
    <col min="267" max="267" width="14.83203125" style="377" bestFit="1" customWidth="1"/>
    <col min="268" max="513" width="12.5" style="377"/>
    <col min="514" max="514" width="34" style="377" bestFit="1" customWidth="1"/>
    <col min="515" max="515" width="13" style="377" bestFit="1" customWidth="1"/>
    <col min="516" max="517" width="14.83203125" style="377" bestFit="1" customWidth="1"/>
    <col min="518" max="518" width="13.1640625" style="377" customWidth="1"/>
    <col min="519" max="520" width="13" style="377" bestFit="1" customWidth="1"/>
    <col min="521" max="521" width="12.83203125" style="377" customWidth="1"/>
    <col min="522" max="522" width="11.83203125" style="377" bestFit="1" customWidth="1"/>
    <col min="523" max="523" width="14.83203125" style="377" bestFit="1" customWidth="1"/>
    <col min="524" max="769" width="12.5" style="377"/>
    <col min="770" max="770" width="34" style="377" bestFit="1" customWidth="1"/>
    <col min="771" max="771" width="13" style="377" bestFit="1" customWidth="1"/>
    <col min="772" max="773" width="14.83203125" style="377" bestFit="1" customWidth="1"/>
    <col min="774" max="774" width="13.1640625" style="377" customWidth="1"/>
    <col min="775" max="776" width="13" style="377" bestFit="1" customWidth="1"/>
    <col min="777" max="777" width="12.83203125" style="377" customWidth="1"/>
    <col min="778" max="778" width="11.83203125" style="377" bestFit="1" customWidth="1"/>
    <col min="779" max="779" width="14.83203125" style="377" bestFit="1" customWidth="1"/>
    <col min="780" max="1025" width="12.5" style="377"/>
    <col min="1026" max="1026" width="34" style="377" bestFit="1" customWidth="1"/>
    <col min="1027" max="1027" width="13" style="377" bestFit="1" customWidth="1"/>
    <col min="1028" max="1029" width="14.83203125" style="377" bestFit="1" customWidth="1"/>
    <col min="1030" max="1030" width="13.1640625" style="377" customWidth="1"/>
    <col min="1031" max="1032" width="13" style="377" bestFit="1" customWidth="1"/>
    <col min="1033" max="1033" width="12.83203125" style="377" customWidth="1"/>
    <col min="1034" max="1034" width="11.83203125" style="377" bestFit="1" customWidth="1"/>
    <col min="1035" max="1035" width="14.83203125" style="377" bestFit="1" customWidth="1"/>
    <col min="1036" max="1281" width="12.5" style="377"/>
    <col min="1282" max="1282" width="34" style="377" bestFit="1" customWidth="1"/>
    <col min="1283" max="1283" width="13" style="377" bestFit="1" customWidth="1"/>
    <col min="1284" max="1285" width="14.83203125" style="377" bestFit="1" customWidth="1"/>
    <col min="1286" max="1286" width="13.1640625" style="377" customWidth="1"/>
    <col min="1287" max="1288" width="13" style="377" bestFit="1" customWidth="1"/>
    <col min="1289" max="1289" width="12.83203125" style="377" customWidth="1"/>
    <col min="1290" max="1290" width="11.83203125" style="377" bestFit="1" customWidth="1"/>
    <col min="1291" max="1291" width="14.83203125" style="377" bestFit="1" customWidth="1"/>
    <col min="1292" max="1537" width="12.5" style="377"/>
    <col min="1538" max="1538" width="34" style="377" bestFit="1" customWidth="1"/>
    <col min="1539" max="1539" width="13" style="377" bestFit="1" customWidth="1"/>
    <col min="1540" max="1541" width="14.83203125" style="377" bestFit="1" customWidth="1"/>
    <col min="1542" max="1542" width="13.1640625" style="377" customWidth="1"/>
    <col min="1543" max="1544" width="13" style="377" bestFit="1" customWidth="1"/>
    <col min="1545" max="1545" width="12.83203125" style="377" customWidth="1"/>
    <col min="1546" max="1546" width="11.83203125" style="377" bestFit="1" customWidth="1"/>
    <col min="1547" max="1547" width="14.83203125" style="377" bestFit="1" customWidth="1"/>
    <col min="1548" max="1793" width="12.5" style="377"/>
    <col min="1794" max="1794" width="34" style="377" bestFit="1" customWidth="1"/>
    <col min="1795" max="1795" width="13" style="377" bestFit="1" customWidth="1"/>
    <col min="1796" max="1797" width="14.83203125" style="377" bestFit="1" customWidth="1"/>
    <col min="1798" max="1798" width="13.1640625" style="377" customWidth="1"/>
    <col min="1799" max="1800" width="13" style="377" bestFit="1" customWidth="1"/>
    <col min="1801" max="1801" width="12.83203125" style="377" customWidth="1"/>
    <col min="1802" max="1802" width="11.83203125" style="377" bestFit="1" customWidth="1"/>
    <col min="1803" max="1803" width="14.83203125" style="377" bestFit="1" customWidth="1"/>
    <col min="1804" max="2049" width="12.5" style="377"/>
    <col min="2050" max="2050" width="34" style="377" bestFit="1" customWidth="1"/>
    <col min="2051" max="2051" width="13" style="377" bestFit="1" customWidth="1"/>
    <col min="2052" max="2053" width="14.83203125" style="377" bestFit="1" customWidth="1"/>
    <col min="2054" max="2054" width="13.1640625" style="377" customWidth="1"/>
    <col min="2055" max="2056" width="13" style="377" bestFit="1" customWidth="1"/>
    <col min="2057" max="2057" width="12.83203125" style="377" customWidth="1"/>
    <col min="2058" max="2058" width="11.83203125" style="377" bestFit="1" customWidth="1"/>
    <col min="2059" max="2059" width="14.83203125" style="377" bestFit="1" customWidth="1"/>
    <col min="2060" max="2305" width="12.5" style="377"/>
    <col min="2306" max="2306" width="34" style="377" bestFit="1" customWidth="1"/>
    <col min="2307" max="2307" width="13" style="377" bestFit="1" customWidth="1"/>
    <col min="2308" max="2309" width="14.83203125" style="377" bestFit="1" customWidth="1"/>
    <col min="2310" max="2310" width="13.1640625" style="377" customWidth="1"/>
    <col min="2311" max="2312" width="13" style="377" bestFit="1" customWidth="1"/>
    <col min="2313" max="2313" width="12.83203125" style="377" customWidth="1"/>
    <col min="2314" max="2314" width="11.83203125" style="377" bestFit="1" customWidth="1"/>
    <col min="2315" max="2315" width="14.83203125" style="377" bestFit="1" customWidth="1"/>
    <col min="2316" max="2561" width="12.5" style="377"/>
    <col min="2562" max="2562" width="34" style="377" bestFit="1" customWidth="1"/>
    <col min="2563" max="2563" width="13" style="377" bestFit="1" customWidth="1"/>
    <col min="2564" max="2565" width="14.83203125" style="377" bestFit="1" customWidth="1"/>
    <col min="2566" max="2566" width="13.1640625" style="377" customWidth="1"/>
    <col min="2567" max="2568" width="13" style="377" bestFit="1" customWidth="1"/>
    <col min="2569" max="2569" width="12.83203125" style="377" customWidth="1"/>
    <col min="2570" max="2570" width="11.83203125" style="377" bestFit="1" customWidth="1"/>
    <col min="2571" max="2571" width="14.83203125" style="377" bestFit="1" customWidth="1"/>
    <col min="2572" max="2817" width="12.5" style="377"/>
    <col min="2818" max="2818" width="34" style="377" bestFit="1" customWidth="1"/>
    <col min="2819" max="2819" width="13" style="377" bestFit="1" customWidth="1"/>
    <col min="2820" max="2821" width="14.83203125" style="377" bestFit="1" customWidth="1"/>
    <col min="2822" max="2822" width="13.1640625" style="377" customWidth="1"/>
    <col min="2823" max="2824" width="13" style="377" bestFit="1" customWidth="1"/>
    <col min="2825" max="2825" width="12.83203125" style="377" customWidth="1"/>
    <col min="2826" max="2826" width="11.83203125" style="377" bestFit="1" customWidth="1"/>
    <col min="2827" max="2827" width="14.83203125" style="377" bestFit="1" customWidth="1"/>
    <col min="2828" max="3073" width="12.5" style="377"/>
    <col min="3074" max="3074" width="34" style="377" bestFit="1" customWidth="1"/>
    <col min="3075" max="3075" width="13" style="377" bestFit="1" customWidth="1"/>
    <col min="3076" max="3077" width="14.83203125" style="377" bestFit="1" customWidth="1"/>
    <col min="3078" max="3078" width="13.1640625" style="377" customWidth="1"/>
    <col min="3079" max="3080" width="13" style="377" bestFit="1" customWidth="1"/>
    <col min="3081" max="3081" width="12.83203125" style="377" customWidth="1"/>
    <col min="3082" max="3082" width="11.83203125" style="377" bestFit="1" customWidth="1"/>
    <col min="3083" max="3083" width="14.83203125" style="377" bestFit="1" customWidth="1"/>
    <col min="3084" max="3329" width="12.5" style="377"/>
    <col min="3330" max="3330" width="34" style="377" bestFit="1" customWidth="1"/>
    <col min="3331" max="3331" width="13" style="377" bestFit="1" customWidth="1"/>
    <col min="3332" max="3333" width="14.83203125" style="377" bestFit="1" customWidth="1"/>
    <col min="3334" max="3334" width="13.1640625" style="377" customWidth="1"/>
    <col min="3335" max="3336" width="13" style="377" bestFit="1" customWidth="1"/>
    <col min="3337" max="3337" width="12.83203125" style="377" customWidth="1"/>
    <col min="3338" max="3338" width="11.83203125" style="377" bestFit="1" customWidth="1"/>
    <col min="3339" max="3339" width="14.83203125" style="377" bestFit="1" customWidth="1"/>
    <col min="3340" max="3585" width="12.5" style="377"/>
    <col min="3586" max="3586" width="34" style="377" bestFit="1" customWidth="1"/>
    <col min="3587" max="3587" width="13" style="377" bestFit="1" customWidth="1"/>
    <col min="3588" max="3589" width="14.83203125" style="377" bestFit="1" customWidth="1"/>
    <col min="3590" max="3590" width="13.1640625" style="377" customWidth="1"/>
    <col min="3591" max="3592" width="13" style="377" bestFit="1" customWidth="1"/>
    <col min="3593" max="3593" width="12.83203125" style="377" customWidth="1"/>
    <col min="3594" max="3594" width="11.83203125" style="377" bestFit="1" customWidth="1"/>
    <col min="3595" max="3595" width="14.83203125" style="377" bestFit="1" customWidth="1"/>
    <col min="3596" max="3841" width="12.5" style="377"/>
    <col min="3842" max="3842" width="34" style="377" bestFit="1" customWidth="1"/>
    <col min="3843" max="3843" width="13" style="377" bestFit="1" customWidth="1"/>
    <col min="3844" max="3845" width="14.83203125" style="377" bestFit="1" customWidth="1"/>
    <col min="3846" max="3846" width="13.1640625" style="377" customWidth="1"/>
    <col min="3847" max="3848" width="13" style="377" bestFit="1" customWidth="1"/>
    <col min="3849" max="3849" width="12.83203125" style="377" customWidth="1"/>
    <col min="3850" max="3850" width="11.83203125" style="377" bestFit="1" customWidth="1"/>
    <col min="3851" max="3851" width="14.83203125" style="377" bestFit="1" customWidth="1"/>
    <col min="3852" max="4097" width="12.5" style="377"/>
    <col min="4098" max="4098" width="34" style="377" bestFit="1" customWidth="1"/>
    <col min="4099" max="4099" width="13" style="377" bestFit="1" customWidth="1"/>
    <col min="4100" max="4101" width="14.83203125" style="377" bestFit="1" customWidth="1"/>
    <col min="4102" max="4102" width="13.1640625" style="377" customWidth="1"/>
    <col min="4103" max="4104" width="13" style="377" bestFit="1" customWidth="1"/>
    <col min="4105" max="4105" width="12.83203125" style="377" customWidth="1"/>
    <col min="4106" max="4106" width="11.83203125" style="377" bestFit="1" customWidth="1"/>
    <col min="4107" max="4107" width="14.83203125" style="377" bestFit="1" customWidth="1"/>
    <col min="4108" max="4353" width="12.5" style="377"/>
    <col min="4354" max="4354" width="34" style="377" bestFit="1" customWidth="1"/>
    <col min="4355" max="4355" width="13" style="377" bestFit="1" customWidth="1"/>
    <col min="4356" max="4357" width="14.83203125" style="377" bestFit="1" customWidth="1"/>
    <col min="4358" max="4358" width="13.1640625" style="377" customWidth="1"/>
    <col min="4359" max="4360" width="13" style="377" bestFit="1" customWidth="1"/>
    <col min="4361" max="4361" width="12.83203125" style="377" customWidth="1"/>
    <col min="4362" max="4362" width="11.83203125" style="377" bestFit="1" customWidth="1"/>
    <col min="4363" max="4363" width="14.83203125" style="377" bestFit="1" customWidth="1"/>
    <col min="4364" max="4609" width="12.5" style="377"/>
    <col min="4610" max="4610" width="34" style="377" bestFit="1" customWidth="1"/>
    <col min="4611" max="4611" width="13" style="377" bestFit="1" customWidth="1"/>
    <col min="4612" max="4613" width="14.83203125" style="377" bestFit="1" customWidth="1"/>
    <col min="4614" max="4614" width="13.1640625" style="377" customWidth="1"/>
    <col min="4615" max="4616" width="13" style="377" bestFit="1" customWidth="1"/>
    <col min="4617" max="4617" width="12.83203125" style="377" customWidth="1"/>
    <col min="4618" max="4618" width="11.83203125" style="377" bestFit="1" customWidth="1"/>
    <col min="4619" max="4619" width="14.83203125" style="377" bestFit="1" customWidth="1"/>
    <col min="4620" max="4865" width="12.5" style="377"/>
    <col min="4866" max="4866" width="34" style="377" bestFit="1" customWidth="1"/>
    <col min="4867" max="4867" width="13" style="377" bestFit="1" customWidth="1"/>
    <col min="4868" max="4869" width="14.83203125" style="377" bestFit="1" customWidth="1"/>
    <col min="4870" max="4870" width="13.1640625" style="377" customWidth="1"/>
    <col min="4871" max="4872" width="13" style="377" bestFit="1" customWidth="1"/>
    <col min="4873" max="4873" width="12.83203125" style="377" customWidth="1"/>
    <col min="4874" max="4874" width="11.83203125" style="377" bestFit="1" customWidth="1"/>
    <col min="4875" max="4875" width="14.83203125" style="377" bestFit="1" customWidth="1"/>
    <col min="4876" max="5121" width="12.5" style="377"/>
    <col min="5122" max="5122" width="34" style="377" bestFit="1" customWidth="1"/>
    <col min="5123" max="5123" width="13" style="377" bestFit="1" customWidth="1"/>
    <col min="5124" max="5125" width="14.83203125" style="377" bestFit="1" customWidth="1"/>
    <col min="5126" max="5126" width="13.1640625" style="377" customWidth="1"/>
    <col min="5127" max="5128" width="13" style="377" bestFit="1" customWidth="1"/>
    <col min="5129" max="5129" width="12.83203125" style="377" customWidth="1"/>
    <col min="5130" max="5130" width="11.83203125" style="377" bestFit="1" customWidth="1"/>
    <col min="5131" max="5131" width="14.83203125" style="377" bestFit="1" customWidth="1"/>
    <col min="5132" max="5377" width="12.5" style="377"/>
    <col min="5378" max="5378" width="34" style="377" bestFit="1" customWidth="1"/>
    <col min="5379" max="5379" width="13" style="377" bestFit="1" customWidth="1"/>
    <col min="5380" max="5381" width="14.83203125" style="377" bestFit="1" customWidth="1"/>
    <col min="5382" max="5382" width="13.1640625" style="377" customWidth="1"/>
    <col min="5383" max="5384" width="13" style="377" bestFit="1" customWidth="1"/>
    <col min="5385" max="5385" width="12.83203125" style="377" customWidth="1"/>
    <col min="5386" max="5386" width="11.83203125" style="377" bestFit="1" customWidth="1"/>
    <col min="5387" max="5387" width="14.83203125" style="377" bestFit="1" customWidth="1"/>
    <col min="5388" max="5633" width="12.5" style="377"/>
    <col min="5634" max="5634" width="34" style="377" bestFit="1" customWidth="1"/>
    <col min="5635" max="5635" width="13" style="377" bestFit="1" customWidth="1"/>
    <col min="5636" max="5637" width="14.83203125" style="377" bestFit="1" customWidth="1"/>
    <col min="5638" max="5638" width="13.1640625" style="377" customWidth="1"/>
    <col min="5639" max="5640" width="13" style="377" bestFit="1" customWidth="1"/>
    <col min="5641" max="5641" width="12.83203125" style="377" customWidth="1"/>
    <col min="5642" max="5642" width="11.83203125" style="377" bestFit="1" customWidth="1"/>
    <col min="5643" max="5643" width="14.83203125" style="377" bestFit="1" customWidth="1"/>
    <col min="5644" max="5889" width="12.5" style="377"/>
    <col min="5890" max="5890" width="34" style="377" bestFit="1" customWidth="1"/>
    <col min="5891" max="5891" width="13" style="377" bestFit="1" customWidth="1"/>
    <col min="5892" max="5893" width="14.83203125" style="377" bestFit="1" customWidth="1"/>
    <col min="5894" max="5894" width="13.1640625" style="377" customWidth="1"/>
    <col min="5895" max="5896" width="13" style="377" bestFit="1" customWidth="1"/>
    <col min="5897" max="5897" width="12.83203125" style="377" customWidth="1"/>
    <col min="5898" max="5898" width="11.83203125" style="377" bestFit="1" customWidth="1"/>
    <col min="5899" max="5899" width="14.83203125" style="377" bestFit="1" customWidth="1"/>
    <col min="5900" max="6145" width="12.5" style="377"/>
    <col min="6146" max="6146" width="34" style="377" bestFit="1" customWidth="1"/>
    <col min="6147" max="6147" width="13" style="377" bestFit="1" customWidth="1"/>
    <col min="6148" max="6149" width="14.83203125" style="377" bestFit="1" customWidth="1"/>
    <col min="6150" max="6150" width="13.1640625" style="377" customWidth="1"/>
    <col min="6151" max="6152" width="13" style="377" bestFit="1" customWidth="1"/>
    <col min="6153" max="6153" width="12.83203125" style="377" customWidth="1"/>
    <col min="6154" max="6154" width="11.83203125" style="377" bestFit="1" customWidth="1"/>
    <col min="6155" max="6155" width="14.83203125" style="377" bestFit="1" customWidth="1"/>
    <col min="6156" max="6401" width="12.5" style="377"/>
    <col min="6402" max="6402" width="34" style="377" bestFit="1" customWidth="1"/>
    <col min="6403" max="6403" width="13" style="377" bestFit="1" customWidth="1"/>
    <col min="6404" max="6405" width="14.83203125" style="377" bestFit="1" customWidth="1"/>
    <col min="6406" max="6406" width="13.1640625" style="377" customWidth="1"/>
    <col min="6407" max="6408" width="13" style="377" bestFit="1" customWidth="1"/>
    <col min="6409" max="6409" width="12.83203125" style="377" customWidth="1"/>
    <col min="6410" max="6410" width="11.83203125" style="377" bestFit="1" customWidth="1"/>
    <col min="6411" max="6411" width="14.83203125" style="377" bestFit="1" customWidth="1"/>
    <col min="6412" max="6657" width="12.5" style="377"/>
    <col min="6658" max="6658" width="34" style="377" bestFit="1" customWidth="1"/>
    <col min="6659" max="6659" width="13" style="377" bestFit="1" customWidth="1"/>
    <col min="6660" max="6661" width="14.83203125" style="377" bestFit="1" customWidth="1"/>
    <col min="6662" max="6662" width="13.1640625" style="377" customWidth="1"/>
    <col min="6663" max="6664" width="13" style="377" bestFit="1" customWidth="1"/>
    <col min="6665" max="6665" width="12.83203125" style="377" customWidth="1"/>
    <col min="6666" max="6666" width="11.83203125" style="377" bestFit="1" customWidth="1"/>
    <col min="6667" max="6667" width="14.83203125" style="377" bestFit="1" customWidth="1"/>
    <col min="6668" max="6913" width="12.5" style="377"/>
    <col min="6914" max="6914" width="34" style="377" bestFit="1" customWidth="1"/>
    <col min="6915" max="6915" width="13" style="377" bestFit="1" customWidth="1"/>
    <col min="6916" max="6917" width="14.83203125" style="377" bestFit="1" customWidth="1"/>
    <col min="6918" max="6918" width="13.1640625" style="377" customWidth="1"/>
    <col min="6919" max="6920" width="13" style="377" bestFit="1" customWidth="1"/>
    <col min="6921" max="6921" width="12.83203125" style="377" customWidth="1"/>
    <col min="6922" max="6922" width="11.83203125" style="377" bestFit="1" customWidth="1"/>
    <col min="6923" max="6923" width="14.83203125" style="377" bestFit="1" customWidth="1"/>
    <col min="6924" max="7169" width="12.5" style="377"/>
    <col min="7170" max="7170" width="34" style="377" bestFit="1" customWidth="1"/>
    <col min="7171" max="7171" width="13" style="377" bestFit="1" customWidth="1"/>
    <col min="7172" max="7173" width="14.83203125" style="377" bestFit="1" customWidth="1"/>
    <col min="7174" max="7174" width="13.1640625" style="377" customWidth="1"/>
    <col min="7175" max="7176" width="13" style="377" bestFit="1" customWidth="1"/>
    <col min="7177" max="7177" width="12.83203125" style="377" customWidth="1"/>
    <col min="7178" max="7178" width="11.83203125" style="377" bestFit="1" customWidth="1"/>
    <col min="7179" max="7179" width="14.83203125" style="377" bestFit="1" customWidth="1"/>
    <col min="7180" max="7425" width="12.5" style="377"/>
    <col min="7426" max="7426" width="34" style="377" bestFit="1" customWidth="1"/>
    <col min="7427" max="7427" width="13" style="377" bestFit="1" customWidth="1"/>
    <col min="7428" max="7429" width="14.83203125" style="377" bestFit="1" customWidth="1"/>
    <col min="7430" max="7430" width="13.1640625" style="377" customWidth="1"/>
    <col min="7431" max="7432" width="13" style="377" bestFit="1" customWidth="1"/>
    <col min="7433" max="7433" width="12.83203125" style="377" customWidth="1"/>
    <col min="7434" max="7434" width="11.83203125" style="377" bestFit="1" customWidth="1"/>
    <col min="7435" max="7435" width="14.83203125" style="377" bestFit="1" customWidth="1"/>
    <col min="7436" max="7681" width="12.5" style="377"/>
    <col min="7682" max="7682" width="34" style="377" bestFit="1" customWidth="1"/>
    <col min="7683" max="7683" width="13" style="377" bestFit="1" customWidth="1"/>
    <col min="7684" max="7685" width="14.83203125" style="377" bestFit="1" customWidth="1"/>
    <col min="7686" max="7686" width="13.1640625" style="377" customWidth="1"/>
    <col min="7687" max="7688" width="13" style="377" bestFit="1" customWidth="1"/>
    <col min="7689" max="7689" width="12.83203125" style="377" customWidth="1"/>
    <col min="7690" max="7690" width="11.83203125" style="377" bestFit="1" customWidth="1"/>
    <col min="7691" max="7691" width="14.83203125" style="377" bestFit="1" customWidth="1"/>
    <col min="7692" max="7937" width="12.5" style="377"/>
    <col min="7938" max="7938" width="34" style="377" bestFit="1" customWidth="1"/>
    <col min="7939" max="7939" width="13" style="377" bestFit="1" customWidth="1"/>
    <col min="7940" max="7941" width="14.83203125" style="377" bestFit="1" customWidth="1"/>
    <col min="7942" max="7942" width="13.1640625" style="377" customWidth="1"/>
    <col min="7943" max="7944" width="13" style="377" bestFit="1" customWidth="1"/>
    <col min="7945" max="7945" width="12.83203125" style="377" customWidth="1"/>
    <col min="7946" max="7946" width="11.83203125" style="377" bestFit="1" customWidth="1"/>
    <col min="7947" max="7947" width="14.83203125" style="377" bestFit="1" customWidth="1"/>
    <col min="7948" max="8193" width="12.5" style="377"/>
    <col min="8194" max="8194" width="34" style="377" bestFit="1" customWidth="1"/>
    <col min="8195" max="8195" width="13" style="377" bestFit="1" customWidth="1"/>
    <col min="8196" max="8197" width="14.83203125" style="377" bestFit="1" customWidth="1"/>
    <col min="8198" max="8198" width="13.1640625" style="377" customWidth="1"/>
    <col min="8199" max="8200" width="13" style="377" bestFit="1" customWidth="1"/>
    <col min="8201" max="8201" width="12.83203125" style="377" customWidth="1"/>
    <col min="8202" max="8202" width="11.83203125" style="377" bestFit="1" customWidth="1"/>
    <col min="8203" max="8203" width="14.83203125" style="377" bestFit="1" customWidth="1"/>
    <col min="8204" max="8449" width="12.5" style="377"/>
    <col min="8450" max="8450" width="34" style="377" bestFit="1" customWidth="1"/>
    <col min="8451" max="8451" width="13" style="377" bestFit="1" customWidth="1"/>
    <col min="8452" max="8453" width="14.83203125" style="377" bestFit="1" customWidth="1"/>
    <col min="8454" max="8454" width="13.1640625" style="377" customWidth="1"/>
    <col min="8455" max="8456" width="13" style="377" bestFit="1" customWidth="1"/>
    <col min="8457" max="8457" width="12.83203125" style="377" customWidth="1"/>
    <col min="8458" max="8458" width="11.83203125" style="377" bestFit="1" customWidth="1"/>
    <col min="8459" max="8459" width="14.83203125" style="377" bestFit="1" customWidth="1"/>
    <col min="8460" max="8705" width="12.5" style="377"/>
    <col min="8706" max="8706" width="34" style="377" bestFit="1" customWidth="1"/>
    <col min="8707" max="8707" width="13" style="377" bestFit="1" customWidth="1"/>
    <col min="8708" max="8709" width="14.83203125" style="377" bestFit="1" customWidth="1"/>
    <col min="8710" max="8710" width="13.1640625" style="377" customWidth="1"/>
    <col min="8711" max="8712" width="13" style="377" bestFit="1" customWidth="1"/>
    <col min="8713" max="8713" width="12.83203125" style="377" customWidth="1"/>
    <col min="8714" max="8714" width="11.83203125" style="377" bestFit="1" customWidth="1"/>
    <col min="8715" max="8715" width="14.83203125" style="377" bestFit="1" customWidth="1"/>
    <col min="8716" max="8961" width="12.5" style="377"/>
    <col min="8962" max="8962" width="34" style="377" bestFit="1" customWidth="1"/>
    <col min="8963" max="8963" width="13" style="377" bestFit="1" customWidth="1"/>
    <col min="8964" max="8965" width="14.83203125" style="377" bestFit="1" customWidth="1"/>
    <col min="8966" max="8966" width="13.1640625" style="377" customWidth="1"/>
    <col min="8967" max="8968" width="13" style="377" bestFit="1" customWidth="1"/>
    <col min="8969" max="8969" width="12.83203125" style="377" customWidth="1"/>
    <col min="8970" max="8970" width="11.83203125" style="377" bestFit="1" customWidth="1"/>
    <col min="8971" max="8971" width="14.83203125" style="377" bestFit="1" customWidth="1"/>
    <col min="8972" max="9217" width="12.5" style="377"/>
    <col min="9218" max="9218" width="34" style="377" bestFit="1" customWidth="1"/>
    <col min="9219" max="9219" width="13" style="377" bestFit="1" customWidth="1"/>
    <col min="9220" max="9221" width="14.83203125" style="377" bestFit="1" customWidth="1"/>
    <col min="9222" max="9222" width="13.1640625" style="377" customWidth="1"/>
    <col min="9223" max="9224" width="13" style="377" bestFit="1" customWidth="1"/>
    <col min="9225" max="9225" width="12.83203125" style="377" customWidth="1"/>
    <col min="9226" max="9226" width="11.83203125" style="377" bestFit="1" customWidth="1"/>
    <col min="9227" max="9227" width="14.83203125" style="377" bestFit="1" customWidth="1"/>
    <col min="9228" max="9473" width="12.5" style="377"/>
    <col min="9474" max="9474" width="34" style="377" bestFit="1" customWidth="1"/>
    <col min="9475" max="9475" width="13" style="377" bestFit="1" customWidth="1"/>
    <col min="9476" max="9477" width="14.83203125" style="377" bestFit="1" customWidth="1"/>
    <col min="9478" max="9478" width="13.1640625" style="377" customWidth="1"/>
    <col min="9479" max="9480" width="13" style="377" bestFit="1" customWidth="1"/>
    <col min="9481" max="9481" width="12.83203125" style="377" customWidth="1"/>
    <col min="9482" max="9482" width="11.83203125" style="377" bestFit="1" customWidth="1"/>
    <col min="9483" max="9483" width="14.83203125" style="377" bestFit="1" customWidth="1"/>
    <col min="9484" max="9729" width="12.5" style="377"/>
    <col min="9730" max="9730" width="34" style="377" bestFit="1" customWidth="1"/>
    <col min="9731" max="9731" width="13" style="377" bestFit="1" customWidth="1"/>
    <col min="9732" max="9733" width="14.83203125" style="377" bestFit="1" customWidth="1"/>
    <col min="9734" max="9734" width="13.1640625" style="377" customWidth="1"/>
    <col min="9735" max="9736" width="13" style="377" bestFit="1" customWidth="1"/>
    <col min="9737" max="9737" width="12.83203125" style="377" customWidth="1"/>
    <col min="9738" max="9738" width="11.83203125" style="377" bestFit="1" customWidth="1"/>
    <col min="9739" max="9739" width="14.83203125" style="377" bestFit="1" customWidth="1"/>
    <col min="9740" max="9985" width="12.5" style="377"/>
    <col min="9986" max="9986" width="34" style="377" bestFit="1" customWidth="1"/>
    <col min="9987" max="9987" width="13" style="377" bestFit="1" customWidth="1"/>
    <col min="9988" max="9989" width="14.83203125" style="377" bestFit="1" customWidth="1"/>
    <col min="9990" max="9990" width="13.1640625" style="377" customWidth="1"/>
    <col min="9991" max="9992" width="13" style="377" bestFit="1" customWidth="1"/>
    <col min="9993" max="9993" width="12.83203125" style="377" customWidth="1"/>
    <col min="9994" max="9994" width="11.83203125" style="377" bestFit="1" customWidth="1"/>
    <col min="9995" max="9995" width="14.83203125" style="377" bestFit="1" customWidth="1"/>
    <col min="9996" max="10241" width="12.5" style="377"/>
    <col min="10242" max="10242" width="34" style="377" bestFit="1" customWidth="1"/>
    <col min="10243" max="10243" width="13" style="377" bestFit="1" customWidth="1"/>
    <col min="10244" max="10245" width="14.83203125" style="377" bestFit="1" customWidth="1"/>
    <col min="10246" max="10246" width="13.1640625" style="377" customWidth="1"/>
    <col min="10247" max="10248" width="13" style="377" bestFit="1" customWidth="1"/>
    <col min="10249" max="10249" width="12.83203125" style="377" customWidth="1"/>
    <col min="10250" max="10250" width="11.83203125" style="377" bestFit="1" customWidth="1"/>
    <col min="10251" max="10251" width="14.83203125" style="377" bestFit="1" customWidth="1"/>
    <col min="10252" max="10497" width="12.5" style="377"/>
    <col min="10498" max="10498" width="34" style="377" bestFit="1" customWidth="1"/>
    <col min="10499" max="10499" width="13" style="377" bestFit="1" customWidth="1"/>
    <col min="10500" max="10501" width="14.83203125" style="377" bestFit="1" customWidth="1"/>
    <col min="10502" max="10502" width="13.1640625" style="377" customWidth="1"/>
    <col min="10503" max="10504" width="13" style="377" bestFit="1" customWidth="1"/>
    <col min="10505" max="10505" width="12.83203125" style="377" customWidth="1"/>
    <col min="10506" max="10506" width="11.83203125" style="377" bestFit="1" customWidth="1"/>
    <col min="10507" max="10507" width="14.83203125" style="377" bestFit="1" customWidth="1"/>
    <col min="10508" max="10753" width="12.5" style="377"/>
    <col min="10754" max="10754" width="34" style="377" bestFit="1" customWidth="1"/>
    <col min="10755" max="10755" width="13" style="377" bestFit="1" customWidth="1"/>
    <col min="10756" max="10757" width="14.83203125" style="377" bestFit="1" customWidth="1"/>
    <col min="10758" max="10758" width="13.1640625" style="377" customWidth="1"/>
    <col min="10759" max="10760" width="13" style="377" bestFit="1" customWidth="1"/>
    <col min="10761" max="10761" width="12.83203125" style="377" customWidth="1"/>
    <col min="10762" max="10762" width="11.83203125" style="377" bestFit="1" customWidth="1"/>
    <col min="10763" max="10763" width="14.83203125" style="377" bestFit="1" customWidth="1"/>
    <col min="10764" max="11009" width="12.5" style="377"/>
    <col min="11010" max="11010" width="34" style="377" bestFit="1" customWidth="1"/>
    <col min="11011" max="11011" width="13" style="377" bestFit="1" customWidth="1"/>
    <col min="11012" max="11013" width="14.83203125" style="377" bestFit="1" customWidth="1"/>
    <col min="11014" max="11014" width="13.1640625" style="377" customWidth="1"/>
    <col min="11015" max="11016" width="13" style="377" bestFit="1" customWidth="1"/>
    <col min="11017" max="11017" width="12.83203125" style="377" customWidth="1"/>
    <col min="11018" max="11018" width="11.83203125" style="377" bestFit="1" customWidth="1"/>
    <col min="11019" max="11019" width="14.83203125" style="377" bestFit="1" customWidth="1"/>
    <col min="11020" max="11265" width="12.5" style="377"/>
    <col min="11266" max="11266" width="34" style="377" bestFit="1" customWidth="1"/>
    <col min="11267" max="11267" width="13" style="377" bestFit="1" customWidth="1"/>
    <col min="11268" max="11269" width="14.83203125" style="377" bestFit="1" customWidth="1"/>
    <col min="11270" max="11270" width="13.1640625" style="377" customWidth="1"/>
    <col min="11271" max="11272" width="13" style="377" bestFit="1" customWidth="1"/>
    <col min="11273" max="11273" width="12.83203125" style="377" customWidth="1"/>
    <col min="11274" max="11274" width="11.83203125" style="377" bestFit="1" customWidth="1"/>
    <col min="11275" max="11275" width="14.83203125" style="377" bestFit="1" customWidth="1"/>
    <col min="11276" max="11521" width="12.5" style="377"/>
    <col min="11522" max="11522" width="34" style="377" bestFit="1" customWidth="1"/>
    <col min="11523" max="11523" width="13" style="377" bestFit="1" customWidth="1"/>
    <col min="11524" max="11525" width="14.83203125" style="377" bestFit="1" customWidth="1"/>
    <col min="11526" max="11526" width="13.1640625" style="377" customWidth="1"/>
    <col min="11527" max="11528" width="13" style="377" bestFit="1" customWidth="1"/>
    <col min="11529" max="11529" width="12.83203125" style="377" customWidth="1"/>
    <col min="11530" max="11530" width="11.83203125" style="377" bestFit="1" customWidth="1"/>
    <col min="11531" max="11531" width="14.83203125" style="377" bestFit="1" customWidth="1"/>
    <col min="11532" max="11777" width="12.5" style="377"/>
    <col min="11778" max="11778" width="34" style="377" bestFit="1" customWidth="1"/>
    <col min="11779" max="11779" width="13" style="377" bestFit="1" customWidth="1"/>
    <col min="11780" max="11781" width="14.83203125" style="377" bestFit="1" customWidth="1"/>
    <col min="11782" max="11782" width="13.1640625" style="377" customWidth="1"/>
    <col min="11783" max="11784" width="13" style="377" bestFit="1" customWidth="1"/>
    <col min="11785" max="11785" width="12.83203125" style="377" customWidth="1"/>
    <col min="11786" max="11786" width="11.83203125" style="377" bestFit="1" customWidth="1"/>
    <col min="11787" max="11787" width="14.83203125" style="377" bestFit="1" customWidth="1"/>
    <col min="11788" max="12033" width="12.5" style="377"/>
    <col min="12034" max="12034" width="34" style="377" bestFit="1" customWidth="1"/>
    <col min="12035" max="12035" width="13" style="377" bestFit="1" customWidth="1"/>
    <col min="12036" max="12037" width="14.83203125" style="377" bestFit="1" customWidth="1"/>
    <col min="12038" max="12038" width="13.1640625" style="377" customWidth="1"/>
    <col min="12039" max="12040" width="13" style="377" bestFit="1" customWidth="1"/>
    <col min="12041" max="12041" width="12.83203125" style="377" customWidth="1"/>
    <col min="12042" max="12042" width="11.83203125" style="377" bestFit="1" customWidth="1"/>
    <col min="12043" max="12043" width="14.83203125" style="377" bestFit="1" customWidth="1"/>
    <col min="12044" max="12289" width="12.5" style="377"/>
    <col min="12290" max="12290" width="34" style="377" bestFit="1" customWidth="1"/>
    <col min="12291" max="12291" width="13" style="377" bestFit="1" customWidth="1"/>
    <col min="12292" max="12293" width="14.83203125" style="377" bestFit="1" customWidth="1"/>
    <col min="12294" max="12294" width="13.1640625" style="377" customWidth="1"/>
    <col min="12295" max="12296" width="13" style="377" bestFit="1" customWidth="1"/>
    <col min="12297" max="12297" width="12.83203125" style="377" customWidth="1"/>
    <col min="12298" max="12298" width="11.83203125" style="377" bestFit="1" customWidth="1"/>
    <col min="12299" max="12299" width="14.83203125" style="377" bestFit="1" customWidth="1"/>
    <col min="12300" max="12545" width="12.5" style="377"/>
    <col min="12546" max="12546" width="34" style="377" bestFit="1" customWidth="1"/>
    <col min="12547" max="12547" width="13" style="377" bestFit="1" customWidth="1"/>
    <col min="12548" max="12549" width="14.83203125" style="377" bestFit="1" customWidth="1"/>
    <col min="12550" max="12550" width="13.1640625" style="377" customWidth="1"/>
    <col min="12551" max="12552" width="13" style="377" bestFit="1" customWidth="1"/>
    <col min="12553" max="12553" width="12.83203125" style="377" customWidth="1"/>
    <col min="12554" max="12554" width="11.83203125" style="377" bestFit="1" customWidth="1"/>
    <col min="12555" max="12555" width="14.83203125" style="377" bestFit="1" customWidth="1"/>
    <col min="12556" max="12801" width="12.5" style="377"/>
    <col min="12802" max="12802" width="34" style="377" bestFit="1" customWidth="1"/>
    <col min="12803" max="12803" width="13" style="377" bestFit="1" customWidth="1"/>
    <col min="12804" max="12805" width="14.83203125" style="377" bestFit="1" customWidth="1"/>
    <col min="12806" max="12806" width="13.1640625" style="377" customWidth="1"/>
    <col min="12807" max="12808" width="13" style="377" bestFit="1" customWidth="1"/>
    <col min="12809" max="12809" width="12.83203125" style="377" customWidth="1"/>
    <col min="12810" max="12810" width="11.83203125" style="377" bestFit="1" customWidth="1"/>
    <col min="12811" max="12811" width="14.83203125" style="377" bestFit="1" customWidth="1"/>
    <col min="12812" max="13057" width="12.5" style="377"/>
    <col min="13058" max="13058" width="34" style="377" bestFit="1" customWidth="1"/>
    <col min="13059" max="13059" width="13" style="377" bestFit="1" customWidth="1"/>
    <col min="13060" max="13061" width="14.83203125" style="377" bestFit="1" customWidth="1"/>
    <col min="13062" max="13062" width="13.1640625" style="377" customWidth="1"/>
    <col min="13063" max="13064" width="13" style="377" bestFit="1" customWidth="1"/>
    <col min="13065" max="13065" width="12.83203125" style="377" customWidth="1"/>
    <col min="13066" max="13066" width="11.83203125" style="377" bestFit="1" customWidth="1"/>
    <col min="13067" max="13067" width="14.83203125" style="377" bestFit="1" customWidth="1"/>
    <col min="13068" max="13313" width="12.5" style="377"/>
    <col min="13314" max="13314" width="34" style="377" bestFit="1" customWidth="1"/>
    <col min="13315" max="13315" width="13" style="377" bestFit="1" customWidth="1"/>
    <col min="13316" max="13317" width="14.83203125" style="377" bestFit="1" customWidth="1"/>
    <col min="13318" max="13318" width="13.1640625" style="377" customWidth="1"/>
    <col min="13319" max="13320" width="13" style="377" bestFit="1" customWidth="1"/>
    <col min="13321" max="13321" width="12.83203125" style="377" customWidth="1"/>
    <col min="13322" max="13322" width="11.83203125" style="377" bestFit="1" customWidth="1"/>
    <col min="13323" max="13323" width="14.83203125" style="377" bestFit="1" customWidth="1"/>
    <col min="13324" max="13569" width="12.5" style="377"/>
    <col min="13570" max="13570" width="34" style="377" bestFit="1" customWidth="1"/>
    <col min="13571" max="13571" width="13" style="377" bestFit="1" customWidth="1"/>
    <col min="13572" max="13573" width="14.83203125" style="377" bestFit="1" customWidth="1"/>
    <col min="13574" max="13574" width="13.1640625" style="377" customWidth="1"/>
    <col min="13575" max="13576" width="13" style="377" bestFit="1" customWidth="1"/>
    <col min="13577" max="13577" width="12.83203125" style="377" customWidth="1"/>
    <col min="13578" max="13578" width="11.83203125" style="377" bestFit="1" customWidth="1"/>
    <col min="13579" max="13579" width="14.83203125" style="377" bestFit="1" customWidth="1"/>
    <col min="13580" max="13825" width="12.5" style="377"/>
    <col min="13826" max="13826" width="34" style="377" bestFit="1" customWidth="1"/>
    <col min="13827" max="13827" width="13" style="377" bestFit="1" customWidth="1"/>
    <col min="13828" max="13829" width="14.83203125" style="377" bestFit="1" customWidth="1"/>
    <col min="13830" max="13830" width="13.1640625" style="377" customWidth="1"/>
    <col min="13831" max="13832" width="13" style="377" bestFit="1" customWidth="1"/>
    <col min="13833" max="13833" width="12.83203125" style="377" customWidth="1"/>
    <col min="13834" max="13834" width="11.83203125" style="377" bestFit="1" customWidth="1"/>
    <col min="13835" max="13835" width="14.83203125" style="377" bestFit="1" customWidth="1"/>
    <col min="13836" max="14081" width="12.5" style="377"/>
    <col min="14082" max="14082" width="34" style="377" bestFit="1" customWidth="1"/>
    <col min="14083" max="14083" width="13" style="377" bestFit="1" customWidth="1"/>
    <col min="14084" max="14085" width="14.83203125" style="377" bestFit="1" customWidth="1"/>
    <col min="14086" max="14086" width="13.1640625" style="377" customWidth="1"/>
    <col min="14087" max="14088" width="13" style="377" bestFit="1" customWidth="1"/>
    <col min="14089" max="14089" width="12.83203125" style="377" customWidth="1"/>
    <col min="14090" max="14090" width="11.83203125" style="377" bestFit="1" customWidth="1"/>
    <col min="14091" max="14091" width="14.83203125" style="377" bestFit="1" customWidth="1"/>
    <col min="14092" max="14337" width="12.5" style="377"/>
    <col min="14338" max="14338" width="34" style="377" bestFit="1" customWidth="1"/>
    <col min="14339" max="14339" width="13" style="377" bestFit="1" customWidth="1"/>
    <col min="14340" max="14341" width="14.83203125" style="377" bestFit="1" customWidth="1"/>
    <col min="14342" max="14342" width="13.1640625" style="377" customWidth="1"/>
    <col min="14343" max="14344" width="13" style="377" bestFit="1" customWidth="1"/>
    <col min="14345" max="14345" width="12.83203125" style="377" customWidth="1"/>
    <col min="14346" max="14346" width="11.83203125" style="377" bestFit="1" customWidth="1"/>
    <col min="14347" max="14347" width="14.83203125" style="377" bestFit="1" customWidth="1"/>
    <col min="14348" max="14593" width="12.5" style="377"/>
    <col min="14594" max="14594" width="34" style="377" bestFit="1" customWidth="1"/>
    <col min="14595" max="14595" width="13" style="377" bestFit="1" customWidth="1"/>
    <col min="14596" max="14597" width="14.83203125" style="377" bestFit="1" customWidth="1"/>
    <col min="14598" max="14598" width="13.1640625" style="377" customWidth="1"/>
    <col min="14599" max="14600" width="13" style="377" bestFit="1" customWidth="1"/>
    <col min="14601" max="14601" width="12.83203125" style="377" customWidth="1"/>
    <col min="14602" max="14602" width="11.83203125" style="377" bestFit="1" customWidth="1"/>
    <col min="14603" max="14603" width="14.83203125" style="377" bestFit="1" customWidth="1"/>
    <col min="14604" max="14849" width="12.5" style="377"/>
    <col min="14850" max="14850" width="34" style="377" bestFit="1" customWidth="1"/>
    <col min="14851" max="14851" width="13" style="377" bestFit="1" customWidth="1"/>
    <col min="14852" max="14853" width="14.83203125" style="377" bestFit="1" customWidth="1"/>
    <col min="14854" max="14854" width="13.1640625" style="377" customWidth="1"/>
    <col min="14855" max="14856" width="13" style="377" bestFit="1" customWidth="1"/>
    <col min="14857" max="14857" width="12.83203125" style="377" customWidth="1"/>
    <col min="14858" max="14858" width="11.83203125" style="377" bestFit="1" customWidth="1"/>
    <col min="14859" max="14859" width="14.83203125" style="377" bestFit="1" customWidth="1"/>
    <col min="14860" max="15105" width="12.5" style="377"/>
    <col min="15106" max="15106" width="34" style="377" bestFit="1" customWidth="1"/>
    <col min="15107" max="15107" width="13" style="377" bestFit="1" customWidth="1"/>
    <col min="15108" max="15109" width="14.83203125" style="377" bestFit="1" customWidth="1"/>
    <col min="15110" max="15110" width="13.1640625" style="377" customWidth="1"/>
    <col min="15111" max="15112" width="13" style="377" bestFit="1" customWidth="1"/>
    <col min="15113" max="15113" width="12.83203125" style="377" customWidth="1"/>
    <col min="15114" max="15114" width="11.83203125" style="377" bestFit="1" customWidth="1"/>
    <col min="15115" max="15115" width="14.83203125" style="377" bestFit="1" customWidth="1"/>
    <col min="15116" max="15361" width="12.5" style="377"/>
    <col min="15362" max="15362" width="34" style="377" bestFit="1" customWidth="1"/>
    <col min="15363" max="15363" width="13" style="377" bestFit="1" customWidth="1"/>
    <col min="15364" max="15365" width="14.83203125" style="377" bestFit="1" customWidth="1"/>
    <col min="15366" max="15366" width="13.1640625" style="377" customWidth="1"/>
    <col min="15367" max="15368" width="13" style="377" bestFit="1" customWidth="1"/>
    <col min="15369" max="15369" width="12.83203125" style="377" customWidth="1"/>
    <col min="15370" max="15370" width="11.83203125" style="377" bestFit="1" customWidth="1"/>
    <col min="15371" max="15371" width="14.83203125" style="377" bestFit="1" customWidth="1"/>
    <col min="15372" max="15617" width="12.5" style="377"/>
    <col min="15618" max="15618" width="34" style="377" bestFit="1" customWidth="1"/>
    <col min="15619" max="15619" width="13" style="377" bestFit="1" customWidth="1"/>
    <col min="15620" max="15621" width="14.83203125" style="377" bestFit="1" customWidth="1"/>
    <col min="15622" max="15622" width="13.1640625" style="377" customWidth="1"/>
    <col min="15623" max="15624" width="13" style="377" bestFit="1" customWidth="1"/>
    <col min="15625" max="15625" width="12.83203125" style="377" customWidth="1"/>
    <col min="15626" max="15626" width="11.83203125" style="377" bestFit="1" customWidth="1"/>
    <col min="15627" max="15627" width="14.83203125" style="377" bestFit="1" customWidth="1"/>
    <col min="15628" max="15873" width="12.5" style="377"/>
    <col min="15874" max="15874" width="34" style="377" bestFit="1" customWidth="1"/>
    <col min="15875" max="15875" width="13" style="377" bestFit="1" customWidth="1"/>
    <col min="15876" max="15877" width="14.83203125" style="377" bestFit="1" customWidth="1"/>
    <col min="15878" max="15878" width="13.1640625" style="377" customWidth="1"/>
    <col min="15879" max="15880" width="13" style="377" bestFit="1" customWidth="1"/>
    <col min="15881" max="15881" width="12.83203125" style="377" customWidth="1"/>
    <col min="15882" max="15882" width="11.83203125" style="377" bestFit="1" customWidth="1"/>
    <col min="15883" max="15883" width="14.83203125" style="377" bestFit="1" customWidth="1"/>
    <col min="15884" max="16129" width="12.5" style="377"/>
    <col min="16130" max="16130" width="34" style="377" bestFit="1" customWidth="1"/>
    <col min="16131" max="16131" width="13" style="377" bestFit="1" customWidth="1"/>
    <col min="16132" max="16133" width="14.83203125" style="377" bestFit="1" customWidth="1"/>
    <col min="16134" max="16134" width="13.1640625" style="377" customWidth="1"/>
    <col min="16135" max="16136" width="13" style="377" bestFit="1" customWidth="1"/>
    <col min="16137" max="16137" width="12.83203125" style="377" customWidth="1"/>
    <col min="16138" max="16138" width="11.83203125" style="377" bestFit="1" customWidth="1"/>
    <col min="16139" max="16139" width="14.83203125" style="377" bestFit="1" customWidth="1"/>
    <col min="16140" max="16384" width="12.5" style="377"/>
  </cols>
  <sheetData>
    <row r="1" spans="1:12" x14ac:dyDescent="0.2">
      <c r="A1" s="376"/>
      <c r="B1" s="376"/>
      <c r="C1" s="376"/>
      <c r="D1" s="808"/>
      <c r="E1" s="376"/>
      <c r="F1" s="376"/>
      <c r="I1" s="378"/>
      <c r="J1" s="378"/>
      <c r="K1" s="379"/>
    </row>
    <row r="2" spans="1:12" x14ac:dyDescent="0.2">
      <c r="A2" s="376"/>
      <c r="B2" s="376"/>
      <c r="C2" s="376"/>
      <c r="D2" s="808"/>
      <c r="E2" s="376"/>
      <c r="F2" s="376"/>
      <c r="G2" s="380"/>
      <c r="H2" s="380"/>
      <c r="I2" s="380"/>
      <c r="J2" s="380"/>
      <c r="K2" s="381"/>
    </row>
    <row r="3" spans="1:12" x14ac:dyDescent="0.2">
      <c r="A3" s="376"/>
      <c r="B3" s="376"/>
      <c r="C3" s="376"/>
      <c r="D3" s="808"/>
      <c r="E3" s="376"/>
      <c r="F3" s="376"/>
      <c r="G3" s="380"/>
      <c r="H3" s="380"/>
      <c r="I3" s="380"/>
      <c r="J3" s="380"/>
      <c r="K3" s="380"/>
    </row>
    <row r="4" spans="1:12" ht="19.5" x14ac:dyDescent="0.35">
      <c r="A4" s="382" t="s">
        <v>381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</row>
    <row r="5" spans="1:12" ht="19.5" x14ac:dyDescent="0.35">
      <c r="A5" s="382" t="s">
        <v>627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</row>
    <row r="6" spans="1:12" ht="13.5" thickBot="1" x14ac:dyDescent="0.25">
      <c r="A6" s="376"/>
      <c r="B6" s="376"/>
      <c r="C6" s="376"/>
      <c r="D6" s="808"/>
      <c r="E6" s="376"/>
      <c r="F6" s="376"/>
      <c r="G6" s="376"/>
      <c r="H6" s="376"/>
      <c r="I6" s="376"/>
      <c r="J6" s="376"/>
      <c r="K6" s="383" t="s">
        <v>5</v>
      </c>
    </row>
    <row r="7" spans="1:12" ht="15.95" customHeight="1" x14ac:dyDescent="0.2">
      <c r="A7" s="1019" t="s">
        <v>2</v>
      </c>
      <c r="B7" s="1022" t="s">
        <v>382</v>
      </c>
      <c r="C7" s="1023"/>
      <c r="D7" s="1023"/>
      <c r="E7" s="1024" t="s">
        <v>628</v>
      </c>
      <c r="F7" s="1025"/>
      <c r="G7" s="1025"/>
      <c r="H7" s="1025"/>
      <c r="I7" s="1025"/>
      <c r="J7" s="1025"/>
      <c r="K7" s="1026"/>
    </row>
    <row r="8" spans="1:12" ht="15.95" customHeight="1" x14ac:dyDescent="0.2">
      <c r="A8" s="1020"/>
      <c r="B8" s="384" t="s">
        <v>383</v>
      </c>
      <c r="C8" s="384" t="s">
        <v>384</v>
      </c>
      <c r="D8" s="384" t="s">
        <v>385</v>
      </c>
      <c r="E8" s="384" t="s">
        <v>386</v>
      </c>
      <c r="F8" s="384" t="s">
        <v>387</v>
      </c>
      <c r="G8" s="384" t="s">
        <v>388</v>
      </c>
      <c r="H8" s="1027" t="s">
        <v>757</v>
      </c>
      <c r="I8" s="384" t="s">
        <v>389</v>
      </c>
      <c r="J8" s="384" t="s">
        <v>390</v>
      </c>
      <c r="K8" s="385" t="s">
        <v>385</v>
      </c>
    </row>
    <row r="9" spans="1:12" ht="15.95" customHeight="1" x14ac:dyDescent="0.2">
      <c r="A9" s="1021"/>
      <c r="B9" s="384" t="s">
        <v>391</v>
      </c>
      <c r="C9" s="384" t="s">
        <v>392</v>
      </c>
      <c r="D9" s="384" t="s">
        <v>393</v>
      </c>
      <c r="E9" s="384" t="s">
        <v>394</v>
      </c>
      <c r="F9" s="384" t="s">
        <v>395</v>
      </c>
      <c r="G9" s="384" t="s">
        <v>396</v>
      </c>
      <c r="H9" s="1028"/>
      <c r="I9" s="384" t="s">
        <v>397</v>
      </c>
      <c r="J9" s="384" t="s">
        <v>396</v>
      </c>
      <c r="K9" s="385" t="s">
        <v>398</v>
      </c>
    </row>
    <row r="10" spans="1:12" ht="15.95" customHeight="1" x14ac:dyDescent="0.2">
      <c r="A10" s="386" t="s">
        <v>399</v>
      </c>
      <c r="B10" s="830">
        <f>174100032</f>
        <v>174100032</v>
      </c>
      <c r="C10" s="831">
        <f t="shared" ref="C10:C15" si="0">K10-B10</f>
        <v>138455273</v>
      </c>
      <c r="D10" s="831">
        <f t="shared" ref="D10:D14" si="1">SUM(B10:C10)</f>
        <v>312555305</v>
      </c>
      <c r="E10" s="830">
        <f>61703726+51600+80000-1157738</f>
        <v>60677588</v>
      </c>
      <c r="F10" s="830">
        <f>14089304-225759</f>
        <v>13863545</v>
      </c>
      <c r="G10" s="831">
        <f>230665212+622141+5207819+250000</f>
        <v>236745172</v>
      </c>
      <c r="H10" s="830"/>
      <c r="I10" s="830"/>
      <c r="J10" s="830">
        <f>1229000+40000</f>
        <v>1269000</v>
      </c>
      <c r="K10" s="792">
        <f t="shared" ref="K10:K14" si="2">SUM(E10:J10)</f>
        <v>312555305</v>
      </c>
      <c r="L10" s="387"/>
    </row>
    <row r="11" spans="1:12" ht="15.95" customHeight="1" x14ac:dyDescent="0.2">
      <c r="A11" s="386" t="s">
        <v>0</v>
      </c>
      <c r="B11" s="830">
        <f>12280923+30000</f>
        <v>12310923</v>
      </c>
      <c r="C11" s="831">
        <f>K11-B11</f>
        <v>291643728</v>
      </c>
      <c r="D11" s="831">
        <f t="shared" si="1"/>
        <v>303954651</v>
      </c>
      <c r="E11" s="830">
        <f>187166011+408000+80000+1630390-80000</f>
        <v>189204401</v>
      </c>
      <c r="F11" s="830">
        <f>40197175+71604+14040+308098</f>
        <v>40590917</v>
      </c>
      <c r="G11" s="831">
        <f>71308603+110000+60000+624000-624000+130000+80000+88350+30000</f>
        <v>71806953</v>
      </c>
      <c r="H11" s="830"/>
      <c r="I11" s="830"/>
      <c r="J11" s="831">
        <f>2766980-60000-354600</f>
        <v>2352380</v>
      </c>
      <c r="K11" s="792">
        <f t="shared" si="2"/>
        <v>303954651</v>
      </c>
      <c r="L11" s="388"/>
    </row>
    <row r="12" spans="1:12" ht="15.95" customHeight="1" x14ac:dyDescent="0.2">
      <c r="A12" s="386" t="s">
        <v>610</v>
      </c>
      <c r="B12" s="831">
        <f>13275287+408000</f>
        <v>13683287</v>
      </c>
      <c r="C12" s="831">
        <f t="shared" si="0"/>
        <v>86872188</v>
      </c>
      <c r="D12" s="831">
        <f t="shared" si="1"/>
        <v>100555475</v>
      </c>
      <c r="E12" s="831">
        <f>44090923+69000+170500+27000+100000</f>
        <v>44457423</v>
      </c>
      <c r="F12" s="830">
        <f>8671204+12110+33248</f>
        <v>8716562</v>
      </c>
      <c r="G12" s="831">
        <f>42412062-81110+232749-170000-100000+408000+232749</f>
        <v>42934450</v>
      </c>
      <c r="H12" s="830"/>
      <c r="I12" s="830"/>
      <c r="J12" s="831">
        <f>2678704+1598336+170000</f>
        <v>4447040</v>
      </c>
      <c r="K12" s="792">
        <f t="shared" si="2"/>
        <v>100555475</v>
      </c>
    </row>
    <row r="13" spans="1:12" s="387" customFormat="1" ht="18" customHeight="1" x14ac:dyDescent="0.2">
      <c r="A13" s="365" t="s">
        <v>591</v>
      </c>
      <c r="B13" s="845">
        <f>224494113-28+3011250+1595250-4000000</f>
        <v>225100585</v>
      </c>
      <c r="C13" s="831">
        <f t="shared" si="0"/>
        <v>520266605</v>
      </c>
      <c r="D13" s="831">
        <f t="shared" si="1"/>
        <v>745367190</v>
      </c>
      <c r="E13" s="844">
        <f>432587281+258000+374000+4907657+673383+1000000+1499370</f>
        <v>441299691</v>
      </c>
      <c r="F13" s="844">
        <f>91161523+50310+72930+949388+132042+175500+292377</f>
        <v>92834070</v>
      </c>
      <c r="G13" s="844">
        <f>186217978+192293+628600+1606688-528975+955814-179000+1462000+1524000+6523801+400000-83820</f>
        <v>198719379</v>
      </c>
      <c r="H13" s="986"/>
      <c r="I13" s="986"/>
      <c r="J13" s="844">
        <f>12698618+599137-646525+179000-400000+83820</f>
        <v>12514050</v>
      </c>
      <c r="K13" s="792">
        <f t="shared" si="2"/>
        <v>745367190</v>
      </c>
    </row>
    <row r="14" spans="1:12" s="387" customFormat="1" ht="18" customHeight="1" x14ac:dyDescent="0.2">
      <c r="A14" s="365" t="s">
        <v>568</v>
      </c>
      <c r="B14" s="987">
        <f>944234+20000</f>
        <v>964234</v>
      </c>
      <c r="C14" s="831">
        <f t="shared" si="0"/>
        <v>87071468</v>
      </c>
      <c r="D14" s="831">
        <f t="shared" si="1"/>
        <v>88035702</v>
      </c>
      <c r="E14" s="844">
        <f>58944411+230755</f>
        <v>59175166</v>
      </c>
      <c r="F14" s="844">
        <f>11728198+44997</f>
        <v>11773195</v>
      </c>
      <c r="G14" s="844">
        <f>15292331+10000-285000-345000</f>
        <v>14672331</v>
      </c>
      <c r="H14" s="986"/>
      <c r="I14" s="986"/>
      <c r="J14" s="844">
        <f>1630810+305000+134200+345000</f>
        <v>2415010</v>
      </c>
      <c r="K14" s="792">
        <f t="shared" si="2"/>
        <v>88035702</v>
      </c>
    </row>
    <row r="15" spans="1:12" s="387" customFormat="1" ht="18" customHeight="1" x14ac:dyDescent="0.2">
      <c r="A15" s="365" t="s">
        <v>592</v>
      </c>
      <c r="B15" s="987">
        <v>16803302</v>
      </c>
      <c r="C15" s="831">
        <f t="shared" si="0"/>
        <v>227049283</v>
      </c>
      <c r="D15" s="832">
        <f>SUM(B15:C15)</f>
        <v>243852585</v>
      </c>
      <c r="E15" s="844">
        <v>139544352</v>
      </c>
      <c r="F15" s="844">
        <v>29568531</v>
      </c>
      <c r="G15" s="986">
        <v>45483222</v>
      </c>
      <c r="H15" s="986">
        <v>86500</v>
      </c>
      <c r="I15" s="986">
        <v>24250000</v>
      </c>
      <c r="J15" s="986">
        <v>4919980</v>
      </c>
      <c r="K15" s="833">
        <f>SUM(E15:J15)</f>
        <v>243852585</v>
      </c>
    </row>
    <row r="16" spans="1:12" s="810" customFormat="1" ht="18" customHeight="1" thickBot="1" x14ac:dyDescent="0.25">
      <c r="A16" s="809" t="s">
        <v>401</v>
      </c>
      <c r="B16" s="573">
        <f t="shared" ref="B16:J16" si="3">SUM(B10:B15)</f>
        <v>442962363</v>
      </c>
      <c r="C16" s="573">
        <f t="shared" si="3"/>
        <v>1351358545</v>
      </c>
      <c r="D16" s="573">
        <f t="shared" si="3"/>
        <v>1794320908</v>
      </c>
      <c r="E16" s="573">
        <f t="shared" si="3"/>
        <v>934358621</v>
      </c>
      <c r="F16" s="573">
        <f t="shared" si="3"/>
        <v>197346820</v>
      </c>
      <c r="G16" s="573">
        <f t="shared" si="3"/>
        <v>610361507</v>
      </c>
      <c r="H16" s="573">
        <f t="shared" si="3"/>
        <v>86500</v>
      </c>
      <c r="I16" s="573">
        <f t="shared" si="3"/>
        <v>24250000</v>
      </c>
      <c r="J16" s="573">
        <f t="shared" si="3"/>
        <v>27917460</v>
      </c>
      <c r="K16" s="834">
        <f>SUM(K10:K15)</f>
        <v>1794320908</v>
      </c>
    </row>
    <row r="17" spans="3:8" s="621" customFormat="1" ht="11.25" x14ac:dyDescent="0.2">
      <c r="D17" s="811"/>
    </row>
    <row r="18" spans="3:8" s="621" customFormat="1" ht="11.25" x14ac:dyDescent="0.2">
      <c r="D18" s="811"/>
    </row>
    <row r="19" spans="3:8" s="622" customFormat="1" x14ac:dyDescent="0.2">
      <c r="D19" s="812"/>
    </row>
    <row r="20" spans="3:8" s="622" customFormat="1" x14ac:dyDescent="0.2">
      <c r="D20" s="812"/>
    </row>
    <row r="21" spans="3:8" s="622" customFormat="1" x14ac:dyDescent="0.2">
      <c r="D21" s="812"/>
    </row>
    <row r="22" spans="3:8" s="622" customFormat="1" x14ac:dyDescent="0.2">
      <c r="D22" s="812"/>
    </row>
    <row r="23" spans="3:8" s="622" customFormat="1" x14ac:dyDescent="0.2">
      <c r="D23" s="812"/>
    </row>
    <row r="24" spans="3:8" s="622" customFormat="1" x14ac:dyDescent="0.2">
      <c r="D24" s="812"/>
    </row>
    <row r="25" spans="3:8" s="622" customFormat="1" x14ac:dyDescent="0.2">
      <c r="D25" s="812"/>
    </row>
    <row r="26" spans="3:8" s="622" customFormat="1" x14ac:dyDescent="0.2">
      <c r="D26" s="812"/>
    </row>
    <row r="27" spans="3:8" x14ac:dyDescent="0.2">
      <c r="C27" s="388"/>
      <c r="G27" s="388"/>
      <c r="H27" s="388"/>
    </row>
    <row r="33" spans="11:11" x14ac:dyDescent="0.2">
      <c r="K33" s="389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5" fitToHeight="0" orientation="landscape" r:id="rId1"/>
  <headerFooter alignWithMargins="0">
    <oddHeader>&amp;R26. melléklet a 17/2018.(VII.27.)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Layout" zoomScaleNormal="100" workbookViewId="0">
      <selection activeCell="J3" sqref="J3"/>
    </sheetView>
  </sheetViews>
  <sheetFormatPr defaultColWidth="10.6640625" defaultRowHeight="12.75" x14ac:dyDescent="0.2"/>
  <cols>
    <col min="1" max="1" width="10" style="989" customWidth="1"/>
    <col min="2" max="2" width="37.33203125" style="989" customWidth="1"/>
    <col min="3" max="3" width="24.83203125" style="989" customWidth="1"/>
    <col min="4" max="4" width="22.6640625" style="989" customWidth="1"/>
    <col min="5" max="5" width="11.6640625" style="989" bestFit="1" customWidth="1"/>
    <col min="6" max="16384" width="10.6640625" style="989"/>
  </cols>
  <sheetData>
    <row r="1" spans="1:6" ht="15.75" x14ac:dyDescent="0.25">
      <c r="A1" s="390"/>
      <c r="B1" s="390"/>
      <c r="C1" s="390"/>
      <c r="D1" s="574"/>
    </row>
    <row r="2" spans="1:6" ht="15.75" x14ac:dyDescent="0.25">
      <c r="A2" s="390"/>
      <c r="B2" s="390"/>
      <c r="C2" s="390"/>
      <c r="D2" s="391"/>
    </row>
    <row r="3" spans="1:6" ht="15.75" x14ac:dyDescent="0.25">
      <c r="A3" s="390"/>
      <c r="B3" s="390"/>
      <c r="C3" s="390"/>
      <c r="D3" s="574"/>
    </row>
    <row r="4" spans="1:6" ht="15.75" x14ac:dyDescent="0.25">
      <c r="A4" s="390"/>
      <c r="B4" s="390"/>
      <c r="C4" s="390"/>
      <c r="D4" s="575"/>
    </row>
    <row r="5" spans="1:6" ht="15.75" x14ac:dyDescent="0.25">
      <c r="A5" s="390"/>
      <c r="B5" s="390"/>
      <c r="C5" s="390"/>
      <c r="D5" s="575"/>
    </row>
    <row r="6" spans="1:6" ht="15.75" x14ac:dyDescent="0.25">
      <c r="A6" s="390"/>
      <c r="B6" s="390"/>
      <c r="C6" s="390"/>
      <c r="D6" s="576"/>
    </row>
    <row r="7" spans="1:6" ht="19.5" x14ac:dyDescent="0.35">
      <c r="A7" s="392" t="s">
        <v>375</v>
      </c>
      <c r="B7" s="392"/>
      <c r="C7" s="392"/>
      <c r="D7" s="577"/>
    </row>
    <row r="8" spans="1:6" ht="19.5" x14ac:dyDescent="0.35">
      <c r="A8" s="392" t="s">
        <v>629</v>
      </c>
      <c r="B8" s="392"/>
      <c r="C8" s="392"/>
      <c r="D8" s="577"/>
    </row>
    <row r="9" spans="1:6" ht="19.5" x14ac:dyDescent="0.35">
      <c r="A9" s="392"/>
      <c r="B9" s="392"/>
      <c r="C9" s="392"/>
      <c r="D9" s="577"/>
    </row>
    <row r="10" spans="1:6" ht="19.5" x14ac:dyDescent="0.35">
      <c r="A10" s="392"/>
      <c r="B10" s="392"/>
      <c r="C10" s="392"/>
      <c r="D10" s="577"/>
    </row>
    <row r="11" spans="1:6" ht="19.5" x14ac:dyDescent="0.35">
      <c r="A11" s="392"/>
      <c r="B11" s="392"/>
      <c r="C11" s="392"/>
      <c r="D11" s="577"/>
    </row>
    <row r="12" spans="1:6" ht="19.5" x14ac:dyDescent="0.35">
      <c r="A12" s="392"/>
      <c r="B12" s="392"/>
      <c r="C12" s="392"/>
      <c r="D12" s="577"/>
    </row>
    <row r="13" spans="1:6" ht="16.5" thickBot="1" x14ac:dyDescent="0.3">
      <c r="A13" s="390"/>
      <c r="B13" s="390"/>
      <c r="C13" s="390"/>
      <c r="D13" s="578" t="s">
        <v>5</v>
      </c>
    </row>
    <row r="14" spans="1:6" s="990" customFormat="1" ht="33" customHeight="1" thickBot="1" x14ac:dyDescent="0.25">
      <c r="A14" s="393" t="s">
        <v>67</v>
      </c>
      <c r="B14" s="394"/>
      <c r="C14" s="395"/>
      <c r="D14" s="579" t="s">
        <v>60</v>
      </c>
    </row>
    <row r="15" spans="1:6" ht="16.5" thickBot="1" x14ac:dyDescent="0.3">
      <c r="A15" s="652" t="s">
        <v>64</v>
      </c>
      <c r="B15" s="653"/>
      <c r="C15" s="654"/>
      <c r="D15" s="793">
        <f>6526975+266142+295985-5833975</f>
        <v>1255127</v>
      </c>
      <c r="E15" s="991"/>
      <c r="F15" s="992"/>
    </row>
    <row r="16" spans="1:6" ht="15.75" x14ac:dyDescent="0.25">
      <c r="A16" s="647" t="s">
        <v>377</v>
      </c>
      <c r="B16" s="656"/>
      <c r="C16" s="657"/>
      <c r="D16" s="658"/>
      <c r="E16" s="992"/>
      <c r="F16" s="992"/>
    </row>
    <row r="17" spans="1:6" x14ac:dyDescent="0.2">
      <c r="A17" s="582" t="s">
        <v>378</v>
      </c>
      <c r="B17" s="583"/>
      <c r="C17" s="648"/>
      <c r="D17" s="846">
        <f>3130181-1000000-630000-1500181</f>
        <v>0</v>
      </c>
      <c r="E17" s="584"/>
      <c r="F17" s="581"/>
    </row>
    <row r="18" spans="1:6" x14ac:dyDescent="0.2">
      <c r="A18" s="582" t="s">
        <v>721</v>
      </c>
      <c r="B18" s="583"/>
      <c r="C18" s="648"/>
      <c r="D18" s="580">
        <v>200000</v>
      </c>
      <c r="E18" s="584"/>
      <c r="F18" s="581"/>
    </row>
    <row r="19" spans="1:6" x14ac:dyDescent="0.2">
      <c r="A19" s="582" t="s">
        <v>562</v>
      </c>
      <c r="B19" s="583"/>
      <c r="C19" s="648"/>
      <c r="D19" s="580">
        <v>4504494</v>
      </c>
      <c r="E19" s="584"/>
      <c r="F19" s="581"/>
    </row>
    <row r="20" spans="1:6" x14ac:dyDescent="0.2">
      <c r="A20" s="582" t="s">
        <v>611</v>
      </c>
      <c r="B20" s="583"/>
      <c r="C20" s="648"/>
      <c r="D20" s="580">
        <v>2540590</v>
      </c>
      <c r="E20" s="584"/>
      <c r="F20" s="581"/>
    </row>
    <row r="21" spans="1:6" x14ac:dyDescent="0.2">
      <c r="A21" s="585" t="s">
        <v>402</v>
      </c>
      <c r="B21" s="583"/>
      <c r="C21" s="648"/>
      <c r="D21" s="580">
        <f>36771408-752475</f>
        <v>36018933</v>
      </c>
      <c r="E21" s="584"/>
      <c r="F21" s="581"/>
    </row>
    <row r="22" spans="1:6" x14ac:dyDescent="0.2">
      <c r="A22" s="630" t="s">
        <v>764</v>
      </c>
      <c r="B22" s="631"/>
      <c r="C22" s="648"/>
      <c r="D22" s="580">
        <f>400000-200000</f>
        <v>200000</v>
      </c>
      <c r="E22" s="584"/>
      <c r="F22" s="581"/>
    </row>
    <row r="23" spans="1:6" x14ac:dyDescent="0.2">
      <c r="A23" s="630" t="s">
        <v>612</v>
      </c>
      <c r="B23" s="631"/>
      <c r="C23" s="648"/>
      <c r="D23" s="580">
        <v>846565</v>
      </c>
      <c r="E23" s="584"/>
      <c r="F23" s="581"/>
    </row>
    <row r="24" spans="1:6" x14ac:dyDescent="0.2">
      <c r="A24" s="630" t="s">
        <v>615</v>
      </c>
      <c r="B24" s="631"/>
      <c r="C24" s="648"/>
      <c r="D24" s="580">
        <v>6007265</v>
      </c>
      <c r="E24" s="584"/>
      <c r="F24" s="581"/>
    </row>
    <row r="25" spans="1:6" x14ac:dyDescent="0.2">
      <c r="A25" s="630" t="s">
        <v>720</v>
      </c>
      <c r="B25" s="631"/>
      <c r="C25" s="648"/>
      <c r="D25" s="580">
        <v>4500000</v>
      </c>
      <c r="E25" s="584"/>
      <c r="F25" s="581"/>
    </row>
    <row r="26" spans="1:6" x14ac:dyDescent="0.2">
      <c r="A26" s="993" t="s">
        <v>758</v>
      </c>
      <c r="B26" s="835"/>
      <c r="C26" s="836"/>
      <c r="D26" s="837">
        <v>750000</v>
      </c>
      <c r="E26" s="584"/>
      <c r="F26" s="581"/>
    </row>
    <row r="27" spans="1:6" ht="16.5" thickBot="1" x14ac:dyDescent="0.3">
      <c r="A27" s="649" t="s">
        <v>379</v>
      </c>
      <c r="B27" s="650"/>
      <c r="C27" s="651"/>
      <c r="D27" s="838">
        <f>SUM(D17:D26)</f>
        <v>55567847</v>
      </c>
    </row>
    <row r="28" spans="1:6" ht="16.5" thickBot="1" x14ac:dyDescent="0.3">
      <c r="A28" s="659"/>
      <c r="B28" s="660"/>
      <c r="C28" s="661"/>
      <c r="D28" s="661"/>
    </row>
    <row r="29" spans="1:6" ht="16.5" thickBot="1" x14ac:dyDescent="0.3">
      <c r="A29" s="652" t="s">
        <v>380</v>
      </c>
      <c r="B29" s="653"/>
      <c r="C29" s="654"/>
      <c r="D29" s="655">
        <f>SUM(D15,D27)</f>
        <v>56822974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&amp;R27. melléklet a 17/2018.(VII.27.)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zoomScale="85" zoomScaleNormal="100" zoomScaleSheetLayoutView="85" zoomScalePageLayoutView="85" workbookViewId="0">
      <selection activeCell="J3" sqref="J3"/>
    </sheetView>
  </sheetViews>
  <sheetFormatPr defaultRowHeight="15.75" x14ac:dyDescent="0.25"/>
  <cols>
    <col min="1" max="1" width="9" style="333" customWidth="1"/>
    <col min="2" max="2" width="75.83203125" style="333" customWidth="1"/>
    <col min="3" max="3" width="16.5" style="769" customWidth="1"/>
    <col min="4" max="4" width="15.5" style="769" customWidth="1"/>
    <col min="5" max="7" width="15.5" style="769" hidden="1" customWidth="1"/>
    <col min="8" max="8" width="15.5" style="769" customWidth="1"/>
    <col min="9" max="9" width="14.33203125" style="317" hidden="1" customWidth="1"/>
    <col min="10" max="10" width="12.6640625" style="317" hidden="1" customWidth="1"/>
    <col min="11" max="11" width="14.33203125" style="317" hidden="1" customWidth="1"/>
    <col min="12" max="16384" width="9.33203125" style="317"/>
  </cols>
  <sheetData>
    <row r="1" spans="1:11" ht="35.25" customHeight="1" x14ac:dyDescent="0.25">
      <c r="A1" s="1029" t="s">
        <v>735</v>
      </c>
      <c r="B1" s="1030"/>
      <c r="C1" s="1030"/>
      <c r="D1" s="1030"/>
      <c r="E1" s="1030"/>
      <c r="F1" s="1030"/>
      <c r="G1" s="1030"/>
      <c r="H1" s="1030"/>
    </row>
    <row r="3" spans="1:11" ht="15.95" customHeight="1" x14ac:dyDescent="0.25">
      <c r="A3" s="1003" t="s">
        <v>20</v>
      </c>
      <c r="B3" s="1003"/>
      <c r="C3" s="1003"/>
      <c r="D3" s="1003"/>
      <c r="E3" s="1003"/>
      <c r="F3" s="1003"/>
      <c r="G3" s="1003"/>
      <c r="H3" s="1003"/>
    </row>
    <row r="4" spans="1:11" ht="15.95" customHeight="1" thickBot="1" x14ac:dyDescent="0.3">
      <c r="A4" s="1002" t="s">
        <v>128</v>
      </c>
      <c r="B4" s="1002"/>
      <c r="C4" s="752"/>
      <c r="D4" s="752"/>
      <c r="E4" s="753"/>
      <c r="F4" s="753"/>
      <c r="G4" s="753"/>
      <c r="H4" s="754" t="s">
        <v>609</v>
      </c>
    </row>
    <row r="5" spans="1:11" ht="38.1" customHeight="1" thickBot="1" x14ac:dyDescent="0.3">
      <c r="A5" s="22" t="s">
        <v>74</v>
      </c>
      <c r="B5" s="23" t="s">
        <v>22</v>
      </c>
      <c r="C5" s="755" t="s">
        <v>722</v>
      </c>
      <c r="D5" s="755" t="s">
        <v>630</v>
      </c>
      <c r="E5" s="756"/>
      <c r="F5" s="756"/>
      <c r="G5" s="756"/>
      <c r="H5" s="757" t="s">
        <v>622</v>
      </c>
    </row>
    <row r="6" spans="1:11" s="318" customFormat="1" ht="12" customHeight="1" thickBot="1" x14ac:dyDescent="0.25">
      <c r="A6" s="31" t="s">
        <v>471</v>
      </c>
      <c r="B6" s="32" t="s">
        <v>472</v>
      </c>
      <c r="C6" s="687" t="s">
        <v>473</v>
      </c>
      <c r="D6" s="687" t="s">
        <v>526</v>
      </c>
      <c r="E6" s="758"/>
      <c r="F6" s="758"/>
      <c r="G6" s="758"/>
      <c r="H6" s="728" t="s">
        <v>527</v>
      </c>
    </row>
    <row r="7" spans="1:11" s="320" customFormat="1" ht="12" customHeight="1" thickBot="1" x14ac:dyDescent="0.25">
      <c r="A7" s="19" t="s">
        <v>23</v>
      </c>
      <c r="B7" s="20" t="s">
        <v>189</v>
      </c>
      <c r="C7" s="687">
        <f>SUM(C8:C13)</f>
        <v>1024115149</v>
      </c>
      <c r="D7" s="688">
        <f>SUM(D8:D13)</f>
        <v>1157368280</v>
      </c>
      <c r="E7" s="689">
        <f>+E8+E9+E10+E11+E12+E13</f>
        <v>1133144785</v>
      </c>
      <c r="F7" s="688">
        <f>+F8+F9+F10+F11+F12+F13</f>
        <v>0</v>
      </c>
      <c r="G7" s="688">
        <f>+G8+G9+G10+G11+G12+G13</f>
        <v>0</v>
      </c>
      <c r="H7" s="137">
        <f t="shared" ref="H7:H38" si="0">SUM(I7:K7)</f>
        <v>1329580680</v>
      </c>
      <c r="I7" s="319">
        <f>+I8+I9+I10+I11+I12+I13</f>
        <v>1329580680</v>
      </c>
      <c r="J7" s="137">
        <f>+J8+J9+J10+J11+J12+J13</f>
        <v>0</v>
      </c>
      <c r="K7" s="137">
        <f>+K8+K9+K10+K11+K12+K13</f>
        <v>0</v>
      </c>
    </row>
    <row r="8" spans="1:11" s="320" customFormat="1" ht="12" customHeight="1" x14ac:dyDescent="0.2">
      <c r="A8" s="14" t="s">
        <v>99</v>
      </c>
      <c r="B8" s="348" t="s">
        <v>190</v>
      </c>
      <c r="C8" s="690">
        <v>231987612</v>
      </c>
      <c r="D8" s="691">
        <f>SUM(E8:G8)+905743</f>
        <v>228418282</v>
      </c>
      <c r="E8" s="692">
        <v>227512539</v>
      </c>
      <c r="F8" s="693"/>
      <c r="G8" s="693"/>
      <c r="H8" s="772">
        <f t="shared" si="0"/>
        <v>227855923</v>
      </c>
      <c r="I8" s="260">
        <v>227855923</v>
      </c>
      <c r="J8" s="260"/>
      <c r="K8" s="260"/>
    </row>
    <row r="9" spans="1:11" s="320" customFormat="1" ht="12" customHeight="1" x14ac:dyDescent="0.2">
      <c r="A9" s="13" t="s">
        <v>100</v>
      </c>
      <c r="B9" s="349" t="s">
        <v>191</v>
      </c>
      <c r="C9" s="694">
        <v>218221810</v>
      </c>
      <c r="D9" s="695">
        <f>SUM(E9:G9)+10461768-4721982-4278000</f>
        <v>219569080</v>
      </c>
      <c r="E9" s="696">
        <v>218107294</v>
      </c>
      <c r="F9" s="697"/>
      <c r="G9" s="697"/>
      <c r="H9" s="499">
        <f t="shared" si="0"/>
        <v>225469302</v>
      </c>
      <c r="I9" s="141">
        <f>224734134+735168</f>
        <v>225469302</v>
      </c>
      <c r="J9" s="141"/>
      <c r="K9" s="141"/>
    </row>
    <row r="10" spans="1:11" s="320" customFormat="1" ht="12" customHeight="1" x14ac:dyDescent="0.2">
      <c r="A10" s="13" t="s">
        <v>101</v>
      </c>
      <c r="B10" s="349" t="s">
        <v>192</v>
      </c>
      <c r="C10" s="694">
        <v>534266192</v>
      </c>
      <c r="D10" s="695">
        <f>SUM(E10:G10)-35761000-1921230+31350000</f>
        <v>597207802</v>
      </c>
      <c r="E10" s="696">
        <f>121200000+67844165+118423160+15562200+177597260+4526280+11511000+24250000+62625967</f>
        <v>603540032</v>
      </c>
      <c r="F10" s="697"/>
      <c r="G10" s="697"/>
      <c r="H10" s="499">
        <f t="shared" si="0"/>
        <v>637304158</v>
      </c>
      <c r="I10" s="141">
        <f>126991000+65060600+119410000+192410145+62092600+71339813</f>
        <v>637304158</v>
      </c>
      <c r="J10" s="141"/>
      <c r="K10" s="141"/>
    </row>
    <row r="11" spans="1:11" s="320" customFormat="1" ht="12" customHeight="1" x14ac:dyDescent="0.2">
      <c r="A11" s="13" t="s">
        <v>102</v>
      </c>
      <c r="B11" s="349" t="s">
        <v>193</v>
      </c>
      <c r="C11" s="694">
        <v>26942276</v>
      </c>
      <c r="D11" s="695">
        <f>SUM(E11:G11)-4412740+4412740+1038248</f>
        <v>31342308</v>
      </c>
      <c r="E11" s="696">
        <f>4412740+15262320+10629000</f>
        <v>30304060</v>
      </c>
      <c r="F11" s="697"/>
      <c r="G11" s="697"/>
      <c r="H11" s="499">
        <f t="shared" si="0"/>
        <v>34688156</v>
      </c>
      <c r="I11" s="141">
        <f>16122040+12622000+1398336+4545780</f>
        <v>34688156</v>
      </c>
      <c r="J11" s="141"/>
      <c r="K11" s="141"/>
    </row>
    <row r="12" spans="1:11" s="320" customFormat="1" ht="12" customHeight="1" x14ac:dyDescent="0.2">
      <c r="A12" s="13" t="s">
        <v>125</v>
      </c>
      <c r="B12" s="663" t="s">
        <v>474</v>
      </c>
      <c r="C12" s="694">
        <v>1738907</v>
      </c>
      <c r="D12" s="695">
        <f>SUM(E12:G12)+23885805+49094027+4501192-4412740-15000000+306000-31224336</f>
        <v>80830808</v>
      </c>
      <c r="E12" s="696">
        <f>3551000+1060845+168707597+58000+128000-119824582</f>
        <v>53680860</v>
      </c>
      <c r="F12" s="697"/>
      <c r="G12" s="697"/>
      <c r="H12" s="499">
        <f t="shared" si="0"/>
        <v>204263141</v>
      </c>
      <c r="I12" s="141">
        <f>16254886+63796813+190231327+1309600+1013108-68342593</f>
        <v>204263141</v>
      </c>
      <c r="J12" s="141"/>
      <c r="K12" s="141"/>
    </row>
    <row r="13" spans="1:11" s="320" customFormat="1" ht="12" customHeight="1" thickBot="1" x14ac:dyDescent="0.25">
      <c r="A13" s="15" t="s">
        <v>103</v>
      </c>
      <c r="B13" s="664" t="s">
        <v>475</v>
      </c>
      <c r="C13" s="698">
        <v>10958352</v>
      </c>
      <c r="D13" s="699">
        <f>SUM(E13:G13)</f>
        <v>0</v>
      </c>
      <c r="E13" s="700"/>
      <c r="F13" s="701"/>
      <c r="G13" s="701"/>
      <c r="H13" s="773">
        <f t="shared" si="0"/>
        <v>0</v>
      </c>
      <c r="I13" s="125"/>
      <c r="J13" s="138"/>
      <c r="K13" s="138"/>
    </row>
    <row r="14" spans="1:11" s="320" customFormat="1" ht="12" customHeight="1" thickBot="1" x14ac:dyDescent="0.25">
      <c r="A14" s="19" t="s">
        <v>24</v>
      </c>
      <c r="B14" s="665" t="s">
        <v>194</v>
      </c>
      <c r="C14" s="702">
        <v>710827871</v>
      </c>
      <c r="D14" s="689">
        <f>SUM(D15:D19)</f>
        <v>335849323</v>
      </c>
      <c r="E14" s="689">
        <f>+E15+E16+E17+E18+E19</f>
        <v>-145452435</v>
      </c>
      <c r="F14" s="688">
        <f>+F15+F16+F17+F18+F19</f>
        <v>0</v>
      </c>
      <c r="G14" s="688">
        <f>+G15+G16+G17+G18+G19</f>
        <v>5485000</v>
      </c>
      <c r="H14" s="137">
        <f t="shared" si="0"/>
        <v>277012584</v>
      </c>
      <c r="I14" s="319">
        <f>+I15+I16+I17+I18+I19</f>
        <v>254383192</v>
      </c>
      <c r="J14" s="137">
        <f>+J15+J16+J17+J18+J19</f>
        <v>3116857</v>
      </c>
      <c r="K14" s="137">
        <f>+K15+K16+K17+K18+K19</f>
        <v>19512535</v>
      </c>
    </row>
    <row r="15" spans="1:11" s="320" customFormat="1" ht="12" customHeight="1" x14ac:dyDescent="0.2">
      <c r="A15" s="14" t="s">
        <v>105</v>
      </c>
      <c r="B15" s="348" t="s">
        <v>195</v>
      </c>
      <c r="C15" s="694"/>
      <c r="D15" s="691">
        <f>SUM(E15:G15)</f>
        <v>0</v>
      </c>
      <c r="E15" s="703"/>
      <c r="F15" s="704"/>
      <c r="G15" s="704"/>
      <c r="H15" s="772">
        <f t="shared" si="0"/>
        <v>0</v>
      </c>
      <c r="I15" s="321"/>
      <c r="J15" s="139"/>
      <c r="K15" s="139"/>
    </row>
    <row r="16" spans="1:11" s="320" customFormat="1" ht="12" customHeight="1" x14ac:dyDescent="0.2">
      <c r="A16" s="13" t="s">
        <v>106</v>
      </c>
      <c r="B16" s="349" t="s">
        <v>196</v>
      </c>
      <c r="C16" s="694"/>
      <c r="D16" s="705">
        <f>SUM(E16:G16)</f>
        <v>0</v>
      </c>
      <c r="E16" s="700"/>
      <c r="F16" s="701"/>
      <c r="G16" s="701"/>
      <c r="H16" s="363">
        <f t="shared" si="0"/>
        <v>0</v>
      </c>
      <c r="I16" s="125"/>
      <c r="J16" s="138"/>
      <c r="K16" s="138"/>
    </row>
    <row r="17" spans="1:11" s="320" customFormat="1" ht="12" customHeight="1" x14ac:dyDescent="0.2">
      <c r="A17" s="13" t="s">
        <v>107</v>
      </c>
      <c r="B17" s="349" t="s">
        <v>365</v>
      </c>
      <c r="C17" s="694"/>
      <c r="D17" s="695">
        <f>SUM(E17:G17)</f>
        <v>0</v>
      </c>
      <c r="E17" s="700"/>
      <c r="F17" s="701"/>
      <c r="G17" s="701"/>
      <c r="H17" s="363">
        <f t="shared" si="0"/>
        <v>0</v>
      </c>
      <c r="I17" s="125"/>
      <c r="J17" s="138"/>
      <c r="K17" s="138"/>
    </row>
    <row r="18" spans="1:11" s="320" customFormat="1" ht="12" customHeight="1" x14ac:dyDescent="0.2">
      <c r="A18" s="13" t="s">
        <v>108</v>
      </c>
      <c r="B18" s="349" t="s">
        <v>366</v>
      </c>
      <c r="C18" s="694"/>
      <c r="D18" s="695">
        <f>SUM(E18:G18)</f>
        <v>0</v>
      </c>
      <c r="E18" s="700"/>
      <c r="F18" s="701"/>
      <c r="G18" s="701"/>
      <c r="H18" s="363">
        <f t="shared" si="0"/>
        <v>0</v>
      </c>
      <c r="I18" s="125"/>
      <c r="J18" s="138"/>
      <c r="K18" s="138"/>
    </row>
    <row r="19" spans="1:11" s="320" customFormat="1" ht="12" customHeight="1" x14ac:dyDescent="0.2">
      <c r="A19" s="13" t="s">
        <v>109</v>
      </c>
      <c r="B19" s="349" t="s">
        <v>197</v>
      </c>
      <c r="C19" s="694">
        <v>710827871</v>
      </c>
      <c r="D19" s="695">
        <f>SUM(E19:G19)+326152588+94906504+10325405+7215044+33734217+3483000</f>
        <v>335849323</v>
      </c>
      <c r="E19" s="696">
        <f>2285000+210000+110446000+65342000-323735435</f>
        <v>-145452435</v>
      </c>
      <c r="F19" s="697"/>
      <c r="G19" s="697">
        <v>5485000</v>
      </c>
      <c r="H19" s="499">
        <f t="shared" si="0"/>
        <v>277012584</v>
      </c>
      <c r="I19" s="301">
        <f>3900000+4320000+125887110+24250000-344442+81177781+3810743+11382000</f>
        <v>254383192</v>
      </c>
      <c r="J19" s="298">
        <f>3096237+20620</f>
        <v>3116857</v>
      </c>
      <c r="K19" s="141">
        <v>19512535</v>
      </c>
    </row>
    <row r="20" spans="1:11" s="320" customFormat="1" ht="12" customHeight="1" thickBot="1" x14ac:dyDescent="0.25">
      <c r="A20" s="15" t="s">
        <v>118</v>
      </c>
      <c r="B20" s="664" t="s">
        <v>198</v>
      </c>
      <c r="C20" s="698"/>
      <c r="D20" s="699">
        <f>374405+16502729</f>
        <v>16877134</v>
      </c>
      <c r="E20" s="706"/>
      <c r="F20" s="707"/>
      <c r="G20" s="707"/>
      <c r="H20" s="773">
        <f t="shared" si="0"/>
        <v>85930791</v>
      </c>
      <c r="I20" s="300">
        <v>85531256</v>
      </c>
      <c r="J20" s="211"/>
      <c r="K20" s="211">
        <v>399535</v>
      </c>
    </row>
    <row r="21" spans="1:11" s="320" customFormat="1" ht="12" customHeight="1" thickBot="1" x14ac:dyDescent="0.25">
      <c r="A21" s="19" t="s">
        <v>25</v>
      </c>
      <c r="B21" s="662" t="s">
        <v>199</v>
      </c>
      <c r="C21" s="702">
        <v>92052777</v>
      </c>
      <c r="D21" s="689">
        <f>SUM(D22:D26)</f>
        <v>532260298</v>
      </c>
      <c r="E21" s="689">
        <f>+E22+E23+E24+E25+E26</f>
        <v>-11381976</v>
      </c>
      <c r="F21" s="688">
        <f>+F22+F23+F24+F25+F26</f>
        <v>0</v>
      </c>
      <c r="G21" s="688">
        <f>+G22+G23+G24+G25+G26</f>
        <v>0</v>
      </c>
      <c r="H21" s="137">
        <f t="shared" si="0"/>
        <v>73301322</v>
      </c>
      <c r="I21" s="319">
        <f>+I22+I23+I24+I25+I26</f>
        <v>73301322</v>
      </c>
      <c r="J21" s="137">
        <f>+J22+J23+J24+J25+J26</f>
        <v>0</v>
      </c>
      <c r="K21" s="137">
        <f>+K22+K23+K24+K25+K26</f>
        <v>0</v>
      </c>
    </row>
    <row r="22" spans="1:11" s="320" customFormat="1" ht="12" customHeight="1" x14ac:dyDescent="0.2">
      <c r="A22" s="14" t="s">
        <v>88</v>
      </c>
      <c r="B22" s="348" t="s">
        <v>200</v>
      </c>
      <c r="C22" s="694">
        <v>20850665</v>
      </c>
      <c r="D22" s="691">
        <f>SUM(E22:G22)+15690532</f>
        <v>15690532</v>
      </c>
      <c r="E22" s="708"/>
      <c r="F22" s="709"/>
      <c r="G22" s="709"/>
      <c r="H22" s="774">
        <f t="shared" si="0"/>
        <v>0</v>
      </c>
      <c r="I22" s="351"/>
      <c r="J22" s="295"/>
      <c r="K22" s="295"/>
    </row>
    <row r="23" spans="1:11" s="320" customFormat="1" ht="12" customHeight="1" x14ac:dyDescent="0.2">
      <c r="A23" s="13" t="s">
        <v>89</v>
      </c>
      <c r="B23" s="349" t="s">
        <v>201</v>
      </c>
      <c r="C23" s="694"/>
      <c r="D23" s="705">
        <f>SUM(E23:G23)</f>
        <v>0</v>
      </c>
      <c r="E23" s="696"/>
      <c r="F23" s="697"/>
      <c r="G23" s="697"/>
      <c r="H23" s="775">
        <f t="shared" si="0"/>
        <v>0</v>
      </c>
      <c r="I23" s="296"/>
      <c r="J23" s="141"/>
      <c r="K23" s="141"/>
    </row>
    <row r="24" spans="1:11" s="320" customFormat="1" ht="12" customHeight="1" x14ac:dyDescent="0.2">
      <c r="A24" s="13" t="s">
        <v>90</v>
      </c>
      <c r="B24" s="349" t="s">
        <v>367</v>
      </c>
      <c r="C24" s="694"/>
      <c r="D24" s="705">
        <f>SUM(E24:G24)</f>
        <v>0</v>
      </c>
      <c r="E24" s="696"/>
      <c r="F24" s="697"/>
      <c r="G24" s="697"/>
      <c r="H24" s="363">
        <f t="shared" si="0"/>
        <v>0</v>
      </c>
      <c r="I24" s="296"/>
      <c r="J24" s="141"/>
      <c r="K24" s="141"/>
    </row>
    <row r="25" spans="1:11" s="320" customFormat="1" ht="12" customHeight="1" x14ac:dyDescent="0.2">
      <c r="A25" s="13" t="s">
        <v>91</v>
      </c>
      <c r="B25" s="349" t="s">
        <v>368</v>
      </c>
      <c r="C25" s="694"/>
      <c r="D25" s="705">
        <f>SUM(E25:G25)</f>
        <v>0</v>
      </c>
      <c r="E25" s="696"/>
      <c r="F25" s="697"/>
      <c r="G25" s="697"/>
      <c r="H25" s="363">
        <f t="shared" si="0"/>
        <v>0</v>
      </c>
      <c r="I25" s="296"/>
      <c r="J25" s="141"/>
      <c r="K25" s="141"/>
    </row>
    <row r="26" spans="1:11" s="320" customFormat="1" ht="12" customHeight="1" x14ac:dyDescent="0.2">
      <c r="A26" s="13" t="s">
        <v>136</v>
      </c>
      <c r="B26" s="349" t="s">
        <v>202</v>
      </c>
      <c r="C26" s="694">
        <v>71202112</v>
      </c>
      <c r="D26" s="705">
        <f>SUM(E26:G26)+15179276+93705029+216916507+202150930</f>
        <v>516569766</v>
      </c>
      <c r="E26" s="696">
        <f>3797300-15179276</f>
        <v>-11381976</v>
      </c>
      <c r="F26" s="697"/>
      <c r="G26" s="697"/>
      <c r="H26" s="363">
        <f t="shared" si="0"/>
        <v>73301322</v>
      </c>
      <c r="I26" s="296">
        <f>5866130+3779393+3796748+59859051</f>
        <v>73301322</v>
      </c>
      <c r="J26" s="141"/>
      <c r="K26" s="141"/>
    </row>
    <row r="27" spans="1:11" s="320" customFormat="1" ht="12" customHeight="1" thickBot="1" x14ac:dyDescent="0.25">
      <c r="A27" s="15" t="s">
        <v>137</v>
      </c>
      <c r="B27" s="350" t="s">
        <v>203</v>
      </c>
      <c r="C27" s="698">
        <v>71149405</v>
      </c>
      <c r="D27" s="710">
        <f>SUM(E27:G27)+91545029+214128350+202150930</f>
        <v>511621609</v>
      </c>
      <c r="E27" s="706">
        <v>3797300</v>
      </c>
      <c r="F27" s="707"/>
      <c r="G27" s="707"/>
      <c r="H27" s="773">
        <f t="shared" si="0"/>
        <v>68947847</v>
      </c>
      <c r="I27" s="300">
        <f>9645523+3796748+55505576</f>
        <v>68947847</v>
      </c>
      <c r="J27" s="211"/>
      <c r="K27" s="211"/>
    </row>
    <row r="28" spans="1:11" s="320" customFormat="1" ht="12" customHeight="1" thickBot="1" x14ac:dyDescent="0.25">
      <c r="A28" s="19" t="s">
        <v>138</v>
      </c>
      <c r="B28" s="662" t="s">
        <v>204</v>
      </c>
      <c r="C28" s="702">
        <f>C29+C33+C34+C35</f>
        <v>356945262</v>
      </c>
      <c r="D28" s="689">
        <f>SUM(D29)+SUM(D32:D35)</f>
        <v>366490000</v>
      </c>
      <c r="E28" s="711">
        <f>+E29+E33+E34+E35</f>
        <v>329390000</v>
      </c>
      <c r="F28" s="712">
        <f>+F29+F33+F34+F35</f>
        <v>0</v>
      </c>
      <c r="G28" s="712">
        <f>+G29+G33+G34+G35</f>
        <v>0</v>
      </c>
      <c r="H28" s="137">
        <f t="shared" si="0"/>
        <v>352658000</v>
      </c>
      <c r="I28" s="322">
        <f>+I29+I33+I34+I35</f>
        <v>352658000</v>
      </c>
      <c r="J28" s="142">
        <f>+J29+J33+J34+J35</f>
        <v>0</v>
      </c>
      <c r="K28" s="142">
        <f>+K29+K33+K34+K35</f>
        <v>0</v>
      </c>
    </row>
    <row r="29" spans="1:11" s="320" customFormat="1" ht="12" customHeight="1" x14ac:dyDescent="0.2">
      <c r="A29" s="14" t="s">
        <v>205</v>
      </c>
      <c r="B29" s="348" t="s">
        <v>6</v>
      </c>
      <c r="C29" s="694">
        <f>SUM(C30:C32)</f>
        <v>320366432</v>
      </c>
      <c r="D29" s="691">
        <f>SUM(D30:D31)</f>
        <v>327830000</v>
      </c>
      <c r="E29" s="691">
        <f>SUM(E30:E32)</f>
        <v>292830000</v>
      </c>
      <c r="F29" s="713"/>
      <c r="G29" s="713"/>
      <c r="H29" s="772">
        <f t="shared" si="0"/>
        <v>308654000</v>
      </c>
      <c r="I29" s="352">
        <f>SUM(I30:I32)</f>
        <v>308654000</v>
      </c>
      <c r="J29" s="217"/>
      <c r="K29" s="217"/>
    </row>
    <row r="30" spans="1:11" s="320" customFormat="1" ht="12" customHeight="1" x14ac:dyDescent="0.2">
      <c r="A30" s="13" t="s">
        <v>208</v>
      </c>
      <c r="B30" s="349" t="s">
        <v>8</v>
      </c>
      <c r="C30" s="694">
        <v>78837793</v>
      </c>
      <c r="D30" s="705">
        <f>SUM(E30:G30)</f>
        <v>78990000</v>
      </c>
      <c r="E30" s="700">
        <f>8990000+70000000</f>
        <v>78990000</v>
      </c>
      <c r="F30" s="701"/>
      <c r="G30" s="701"/>
      <c r="H30" s="363">
        <f t="shared" si="0"/>
        <v>77500000</v>
      </c>
      <c r="I30" s="125">
        <f>7500000+70000000</f>
        <v>77500000</v>
      </c>
      <c r="J30" s="138"/>
      <c r="K30" s="138"/>
    </row>
    <row r="31" spans="1:11" s="320" customFormat="1" ht="12" customHeight="1" x14ac:dyDescent="0.2">
      <c r="A31" s="13" t="s">
        <v>209</v>
      </c>
      <c r="B31" s="349" t="s">
        <v>578</v>
      </c>
      <c r="C31" s="694">
        <v>241343096</v>
      </c>
      <c r="D31" s="695">
        <f>SUM(E31:G31)+35000000</f>
        <v>248840000</v>
      </c>
      <c r="E31" s="700">
        <f>203840000+10000000</f>
        <v>213840000</v>
      </c>
      <c r="F31" s="701"/>
      <c r="G31" s="701"/>
      <c r="H31" s="363">
        <f t="shared" si="0"/>
        <v>231154000</v>
      </c>
      <c r="I31" s="125">
        <v>231154000</v>
      </c>
      <c r="J31" s="138"/>
      <c r="K31" s="138"/>
    </row>
    <row r="32" spans="1:11" s="320" customFormat="1" ht="12" customHeight="1" x14ac:dyDescent="0.2">
      <c r="A32" s="13" t="s">
        <v>210</v>
      </c>
      <c r="B32" s="349" t="s">
        <v>7</v>
      </c>
      <c r="C32" s="694">
        <v>185543</v>
      </c>
      <c r="D32" s="705">
        <f>SUM(E32:G32)</f>
        <v>0</v>
      </c>
      <c r="E32" s="696"/>
      <c r="F32" s="697"/>
      <c r="G32" s="697"/>
      <c r="H32" s="363">
        <f t="shared" si="0"/>
        <v>0</v>
      </c>
      <c r="I32" s="296"/>
      <c r="J32" s="141"/>
      <c r="K32" s="141"/>
    </row>
    <row r="33" spans="1:11" s="320" customFormat="1" ht="12" customHeight="1" x14ac:dyDescent="0.2">
      <c r="A33" s="13" t="s">
        <v>577</v>
      </c>
      <c r="B33" s="349" t="s">
        <v>213</v>
      </c>
      <c r="C33" s="694">
        <v>27707080</v>
      </c>
      <c r="D33" s="705">
        <f>SUM(E33:G33)</f>
        <v>27000000</v>
      </c>
      <c r="E33" s="700">
        <f>27000000</f>
        <v>27000000</v>
      </c>
      <c r="F33" s="701"/>
      <c r="G33" s="701"/>
      <c r="H33" s="363">
        <f t="shared" si="0"/>
        <v>28000000</v>
      </c>
      <c r="I33" s="125">
        <v>28000000</v>
      </c>
      <c r="J33" s="138"/>
      <c r="K33" s="138"/>
    </row>
    <row r="34" spans="1:11" s="320" customFormat="1" ht="12" customHeight="1" x14ac:dyDescent="0.2">
      <c r="A34" s="13" t="s">
        <v>593</v>
      </c>
      <c r="B34" s="349" t="s">
        <v>214</v>
      </c>
      <c r="C34" s="694">
        <v>3865671</v>
      </c>
      <c r="D34" s="705">
        <f>SUM(E34:G34)-4000000</f>
        <v>60000</v>
      </c>
      <c r="E34" s="700">
        <v>4060000</v>
      </c>
      <c r="F34" s="701"/>
      <c r="G34" s="701"/>
      <c r="H34" s="363">
        <f t="shared" si="0"/>
        <v>4000</v>
      </c>
      <c r="I34" s="125">
        <f>4000+4500000-4500000</f>
        <v>4000</v>
      </c>
      <c r="J34" s="138"/>
      <c r="K34" s="138"/>
    </row>
    <row r="35" spans="1:11" s="320" customFormat="1" ht="12" customHeight="1" thickBot="1" x14ac:dyDescent="0.25">
      <c r="A35" s="15" t="s">
        <v>594</v>
      </c>
      <c r="B35" s="350" t="s">
        <v>215</v>
      </c>
      <c r="C35" s="698">
        <v>5006079</v>
      </c>
      <c r="D35" s="710">
        <f>SUM(E35:G35)+4000000+2100000</f>
        <v>11600000</v>
      </c>
      <c r="E35" s="706">
        <v>5500000</v>
      </c>
      <c r="F35" s="707"/>
      <c r="G35" s="707"/>
      <c r="H35" s="773">
        <f t="shared" si="0"/>
        <v>16000000</v>
      </c>
      <c r="I35" s="300">
        <f>1500000+2000000+1000000+7000000+4500000</f>
        <v>16000000</v>
      </c>
      <c r="J35" s="211"/>
      <c r="K35" s="211"/>
    </row>
    <row r="36" spans="1:11" s="320" customFormat="1" ht="12" customHeight="1" thickBot="1" x14ac:dyDescent="0.25">
      <c r="A36" s="19" t="s">
        <v>27</v>
      </c>
      <c r="B36" s="662" t="s">
        <v>479</v>
      </c>
      <c r="C36" s="702">
        <f>SUM(C37:C47)</f>
        <v>438590106</v>
      </c>
      <c r="D36" s="689">
        <f>SUM(D37:D47)</f>
        <v>464679145</v>
      </c>
      <c r="E36" s="689">
        <f>SUM(E37:E47)</f>
        <v>54395907</v>
      </c>
      <c r="F36" s="688">
        <f>SUM(F37:F47)</f>
        <v>9416500</v>
      </c>
      <c r="G36" s="688">
        <f>SUM(G37:G47)</f>
        <v>385266178</v>
      </c>
      <c r="H36" s="137">
        <f t="shared" si="0"/>
        <v>444032260</v>
      </c>
      <c r="I36" s="319">
        <f>SUM(I37:I47)</f>
        <v>49980812</v>
      </c>
      <c r="J36" s="137">
        <f>SUM(J37:J47)</f>
        <v>8419440</v>
      </c>
      <c r="K36" s="137">
        <f>SUM(K37:K47)</f>
        <v>385632008</v>
      </c>
    </row>
    <row r="37" spans="1:11" s="320" customFormat="1" ht="12" customHeight="1" x14ac:dyDescent="0.2">
      <c r="A37" s="14" t="s">
        <v>92</v>
      </c>
      <c r="B37" s="348" t="s">
        <v>218</v>
      </c>
      <c r="C37" s="694">
        <v>13801743</v>
      </c>
      <c r="D37" s="714">
        <f>SUM(E37:G37)+5500000+275371-130000+3954000</f>
        <v>19744849</v>
      </c>
      <c r="E37" s="692">
        <f>3937000+4000000+5000000-2941522</f>
        <v>9995478</v>
      </c>
      <c r="F37" s="693"/>
      <c r="G37" s="693">
        <v>150000</v>
      </c>
      <c r="H37" s="772">
        <f t="shared" si="0"/>
        <v>12179000</v>
      </c>
      <c r="I37" s="325">
        <v>12159000</v>
      </c>
      <c r="J37" s="260"/>
      <c r="K37" s="260">
        <v>20000</v>
      </c>
    </row>
    <row r="38" spans="1:11" s="320" customFormat="1" ht="12" customHeight="1" x14ac:dyDescent="0.2">
      <c r="A38" s="13" t="s">
        <v>93</v>
      </c>
      <c r="B38" s="349" t="s">
        <v>219</v>
      </c>
      <c r="C38" s="694">
        <v>92246962</v>
      </c>
      <c r="D38" s="695">
        <f>SUM(E38:G38)+1813568-195228+4055000-5885856+1800934</f>
        <v>96708620</v>
      </c>
      <c r="E38" s="696">
        <f>100000+12004000+160000+7128864</f>
        <v>19392864</v>
      </c>
      <c r="F38" s="697">
        <v>7533500</v>
      </c>
      <c r="G38" s="693">
        <v>68193838</v>
      </c>
      <c r="H38" s="363">
        <f t="shared" si="0"/>
        <v>81975580</v>
      </c>
      <c r="I38" s="296">
        <f>13910169+100000+62992+7239600</f>
        <v>21312761</v>
      </c>
      <c r="J38" s="141">
        <f>500000+1198440+380000+4150000</f>
        <v>6228440</v>
      </c>
      <c r="K38" s="260">
        <f>52063316+2371063</f>
        <v>54434379</v>
      </c>
    </row>
    <row r="39" spans="1:11" s="320" customFormat="1" ht="12" customHeight="1" x14ac:dyDescent="0.2">
      <c r="A39" s="13" t="s">
        <v>94</v>
      </c>
      <c r="B39" s="349" t="s">
        <v>220</v>
      </c>
      <c r="C39" s="694">
        <v>87133464</v>
      </c>
      <c r="D39" s="695">
        <f>SUM(E39:G39)+1061599-195228+364027-3376000-189000-42520+2246520</f>
        <v>95492738</v>
      </c>
      <c r="E39" s="696">
        <f>8458000+947000</f>
        <v>9405000</v>
      </c>
      <c r="F39" s="697">
        <v>500000</v>
      </c>
      <c r="G39" s="693">
        <v>85718340</v>
      </c>
      <c r="H39" s="363">
        <f t="shared" ref="H39:H89" si="1">SUM(I39:K39)</f>
        <v>103069200</v>
      </c>
      <c r="I39" s="296">
        <f>500000+300000+50000+1400000+947000+300000+52200</f>
        <v>3549200</v>
      </c>
      <c r="J39" s="141">
        <v>300000</v>
      </c>
      <c r="K39" s="260">
        <v>99220000</v>
      </c>
    </row>
    <row r="40" spans="1:11" s="320" customFormat="1" ht="12" customHeight="1" x14ac:dyDescent="0.2">
      <c r="A40" s="13" t="s">
        <v>140</v>
      </c>
      <c r="B40" s="349" t="s">
        <v>221</v>
      </c>
      <c r="C40" s="694">
        <v>7452660</v>
      </c>
      <c r="D40" s="695">
        <f>SUM(E40:G40)</f>
        <v>430000</v>
      </c>
      <c r="E40" s="696">
        <f>430000</f>
        <v>430000</v>
      </c>
      <c r="F40" s="697"/>
      <c r="G40" s="693"/>
      <c r="H40" s="363">
        <f t="shared" si="1"/>
        <v>430000</v>
      </c>
      <c r="I40" s="296">
        <v>430000</v>
      </c>
      <c r="J40" s="141"/>
      <c r="K40" s="260"/>
    </row>
    <row r="41" spans="1:11" s="320" customFormat="1" ht="12" customHeight="1" x14ac:dyDescent="0.2">
      <c r="A41" s="13" t="s">
        <v>141</v>
      </c>
      <c r="B41" s="349" t="s">
        <v>222</v>
      </c>
      <c r="C41" s="694">
        <v>175650577</v>
      </c>
      <c r="D41" s="695">
        <f>SUM(E41:G41)-1800934</f>
        <v>176438468</v>
      </c>
      <c r="E41" s="696"/>
      <c r="F41" s="697"/>
      <c r="G41" s="693">
        <f>182811402-4572000</f>
        <v>178239402</v>
      </c>
      <c r="H41" s="499">
        <f t="shared" si="1"/>
        <v>175085653</v>
      </c>
      <c r="I41" s="296">
        <v>-4000000</v>
      </c>
      <c r="J41" s="141"/>
      <c r="K41" s="260">
        <v>179085653</v>
      </c>
    </row>
    <row r="42" spans="1:11" s="320" customFormat="1" ht="12" customHeight="1" x14ac:dyDescent="0.2">
      <c r="A42" s="13" t="s">
        <v>142</v>
      </c>
      <c r="B42" s="349" t="s">
        <v>223</v>
      </c>
      <c r="C42" s="694">
        <v>40626143</v>
      </c>
      <c r="D42" s="695">
        <f>SUM(E42:G42)+270000+1485000+976640+195228+195228+246410+2609072+189000+42520-2463811</f>
        <v>50887450</v>
      </c>
      <c r="E42" s="696">
        <f>1063000+3242000+5853000+44000+378000+600000+1350000+1408565</f>
        <v>13938565</v>
      </c>
      <c r="F42" s="697">
        <v>1283000</v>
      </c>
      <c r="G42" s="693">
        <v>31920598</v>
      </c>
      <c r="H42" s="363">
        <f t="shared" si="1"/>
        <v>48118270</v>
      </c>
      <c r="I42" s="296">
        <f>3283000+5162000+81000+13500+378000+81000+14094+17008+2636692</f>
        <v>11666294</v>
      </c>
      <c r="J42" s="141">
        <f>135000+324000+103000+1229000</f>
        <v>1791000</v>
      </c>
      <c r="K42" s="260">
        <f>34020789+640187</f>
        <v>34660976</v>
      </c>
    </row>
    <row r="43" spans="1:11" s="320" customFormat="1" ht="12" customHeight="1" x14ac:dyDescent="0.2">
      <c r="A43" s="13" t="s">
        <v>143</v>
      </c>
      <c r="B43" s="349" t="s">
        <v>224</v>
      </c>
      <c r="C43" s="694">
        <v>19170000</v>
      </c>
      <c r="D43" s="695">
        <f>SUM(E43:G43)-1286000+1924793</f>
        <v>21672793</v>
      </c>
      <c r="E43" s="696"/>
      <c r="F43" s="697"/>
      <c r="G43" s="693">
        <v>21034000</v>
      </c>
      <c r="H43" s="363">
        <f t="shared" si="1"/>
        <v>18210000</v>
      </c>
      <c r="I43" s="296"/>
      <c r="J43" s="141"/>
      <c r="K43" s="260">
        <v>18210000</v>
      </c>
    </row>
    <row r="44" spans="1:11" s="320" customFormat="1" ht="12" customHeight="1" x14ac:dyDescent="0.2">
      <c r="A44" s="13" t="s">
        <v>144</v>
      </c>
      <c r="B44" s="349" t="s">
        <v>595</v>
      </c>
      <c r="C44" s="694">
        <v>132091</v>
      </c>
      <c r="D44" s="695">
        <f>SUM(E44:G44)</f>
        <v>40000</v>
      </c>
      <c r="E44" s="696">
        <v>30000</v>
      </c>
      <c r="F44" s="697"/>
      <c r="G44" s="693">
        <v>10000</v>
      </c>
      <c r="H44" s="363">
        <f t="shared" si="1"/>
        <v>31000</v>
      </c>
      <c r="I44" s="296">
        <v>30000</v>
      </c>
      <c r="J44" s="141"/>
      <c r="K44" s="260">
        <v>1000</v>
      </c>
    </row>
    <row r="45" spans="1:11" s="320" customFormat="1" ht="12" customHeight="1" x14ac:dyDescent="0.2">
      <c r="A45" s="13" t="s">
        <v>216</v>
      </c>
      <c r="B45" s="349" t="s">
        <v>226</v>
      </c>
      <c r="C45" s="694"/>
      <c r="D45" s="695">
        <f>SUM(E45:G45)</f>
        <v>0</v>
      </c>
      <c r="E45" s="696"/>
      <c r="F45" s="697"/>
      <c r="G45" s="693"/>
      <c r="H45" s="363">
        <f t="shared" si="1"/>
        <v>0</v>
      </c>
      <c r="I45" s="296"/>
      <c r="J45" s="141"/>
      <c r="K45" s="260"/>
    </row>
    <row r="46" spans="1:11" s="320" customFormat="1" ht="12" customHeight="1" x14ac:dyDescent="0.2">
      <c r="A46" s="15" t="s">
        <v>217</v>
      </c>
      <c r="B46" s="350" t="s">
        <v>480</v>
      </c>
      <c r="C46" s="694">
        <v>812271</v>
      </c>
      <c r="D46" s="705">
        <f>SUM(E46:G46)</f>
        <v>500000</v>
      </c>
      <c r="E46" s="706">
        <f>500000</f>
        <v>500000</v>
      </c>
      <c r="F46" s="707"/>
      <c r="G46" s="693"/>
      <c r="H46" s="363">
        <f t="shared" si="1"/>
        <v>500000</v>
      </c>
      <c r="I46" s="300">
        <v>500000</v>
      </c>
      <c r="J46" s="211"/>
      <c r="K46" s="260"/>
    </row>
    <row r="47" spans="1:11" s="320" customFormat="1" ht="12" customHeight="1" thickBot="1" x14ac:dyDescent="0.25">
      <c r="A47" s="15" t="s">
        <v>481</v>
      </c>
      <c r="B47" s="664" t="s">
        <v>227</v>
      </c>
      <c r="C47" s="698">
        <v>1564195</v>
      </c>
      <c r="D47" s="699">
        <f>SUM(E47:G47)+200318+416514+1343395</f>
        <v>2764227</v>
      </c>
      <c r="E47" s="706">
        <f>704000</f>
        <v>704000</v>
      </c>
      <c r="F47" s="707">
        <v>100000</v>
      </c>
      <c r="G47" s="693"/>
      <c r="H47" s="773">
        <f t="shared" si="1"/>
        <v>4433557</v>
      </c>
      <c r="I47" s="300">
        <f>60000+600000+501164+3172393</f>
        <v>4333557</v>
      </c>
      <c r="J47" s="211">
        <v>100000</v>
      </c>
      <c r="K47" s="260"/>
    </row>
    <row r="48" spans="1:11" s="320" customFormat="1" ht="12" customHeight="1" thickBot="1" x14ac:dyDescent="0.25">
      <c r="A48" s="19" t="s">
        <v>28</v>
      </c>
      <c r="B48" s="662" t="s">
        <v>228</v>
      </c>
      <c r="C48" s="702">
        <f>SUM(C49:C53)</f>
        <v>1786175</v>
      </c>
      <c r="D48" s="689">
        <f>SUM(D49:D53)</f>
        <v>47429000</v>
      </c>
      <c r="E48" s="689">
        <f>SUM(E49:E53)</f>
        <v>25179000</v>
      </c>
      <c r="F48" s="688">
        <f>SUM(F49:F53)</f>
        <v>0</v>
      </c>
      <c r="G48" s="688">
        <f>SUM(G49:G53)</f>
        <v>0</v>
      </c>
      <c r="H48" s="137">
        <f t="shared" si="1"/>
        <v>30332500</v>
      </c>
      <c r="I48" s="319">
        <f>SUM(I49:I53)</f>
        <v>30332500</v>
      </c>
      <c r="J48" s="137">
        <f>SUM(J49:J53)</f>
        <v>0</v>
      </c>
      <c r="K48" s="137">
        <f>SUM(K49:K53)</f>
        <v>0</v>
      </c>
    </row>
    <row r="49" spans="1:11" s="320" customFormat="1" ht="12" customHeight="1" x14ac:dyDescent="0.2">
      <c r="A49" s="14" t="s">
        <v>95</v>
      </c>
      <c r="B49" s="348" t="s">
        <v>232</v>
      </c>
      <c r="C49" s="694"/>
      <c r="D49" s="691">
        <f>SUM(E49:G49)</f>
        <v>0</v>
      </c>
      <c r="E49" s="692"/>
      <c r="F49" s="693"/>
      <c r="G49" s="693"/>
      <c r="H49" s="774">
        <f t="shared" si="1"/>
        <v>0</v>
      </c>
      <c r="I49" s="325"/>
      <c r="J49" s="260"/>
      <c r="K49" s="260"/>
    </row>
    <row r="50" spans="1:11" s="320" customFormat="1" ht="12" customHeight="1" x14ac:dyDescent="0.2">
      <c r="A50" s="13" t="s">
        <v>96</v>
      </c>
      <c r="B50" s="349" t="s">
        <v>233</v>
      </c>
      <c r="C50" s="694">
        <v>778000</v>
      </c>
      <c r="D50" s="705">
        <f>SUM(E50:G50)+22000000</f>
        <v>47179000</v>
      </c>
      <c r="E50" s="696">
        <f>25179000</f>
        <v>25179000</v>
      </c>
      <c r="F50" s="697"/>
      <c r="G50" s="697"/>
      <c r="H50" s="363">
        <f t="shared" si="1"/>
        <v>30332500</v>
      </c>
      <c r="I50" s="296">
        <v>30332500</v>
      </c>
      <c r="J50" s="141"/>
      <c r="K50" s="141"/>
    </row>
    <row r="51" spans="1:11" s="320" customFormat="1" ht="12" customHeight="1" x14ac:dyDescent="0.2">
      <c r="A51" s="13" t="s">
        <v>229</v>
      </c>
      <c r="B51" s="349" t="s">
        <v>234</v>
      </c>
      <c r="C51" s="694">
        <v>1008175</v>
      </c>
      <c r="D51" s="705">
        <v>250000</v>
      </c>
      <c r="E51" s="696"/>
      <c r="F51" s="697"/>
      <c r="G51" s="697"/>
      <c r="H51" s="363">
        <f t="shared" si="1"/>
        <v>0</v>
      </c>
      <c r="I51" s="296"/>
      <c r="J51" s="141"/>
      <c r="K51" s="141"/>
    </row>
    <row r="52" spans="1:11" s="320" customFormat="1" ht="12" customHeight="1" x14ac:dyDescent="0.2">
      <c r="A52" s="13" t="s">
        <v>230</v>
      </c>
      <c r="B52" s="349" t="s">
        <v>235</v>
      </c>
      <c r="C52" s="694"/>
      <c r="D52" s="705">
        <f>SUM(E52:G52)</f>
        <v>0</v>
      </c>
      <c r="E52" s="696"/>
      <c r="F52" s="697"/>
      <c r="G52" s="697"/>
      <c r="H52" s="363">
        <f t="shared" si="1"/>
        <v>0</v>
      </c>
      <c r="I52" s="296"/>
      <c r="J52" s="141"/>
      <c r="K52" s="141"/>
    </row>
    <row r="53" spans="1:11" s="320" customFormat="1" ht="12" customHeight="1" thickBot="1" x14ac:dyDescent="0.25">
      <c r="A53" s="15" t="s">
        <v>231</v>
      </c>
      <c r="B53" s="664" t="s">
        <v>236</v>
      </c>
      <c r="C53" s="698"/>
      <c r="D53" s="710">
        <f>SUM(E53:G53)</f>
        <v>0</v>
      </c>
      <c r="E53" s="706"/>
      <c r="F53" s="707"/>
      <c r="G53" s="707"/>
      <c r="H53" s="776">
        <f t="shared" si="1"/>
        <v>0</v>
      </c>
      <c r="I53" s="300"/>
      <c r="J53" s="211"/>
      <c r="K53" s="211"/>
    </row>
    <row r="54" spans="1:11" s="320" customFormat="1" ht="12" customHeight="1" thickBot="1" x14ac:dyDescent="0.25">
      <c r="A54" s="19" t="s">
        <v>145</v>
      </c>
      <c r="B54" s="662" t="s">
        <v>237</v>
      </c>
      <c r="C54" s="702">
        <f>SUM(C55:C57)</f>
        <v>11113183</v>
      </c>
      <c r="D54" s="689">
        <f>SUM(D55:D57)</f>
        <v>24244433</v>
      </c>
      <c r="E54" s="689">
        <f>SUM(E55:E57)</f>
        <v>6164433</v>
      </c>
      <c r="F54" s="688">
        <f>SUM(F55:F57)</f>
        <v>0</v>
      </c>
      <c r="G54" s="688">
        <f>SUM(G55:G57)</f>
        <v>0</v>
      </c>
      <c r="H54" s="347">
        <f t="shared" si="1"/>
        <v>5224000</v>
      </c>
      <c r="I54" s="319">
        <f>SUM(I55:I57)</f>
        <v>5224000</v>
      </c>
      <c r="J54" s="137">
        <f>SUM(J55:J57)</f>
        <v>0</v>
      </c>
      <c r="K54" s="137">
        <f>SUM(K55:K57)</f>
        <v>0</v>
      </c>
    </row>
    <row r="55" spans="1:11" s="320" customFormat="1" ht="12" customHeight="1" x14ac:dyDescent="0.2">
      <c r="A55" s="14" t="s">
        <v>97</v>
      </c>
      <c r="B55" s="348" t="s">
        <v>238</v>
      </c>
      <c r="C55" s="694"/>
      <c r="D55" s="714">
        <f>SUM(E55:G55)</f>
        <v>0</v>
      </c>
      <c r="E55" s="703"/>
      <c r="F55" s="704"/>
      <c r="G55" s="704"/>
      <c r="H55" s="777">
        <f t="shared" si="1"/>
        <v>0</v>
      </c>
      <c r="I55" s="321"/>
      <c r="J55" s="139"/>
      <c r="K55" s="139"/>
    </row>
    <row r="56" spans="1:11" s="320" customFormat="1" ht="12" customHeight="1" x14ac:dyDescent="0.2">
      <c r="A56" s="13" t="s">
        <v>98</v>
      </c>
      <c r="B56" s="349" t="s">
        <v>369</v>
      </c>
      <c r="C56" s="694">
        <v>1170155</v>
      </c>
      <c r="D56" s="695">
        <f>SUM(E56:G56)+18000000</f>
        <v>19949000</v>
      </c>
      <c r="E56" s="696">
        <f>383000+1566000</f>
        <v>1949000</v>
      </c>
      <c r="F56" s="697"/>
      <c r="G56" s="697"/>
      <c r="H56" s="363">
        <f t="shared" si="1"/>
        <v>1866000</v>
      </c>
      <c r="I56" s="296">
        <f>1566000+300000</f>
        <v>1866000</v>
      </c>
      <c r="J56" s="141"/>
      <c r="K56" s="141"/>
    </row>
    <row r="57" spans="1:11" s="320" customFormat="1" ht="12" customHeight="1" x14ac:dyDescent="0.2">
      <c r="A57" s="13" t="s">
        <v>241</v>
      </c>
      <c r="B57" s="349" t="s">
        <v>239</v>
      </c>
      <c r="C57" s="694">
        <v>9943028</v>
      </c>
      <c r="D57" s="695">
        <f>SUM(E57:G57)+80000</f>
        <v>4295433</v>
      </c>
      <c r="E57" s="696">
        <f>4075000+140433</f>
        <v>4215433</v>
      </c>
      <c r="F57" s="697"/>
      <c r="G57" s="697"/>
      <c r="H57" s="499">
        <f t="shared" si="1"/>
        <v>3358000</v>
      </c>
      <c r="I57" s="296">
        <f>2900000+20000+30000+408000</f>
        <v>3358000</v>
      </c>
      <c r="J57" s="141"/>
      <c r="K57" s="141"/>
    </row>
    <row r="58" spans="1:11" s="320" customFormat="1" ht="12" customHeight="1" thickBot="1" x14ac:dyDescent="0.25">
      <c r="A58" s="15" t="s">
        <v>242</v>
      </c>
      <c r="B58" s="664" t="s">
        <v>240</v>
      </c>
      <c r="C58" s="698"/>
      <c r="D58" s="710">
        <f>SUM(E58:G58)</f>
        <v>0</v>
      </c>
      <c r="E58" s="715"/>
      <c r="F58" s="716"/>
      <c r="G58" s="716"/>
      <c r="H58" s="773">
        <f t="shared" si="1"/>
        <v>0</v>
      </c>
      <c r="I58" s="126"/>
      <c r="J58" s="140"/>
      <c r="K58" s="140"/>
    </row>
    <row r="59" spans="1:11" s="320" customFormat="1" ht="12" customHeight="1" thickBot="1" x14ac:dyDescent="0.25">
      <c r="A59" s="19" t="s">
        <v>30</v>
      </c>
      <c r="B59" s="665" t="s">
        <v>243</v>
      </c>
      <c r="C59" s="702">
        <f>SUM(C60:C62)</f>
        <v>3841537</v>
      </c>
      <c r="D59" s="689">
        <f>SUM(D60:D62)</f>
        <v>1400000</v>
      </c>
      <c r="E59" s="689">
        <f>SUM(E60:E62)</f>
        <v>0</v>
      </c>
      <c r="F59" s="688">
        <f>SUM(F60:F62)</f>
        <v>0</v>
      </c>
      <c r="G59" s="688">
        <f>SUM(G60:G62)</f>
        <v>0</v>
      </c>
      <c r="H59" s="137">
        <f t="shared" si="1"/>
        <v>0</v>
      </c>
      <c r="I59" s="319">
        <f>SUM(I60:I62)</f>
        <v>0</v>
      </c>
      <c r="J59" s="137">
        <f>SUM(J60:J62)</f>
        <v>0</v>
      </c>
      <c r="K59" s="137">
        <f>SUM(K60:K62)</f>
        <v>0</v>
      </c>
    </row>
    <row r="60" spans="1:11" s="320" customFormat="1" ht="12" customHeight="1" x14ac:dyDescent="0.2">
      <c r="A60" s="14" t="s">
        <v>146</v>
      </c>
      <c r="B60" s="348" t="s">
        <v>245</v>
      </c>
      <c r="C60" s="694"/>
      <c r="D60" s="714">
        <f>SUM(E60:G60)</f>
        <v>0</v>
      </c>
      <c r="E60" s="696"/>
      <c r="F60" s="697"/>
      <c r="G60" s="697"/>
      <c r="H60" s="774">
        <f t="shared" si="1"/>
        <v>0</v>
      </c>
      <c r="I60" s="296"/>
      <c r="J60" s="141"/>
      <c r="K60" s="141"/>
    </row>
    <row r="61" spans="1:11" s="320" customFormat="1" ht="12" customHeight="1" x14ac:dyDescent="0.2">
      <c r="A61" s="13" t="s">
        <v>147</v>
      </c>
      <c r="B61" s="349" t="s">
        <v>370</v>
      </c>
      <c r="C61" s="694">
        <v>13837</v>
      </c>
      <c r="D61" s="695">
        <f>SUM(E61:G61)</f>
        <v>0</v>
      </c>
      <c r="E61" s="696"/>
      <c r="F61" s="697"/>
      <c r="G61" s="697"/>
      <c r="H61" s="775">
        <f t="shared" si="1"/>
        <v>0</v>
      </c>
      <c r="I61" s="296"/>
      <c r="J61" s="141"/>
      <c r="K61" s="141"/>
    </row>
    <row r="62" spans="1:11" s="320" customFormat="1" ht="12" customHeight="1" x14ac:dyDescent="0.2">
      <c r="A62" s="13" t="s">
        <v>169</v>
      </c>
      <c r="B62" s="349" t="s">
        <v>246</v>
      </c>
      <c r="C62" s="694">
        <v>3827700</v>
      </c>
      <c r="D62" s="695">
        <f>1200000+200000</f>
        <v>1400000</v>
      </c>
      <c r="E62" s="696"/>
      <c r="F62" s="697"/>
      <c r="G62" s="697"/>
      <c r="H62" s="775">
        <f t="shared" si="1"/>
        <v>0</v>
      </c>
      <c r="I62" s="296"/>
      <c r="J62" s="141"/>
      <c r="K62" s="141"/>
    </row>
    <row r="63" spans="1:11" s="320" customFormat="1" ht="12" customHeight="1" thickBot="1" x14ac:dyDescent="0.25">
      <c r="A63" s="15" t="s">
        <v>244</v>
      </c>
      <c r="B63" s="664" t="s">
        <v>247</v>
      </c>
      <c r="C63" s="698"/>
      <c r="D63" s="699">
        <f>SUM(E63:G63)</f>
        <v>0</v>
      </c>
      <c r="E63" s="696"/>
      <c r="F63" s="697"/>
      <c r="G63" s="697"/>
      <c r="H63" s="776">
        <f t="shared" si="1"/>
        <v>0</v>
      </c>
      <c r="I63" s="296"/>
      <c r="J63" s="141"/>
      <c r="K63" s="141"/>
    </row>
    <row r="64" spans="1:11" s="320" customFormat="1" ht="12" customHeight="1" thickBot="1" x14ac:dyDescent="0.25">
      <c r="A64" s="279" t="s">
        <v>482</v>
      </c>
      <c r="B64" s="662" t="s">
        <v>248</v>
      </c>
      <c r="C64" s="689">
        <f>C59+C54+C48+C36+C28+C21+C14+C7</f>
        <v>2639272060</v>
      </c>
      <c r="D64" s="689">
        <f>D59+D54+D48+D36+D28+D21+D14+D7</f>
        <v>2929720479</v>
      </c>
      <c r="E64" s="711">
        <f>+E7+E14+E21+E28+E36+E48+E54+E59</f>
        <v>1391439714</v>
      </c>
      <c r="F64" s="712">
        <f>+F7+F14+F21+F28+F36+F48+F54+F59</f>
        <v>9416500</v>
      </c>
      <c r="G64" s="712">
        <f>+G7+G14+G21+G28+G36+G48+G54+G59</f>
        <v>390751178</v>
      </c>
      <c r="H64" s="137">
        <f t="shared" si="1"/>
        <v>2512141346</v>
      </c>
      <c r="I64" s="322">
        <f>+I7+I14+I21+I28+I36+I48+I54+I59</f>
        <v>2095460506</v>
      </c>
      <c r="J64" s="142">
        <f>+J7+J14+J21+J28+J36+J48+J54+J59</f>
        <v>11536297</v>
      </c>
      <c r="K64" s="142">
        <f>+K7+K14+K21+K28+K36+K48+K54+K59</f>
        <v>405144543</v>
      </c>
    </row>
    <row r="65" spans="1:11" s="320" customFormat="1" ht="12" customHeight="1" thickBot="1" x14ac:dyDescent="0.25">
      <c r="A65" s="280" t="s">
        <v>249</v>
      </c>
      <c r="B65" s="665" t="s">
        <v>596</v>
      </c>
      <c r="C65" s="717">
        <f>SUM(C66:C68)</f>
        <v>20303000</v>
      </c>
      <c r="D65" s="718">
        <f>SUM(D66:D68)</f>
        <v>187500000</v>
      </c>
      <c r="E65" s="689">
        <f>SUM(E66:E68)</f>
        <v>144100000</v>
      </c>
      <c r="F65" s="688">
        <f>SUM(F66:F68)</f>
        <v>0</v>
      </c>
      <c r="G65" s="688">
        <f>SUM(G66:G68)</f>
        <v>0</v>
      </c>
      <c r="H65" s="137">
        <f t="shared" si="1"/>
        <v>193478462</v>
      </c>
      <c r="I65" s="319">
        <f>SUM(I66:I68)</f>
        <v>193478462</v>
      </c>
      <c r="J65" s="137">
        <f>SUM(J66:J68)</f>
        <v>0</v>
      </c>
      <c r="K65" s="137">
        <f>SUM(K66:K68)</f>
        <v>0</v>
      </c>
    </row>
    <row r="66" spans="1:11" s="320" customFormat="1" ht="12" customHeight="1" x14ac:dyDescent="0.2">
      <c r="A66" s="14" t="s">
        <v>281</v>
      </c>
      <c r="B66" s="348" t="s">
        <v>251</v>
      </c>
      <c r="C66" s="694">
        <v>20303000</v>
      </c>
      <c r="D66" s="691">
        <f>SUM(E66:G66)+37900000+5500000</f>
        <v>87500000</v>
      </c>
      <c r="E66" s="696">
        <v>44100000</v>
      </c>
      <c r="F66" s="697"/>
      <c r="G66" s="697"/>
      <c r="H66" s="772">
        <f t="shared" si="1"/>
        <v>93478462</v>
      </c>
      <c r="I66" s="296">
        <v>93478462</v>
      </c>
      <c r="J66" s="141"/>
      <c r="K66" s="141"/>
    </row>
    <row r="67" spans="1:11" s="320" customFormat="1" ht="12" customHeight="1" x14ac:dyDescent="0.2">
      <c r="A67" s="13" t="s">
        <v>290</v>
      </c>
      <c r="B67" s="349" t="s">
        <v>252</v>
      </c>
      <c r="C67" s="694"/>
      <c r="D67" s="705">
        <f>SUM(E67:G67)</f>
        <v>100000000</v>
      </c>
      <c r="E67" s="696">
        <v>100000000</v>
      </c>
      <c r="F67" s="697"/>
      <c r="G67" s="697"/>
      <c r="H67" s="363">
        <f t="shared" si="1"/>
        <v>100000000</v>
      </c>
      <c r="I67" s="296">
        <v>100000000</v>
      </c>
      <c r="J67" s="141"/>
      <c r="K67" s="141"/>
    </row>
    <row r="68" spans="1:11" s="320" customFormat="1" ht="12" customHeight="1" thickBot="1" x14ac:dyDescent="0.25">
      <c r="A68" s="15" t="s">
        <v>291</v>
      </c>
      <c r="B68" s="666" t="s">
        <v>483</v>
      </c>
      <c r="C68" s="698"/>
      <c r="D68" s="710">
        <f>SUM(E68:G68)</f>
        <v>0</v>
      </c>
      <c r="E68" s="696"/>
      <c r="F68" s="697"/>
      <c r="G68" s="697"/>
      <c r="H68" s="776">
        <f t="shared" si="1"/>
        <v>0</v>
      </c>
      <c r="I68" s="296"/>
      <c r="J68" s="141"/>
      <c r="K68" s="141"/>
    </row>
    <row r="69" spans="1:11" s="320" customFormat="1" ht="12" customHeight="1" thickBot="1" x14ac:dyDescent="0.25">
      <c r="A69" s="280" t="s">
        <v>254</v>
      </c>
      <c r="B69" s="665" t="s">
        <v>255</v>
      </c>
      <c r="C69" s="719">
        <f>SUM(C70:C73)</f>
        <v>0</v>
      </c>
      <c r="D69" s="719">
        <f>SUM(D70:D73)</f>
        <v>0</v>
      </c>
      <c r="E69" s="689">
        <f>SUM(E70:E73)</f>
        <v>0</v>
      </c>
      <c r="F69" s="688">
        <f>SUM(F70:F73)</f>
        <v>0</v>
      </c>
      <c r="G69" s="688">
        <f>SUM(G70:G73)</f>
        <v>0</v>
      </c>
      <c r="H69" s="137">
        <f t="shared" si="1"/>
        <v>0</v>
      </c>
      <c r="I69" s="319">
        <f>SUM(I70:I73)</f>
        <v>0</v>
      </c>
      <c r="J69" s="137">
        <f>SUM(J70:J73)</f>
        <v>0</v>
      </c>
      <c r="K69" s="137">
        <f>SUM(K70:K73)</f>
        <v>0</v>
      </c>
    </row>
    <row r="70" spans="1:11" s="320" customFormat="1" ht="12" customHeight="1" x14ac:dyDescent="0.2">
      <c r="A70" s="14" t="s">
        <v>126</v>
      </c>
      <c r="B70" s="348" t="s">
        <v>256</v>
      </c>
      <c r="C70" s="694"/>
      <c r="D70" s="691">
        <f>SUM(E70:G70)</f>
        <v>0</v>
      </c>
      <c r="E70" s="696"/>
      <c r="F70" s="697"/>
      <c r="G70" s="697"/>
      <c r="H70" s="774">
        <f t="shared" si="1"/>
        <v>0</v>
      </c>
      <c r="I70" s="296"/>
      <c r="J70" s="141"/>
      <c r="K70" s="141"/>
    </row>
    <row r="71" spans="1:11" s="320" customFormat="1" ht="17.25" customHeight="1" x14ac:dyDescent="0.2">
      <c r="A71" s="13" t="s">
        <v>127</v>
      </c>
      <c r="B71" s="349" t="s">
        <v>257</v>
      </c>
      <c r="C71" s="694"/>
      <c r="D71" s="705">
        <f>SUM(E71:G71)</f>
        <v>0</v>
      </c>
      <c r="E71" s="696"/>
      <c r="F71" s="697"/>
      <c r="G71" s="697"/>
      <c r="H71" s="775">
        <f t="shared" si="1"/>
        <v>0</v>
      </c>
      <c r="I71" s="296"/>
      <c r="J71" s="141"/>
      <c r="K71" s="141"/>
    </row>
    <row r="72" spans="1:11" s="320" customFormat="1" ht="12" customHeight="1" x14ac:dyDescent="0.2">
      <c r="A72" s="13" t="s">
        <v>282</v>
      </c>
      <c r="B72" s="349" t="s">
        <v>258</v>
      </c>
      <c r="C72" s="694"/>
      <c r="D72" s="705">
        <f>SUM(E72:G72)</f>
        <v>0</v>
      </c>
      <c r="E72" s="696"/>
      <c r="F72" s="697"/>
      <c r="G72" s="697"/>
      <c r="H72" s="775">
        <f t="shared" si="1"/>
        <v>0</v>
      </c>
      <c r="I72" s="296"/>
      <c r="J72" s="141"/>
      <c r="K72" s="141"/>
    </row>
    <row r="73" spans="1:11" s="320" customFormat="1" ht="12" customHeight="1" thickBot="1" x14ac:dyDescent="0.25">
      <c r="A73" s="15" t="s">
        <v>283</v>
      </c>
      <c r="B73" s="664" t="s">
        <v>259</v>
      </c>
      <c r="C73" s="698"/>
      <c r="D73" s="710">
        <f>SUM(E73:G73)</f>
        <v>0</v>
      </c>
      <c r="E73" s="696"/>
      <c r="F73" s="697"/>
      <c r="G73" s="697"/>
      <c r="H73" s="776">
        <f t="shared" si="1"/>
        <v>0</v>
      </c>
      <c r="I73" s="296"/>
      <c r="J73" s="141"/>
      <c r="K73" s="141"/>
    </row>
    <row r="74" spans="1:11" s="320" customFormat="1" ht="12" customHeight="1" thickBot="1" x14ac:dyDescent="0.25">
      <c r="A74" s="280" t="s">
        <v>260</v>
      </c>
      <c r="B74" s="665" t="s">
        <v>261</v>
      </c>
      <c r="C74" s="689">
        <f>SUM(C75:C76)</f>
        <v>264950190</v>
      </c>
      <c r="D74" s="689">
        <f>SUM(D75:D76)</f>
        <v>292999415</v>
      </c>
      <c r="E74" s="689">
        <f>SUM(E75:E76)</f>
        <v>289331423</v>
      </c>
      <c r="F74" s="688">
        <f>SUM(F75:F76)</f>
        <v>447404</v>
      </c>
      <c r="G74" s="688">
        <f>SUM(G75:G76)</f>
        <v>3220588</v>
      </c>
      <c r="H74" s="137">
        <f t="shared" si="1"/>
        <v>620677200</v>
      </c>
      <c r="I74" s="319">
        <f>SUM(I75:I76)</f>
        <v>594503730</v>
      </c>
      <c r="J74" s="137">
        <f>SUM(J75:J76)</f>
        <v>3212174</v>
      </c>
      <c r="K74" s="137">
        <f>SUM(K75:K76)</f>
        <v>22961296</v>
      </c>
    </row>
    <row r="75" spans="1:11" s="320" customFormat="1" ht="12" customHeight="1" x14ac:dyDescent="0.2">
      <c r="A75" s="14" t="s">
        <v>284</v>
      </c>
      <c r="B75" s="348" t="s">
        <v>262</v>
      </c>
      <c r="C75" s="694">
        <v>264950190</v>
      </c>
      <c r="D75" s="691">
        <f>SUM(E75:G75)</f>
        <v>292999415</v>
      </c>
      <c r="E75" s="696">
        <v>289331423</v>
      </c>
      <c r="F75" s="697">
        <v>447404</v>
      </c>
      <c r="G75" s="697">
        <v>3220588</v>
      </c>
      <c r="H75" s="772">
        <f t="shared" si="1"/>
        <v>620677200</v>
      </c>
      <c r="I75" s="296">
        <f>569119704-28+25384054</f>
        <v>594503730</v>
      </c>
      <c r="J75" s="141">
        <f>3148853+63321</f>
        <v>3212174</v>
      </c>
      <c r="K75" s="141">
        <f>22961296</f>
        <v>22961296</v>
      </c>
    </row>
    <row r="76" spans="1:11" s="320" customFormat="1" ht="12" customHeight="1" thickBot="1" x14ac:dyDescent="0.25">
      <c r="A76" s="15" t="s">
        <v>285</v>
      </c>
      <c r="B76" s="664" t="s">
        <v>263</v>
      </c>
      <c r="C76" s="698"/>
      <c r="D76" s="710">
        <f>SUM(E76:G76)</f>
        <v>0</v>
      </c>
      <c r="E76" s="696"/>
      <c r="F76" s="697"/>
      <c r="G76" s="697"/>
      <c r="H76" s="776">
        <f t="shared" si="1"/>
        <v>0</v>
      </c>
      <c r="I76" s="296"/>
      <c r="J76" s="141"/>
      <c r="K76" s="141"/>
    </row>
    <row r="77" spans="1:11" s="320" customFormat="1" ht="12" customHeight="1" thickBot="1" x14ac:dyDescent="0.25">
      <c r="A77" s="280" t="s">
        <v>264</v>
      </c>
      <c r="B77" s="665" t="s">
        <v>265</v>
      </c>
      <c r="C77" s="720">
        <f>SUM(C78:C80)</f>
        <v>35164932</v>
      </c>
      <c r="D77" s="719">
        <f>SUM(D78:D80)</f>
        <v>0</v>
      </c>
      <c r="E77" s="689">
        <f>SUM(E78:E80)</f>
        <v>0</v>
      </c>
      <c r="F77" s="688">
        <f>SUM(F78:F80)</f>
        <v>0</v>
      </c>
      <c r="G77" s="688">
        <f>SUM(G78:G80)</f>
        <v>0</v>
      </c>
      <c r="H77" s="137">
        <f t="shared" si="1"/>
        <v>0</v>
      </c>
      <c r="I77" s="319">
        <f>SUM(I78:I80)</f>
        <v>0</v>
      </c>
      <c r="J77" s="137">
        <f>SUM(J78:J80)</f>
        <v>0</v>
      </c>
      <c r="K77" s="137">
        <f>SUM(K78:K80)</f>
        <v>0</v>
      </c>
    </row>
    <row r="78" spans="1:11" s="320" customFormat="1" ht="12" customHeight="1" x14ac:dyDescent="0.2">
      <c r="A78" s="14" t="s">
        <v>286</v>
      </c>
      <c r="B78" s="348" t="s">
        <v>266</v>
      </c>
      <c r="C78" s="694">
        <v>35164932</v>
      </c>
      <c r="D78" s="691">
        <f>SUM(E78:G78)</f>
        <v>0</v>
      </c>
      <c r="E78" s="696"/>
      <c r="F78" s="697"/>
      <c r="G78" s="697"/>
      <c r="H78" s="774">
        <f t="shared" si="1"/>
        <v>0</v>
      </c>
      <c r="I78" s="296"/>
      <c r="J78" s="141"/>
      <c r="K78" s="141"/>
    </row>
    <row r="79" spans="1:11" s="320" customFormat="1" ht="12" customHeight="1" x14ac:dyDescent="0.2">
      <c r="A79" s="13" t="s">
        <v>287</v>
      </c>
      <c r="B79" s="349" t="s">
        <v>267</v>
      </c>
      <c r="C79" s="694"/>
      <c r="D79" s="705">
        <f>SUM(E79:G79)</f>
        <v>0</v>
      </c>
      <c r="E79" s="696"/>
      <c r="F79" s="697"/>
      <c r="G79" s="697"/>
      <c r="H79" s="775">
        <f t="shared" si="1"/>
        <v>0</v>
      </c>
      <c r="I79" s="296"/>
      <c r="J79" s="141"/>
      <c r="K79" s="141"/>
    </row>
    <row r="80" spans="1:11" s="320" customFormat="1" ht="12" customHeight="1" thickBot="1" x14ac:dyDescent="0.25">
      <c r="A80" s="15" t="s">
        <v>288</v>
      </c>
      <c r="B80" s="664" t="s">
        <v>268</v>
      </c>
      <c r="C80" s="698"/>
      <c r="D80" s="710">
        <f>SUM(E80:G80)</f>
        <v>0</v>
      </c>
      <c r="E80" s="696"/>
      <c r="F80" s="697"/>
      <c r="G80" s="697"/>
      <c r="H80" s="776">
        <f t="shared" si="1"/>
        <v>0</v>
      </c>
      <c r="I80" s="296"/>
      <c r="J80" s="141"/>
      <c r="K80" s="141"/>
    </row>
    <row r="81" spans="1:11" s="320" customFormat="1" ht="12" customHeight="1" thickBot="1" x14ac:dyDescent="0.25">
      <c r="A81" s="280" t="s">
        <v>269</v>
      </c>
      <c r="B81" s="665" t="s">
        <v>289</v>
      </c>
      <c r="C81" s="719">
        <f>SUM(C82:C85)</f>
        <v>0</v>
      </c>
      <c r="D81" s="719">
        <f>SUM(D82:D85)</f>
        <v>0</v>
      </c>
      <c r="E81" s="689">
        <f>SUM(E82:E85)</f>
        <v>0</v>
      </c>
      <c r="F81" s="688">
        <f>SUM(F82:F85)</f>
        <v>0</v>
      </c>
      <c r="G81" s="688">
        <f>SUM(G82:G85)</f>
        <v>0</v>
      </c>
      <c r="H81" s="137">
        <f t="shared" si="1"/>
        <v>0</v>
      </c>
      <c r="I81" s="319">
        <f>SUM(I82:I85)</f>
        <v>0</v>
      </c>
      <c r="J81" s="137">
        <f>SUM(J82:J85)</f>
        <v>0</v>
      </c>
      <c r="K81" s="137">
        <f>SUM(K82:K85)</f>
        <v>0</v>
      </c>
    </row>
    <row r="82" spans="1:11" s="320" customFormat="1" ht="12" customHeight="1" x14ac:dyDescent="0.2">
      <c r="A82" s="226" t="s">
        <v>270</v>
      </c>
      <c r="B82" s="348" t="s">
        <v>271</v>
      </c>
      <c r="C82" s="694"/>
      <c r="D82" s="691">
        <f t="shared" ref="D82:D87" si="2">SUM(E82:G82)</f>
        <v>0</v>
      </c>
      <c r="E82" s="696"/>
      <c r="F82" s="697"/>
      <c r="G82" s="697"/>
      <c r="H82" s="774">
        <f t="shared" si="1"/>
        <v>0</v>
      </c>
      <c r="I82" s="296"/>
      <c r="J82" s="141"/>
      <c r="K82" s="141"/>
    </row>
    <row r="83" spans="1:11" s="320" customFormat="1" ht="12" customHeight="1" x14ac:dyDescent="0.2">
      <c r="A83" s="227" t="s">
        <v>272</v>
      </c>
      <c r="B83" s="349" t="s">
        <v>273</v>
      </c>
      <c r="C83" s="694"/>
      <c r="D83" s="705">
        <f t="shared" si="2"/>
        <v>0</v>
      </c>
      <c r="E83" s="696"/>
      <c r="F83" s="697"/>
      <c r="G83" s="697"/>
      <c r="H83" s="775">
        <f t="shared" si="1"/>
        <v>0</v>
      </c>
      <c r="I83" s="296"/>
      <c r="J83" s="141"/>
      <c r="K83" s="141"/>
    </row>
    <row r="84" spans="1:11" s="320" customFormat="1" ht="12" customHeight="1" x14ac:dyDescent="0.2">
      <c r="A84" s="227" t="s">
        <v>274</v>
      </c>
      <c r="B84" s="349" t="s">
        <v>275</v>
      </c>
      <c r="C84" s="694"/>
      <c r="D84" s="705">
        <f t="shared" si="2"/>
        <v>0</v>
      </c>
      <c r="E84" s="696"/>
      <c r="F84" s="697"/>
      <c r="G84" s="697"/>
      <c r="H84" s="775">
        <f t="shared" si="1"/>
        <v>0</v>
      </c>
      <c r="I84" s="296"/>
      <c r="J84" s="141"/>
      <c r="K84" s="141"/>
    </row>
    <row r="85" spans="1:11" s="320" customFormat="1" ht="12" customHeight="1" thickBot="1" x14ac:dyDescent="0.25">
      <c r="A85" s="228" t="s">
        <v>276</v>
      </c>
      <c r="B85" s="664" t="s">
        <v>277</v>
      </c>
      <c r="C85" s="698"/>
      <c r="D85" s="710">
        <f t="shared" si="2"/>
        <v>0</v>
      </c>
      <c r="E85" s="696"/>
      <c r="F85" s="697"/>
      <c r="G85" s="697"/>
      <c r="H85" s="776">
        <f t="shared" si="1"/>
        <v>0</v>
      </c>
      <c r="I85" s="296"/>
      <c r="J85" s="141"/>
      <c r="K85" s="141"/>
    </row>
    <row r="86" spans="1:11" s="320" customFormat="1" ht="12" customHeight="1" thickBot="1" x14ac:dyDescent="0.25">
      <c r="A86" s="280" t="s">
        <v>278</v>
      </c>
      <c r="B86" s="665" t="s">
        <v>484</v>
      </c>
      <c r="C86" s="721"/>
      <c r="D86" s="722">
        <f t="shared" si="2"/>
        <v>0</v>
      </c>
      <c r="E86" s="723"/>
      <c r="F86" s="724"/>
      <c r="G86" s="724"/>
      <c r="H86" s="137">
        <f t="shared" si="1"/>
        <v>0</v>
      </c>
      <c r="I86" s="326"/>
      <c r="J86" s="261"/>
      <c r="K86" s="261"/>
    </row>
    <row r="87" spans="1:11" s="320" customFormat="1" ht="12" customHeight="1" thickBot="1" x14ac:dyDescent="0.25">
      <c r="A87" s="280" t="s">
        <v>280</v>
      </c>
      <c r="B87" s="665" t="s">
        <v>279</v>
      </c>
      <c r="C87" s="721"/>
      <c r="D87" s="689">
        <f t="shared" si="2"/>
        <v>0</v>
      </c>
      <c r="E87" s="723"/>
      <c r="F87" s="724"/>
      <c r="G87" s="724"/>
      <c r="H87" s="137">
        <f t="shared" si="1"/>
        <v>0</v>
      </c>
      <c r="I87" s="326"/>
      <c r="J87" s="261"/>
      <c r="K87" s="261"/>
    </row>
    <row r="88" spans="1:11" s="320" customFormat="1" ht="12" customHeight="1" thickBot="1" x14ac:dyDescent="0.25">
      <c r="A88" s="280" t="s">
        <v>292</v>
      </c>
      <c r="B88" s="667" t="s">
        <v>485</v>
      </c>
      <c r="C88" s="717">
        <f>C87+C86+C81+C77+C74+C69+C65</f>
        <v>320418122</v>
      </c>
      <c r="D88" s="689">
        <f>D87+D86+D81+D77+D74+D69+D65</f>
        <v>480499415</v>
      </c>
      <c r="E88" s="711">
        <f>+E65+E69+E74+E77+E81+E87+E86</f>
        <v>433431423</v>
      </c>
      <c r="F88" s="712">
        <f>+F65+F69+F74+F77+F81+F87+F86</f>
        <v>447404</v>
      </c>
      <c r="G88" s="712">
        <f>+G65+G69+G74+G77+G81+G87+G86</f>
        <v>3220588</v>
      </c>
      <c r="H88" s="137">
        <f t="shared" si="1"/>
        <v>814155662</v>
      </c>
      <c r="I88" s="322">
        <f>+I65+I69+I74+I77+I81+I87+I86</f>
        <v>787982192</v>
      </c>
      <c r="J88" s="142">
        <f>+J65+J69+J74+J77+J81+J87+J86</f>
        <v>3212174</v>
      </c>
      <c r="K88" s="142">
        <f>+K65+K69+K74+K77+K81+K87+K86</f>
        <v>22961296</v>
      </c>
    </row>
    <row r="89" spans="1:11" s="320" customFormat="1" ht="12" customHeight="1" thickBot="1" x14ac:dyDescent="0.25">
      <c r="A89" s="282" t="s">
        <v>486</v>
      </c>
      <c r="B89" s="668" t="s">
        <v>487</v>
      </c>
      <c r="C89" s="717">
        <f>C64+C88</f>
        <v>2959690182</v>
      </c>
      <c r="D89" s="689">
        <f>D64+D88</f>
        <v>3410219894</v>
      </c>
      <c r="E89" s="711">
        <f>+E64+E88</f>
        <v>1824871137</v>
      </c>
      <c r="F89" s="712">
        <f>+F64+F88</f>
        <v>9863904</v>
      </c>
      <c r="G89" s="712">
        <f>+G64+G88</f>
        <v>393971766</v>
      </c>
      <c r="H89" s="137">
        <f t="shared" si="1"/>
        <v>3326297008</v>
      </c>
      <c r="I89" s="322">
        <f>+I64+I88</f>
        <v>2883442698</v>
      </c>
      <c r="J89" s="142">
        <f>+J64+J88</f>
        <v>14748471</v>
      </c>
      <c r="K89" s="142">
        <f>+K64+K88</f>
        <v>428105839</v>
      </c>
    </row>
    <row r="90" spans="1:11" s="320" customFormat="1" ht="12" customHeight="1" x14ac:dyDescent="0.2">
      <c r="A90" s="327"/>
      <c r="B90" s="328"/>
      <c r="C90" s="759"/>
      <c r="D90" s="725"/>
      <c r="E90" s="726"/>
      <c r="F90" s="726"/>
      <c r="G90" s="726"/>
      <c r="H90" s="727"/>
    </row>
    <row r="91" spans="1:11" s="320" customFormat="1" ht="12" customHeight="1" x14ac:dyDescent="0.2">
      <c r="A91" s="1003" t="s">
        <v>52</v>
      </c>
      <c r="B91" s="1003"/>
      <c r="C91" s="1003"/>
      <c r="D91" s="1003"/>
      <c r="E91" s="1003"/>
      <c r="F91" s="1003"/>
      <c r="G91" s="1003"/>
      <c r="H91" s="1003"/>
    </row>
    <row r="92" spans="1:11" s="320" customFormat="1" ht="12" customHeight="1" thickBot="1" x14ac:dyDescent="0.25">
      <c r="A92" s="1004" t="s">
        <v>129</v>
      </c>
      <c r="B92" s="1004"/>
      <c r="C92" s="760"/>
      <c r="D92" s="752"/>
      <c r="E92" s="752"/>
      <c r="F92" s="752"/>
      <c r="G92" s="752"/>
      <c r="H92" s="761" t="str">
        <f>H4</f>
        <v>Forintban!</v>
      </c>
    </row>
    <row r="93" spans="1:11" s="320" customFormat="1" ht="36.75" customHeight="1" thickBot="1" x14ac:dyDescent="0.25">
      <c r="A93" s="22" t="s">
        <v>21</v>
      </c>
      <c r="B93" s="680" t="s">
        <v>53</v>
      </c>
      <c r="C93" s="762" t="s">
        <v>722</v>
      </c>
      <c r="D93" s="763" t="str">
        <f>+D5</f>
        <v>2017. évi módosított előirányzat</v>
      </c>
      <c r="E93" s="756"/>
      <c r="F93" s="756"/>
      <c r="G93" s="756"/>
      <c r="H93" s="757" t="str">
        <f>+H5</f>
        <v>2018. évi előirányzat</v>
      </c>
    </row>
    <row r="94" spans="1:11" s="320" customFormat="1" ht="12" customHeight="1" thickBot="1" x14ac:dyDescent="0.25">
      <c r="A94" s="31" t="s">
        <v>471</v>
      </c>
      <c r="B94" s="366" t="s">
        <v>472</v>
      </c>
      <c r="C94" s="717" t="s">
        <v>473</v>
      </c>
      <c r="D94" s="764" t="s">
        <v>526</v>
      </c>
      <c r="E94" s="758"/>
      <c r="F94" s="758"/>
      <c r="G94" s="758"/>
      <c r="H94" s="728" t="s">
        <v>527</v>
      </c>
    </row>
    <row r="95" spans="1:11" s="320" customFormat="1" ht="15" customHeight="1" thickBot="1" x14ac:dyDescent="0.25">
      <c r="A95" s="21" t="s">
        <v>23</v>
      </c>
      <c r="B95" s="669" t="s">
        <v>525</v>
      </c>
      <c r="C95" s="717">
        <f>SUM(C96:C100)+SUM(C113)</f>
        <v>2510000576</v>
      </c>
      <c r="D95" s="689">
        <f>SUM(D96:D100)+SUM(D113)</f>
        <v>2537502119</v>
      </c>
      <c r="E95" s="722">
        <f>+E96+E97+E98+E99+E100+E113</f>
        <v>336688965</v>
      </c>
      <c r="F95" s="728">
        <f>+F96+F97+F98+F99+F100+F113</f>
        <v>223822850</v>
      </c>
      <c r="G95" s="717">
        <f>G96+G97+G98+G99+G100+G113</f>
        <v>1388014694</v>
      </c>
      <c r="H95" s="371">
        <f t="shared" ref="H95:H156" si="3">SUM(I95:K95)</f>
        <v>2482760981</v>
      </c>
      <c r="I95" s="329">
        <f>+I96+I97+I98+I99+I100+I113</f>
        <v>735322017</v>
      </c>
      <c r="J95" s="136">
        <f>+J96+J97+J98+J99+J100+J113</f>
        <v>239430458</v>
      </c>
      <c r="K95" s="347">
        <f>K96+K97+K98+K99+K100+K113</f>
        <v>1508008506</v>
      </c>
    </row>
    <row r="96" spans="1:11" s="320" customFormat="1" ht="12.95" customHeight="1" x14ac:dyDescent="0.2">
      <c r="A96" s="16" t="s">
        <v>99</v>
      </c>
      <c r="B96" s="670" t="s">
        <v>54</v>
      </c>
      <c r="C96" s="729">
        <v>1207786084</v>
      </c>
      <c r="D96" s="714">
        <f>SUM(E96:G96)+252096521+85501355+27232396-1393308+7410662+5711096+12960546+166800</f>
        <v>1094113234</v>
      </c>
      <c r="E96" s="730">
        <f>25364000+485000+6010000+3749000+165142000+48000+105000-275033584+150179</f>
        <v>-73980405</v>
      </c>
      <c r="F96" s="731">
        <v>119212000</v>
      </c>
      <c r="G96" s="731">
        <v>659195571</v>
      </c>
      <c r="H96" s="550">
        <f t="shared" si="3"/>
        <v>1003824424</v>
      </c>
      <c r="I96" s="353">
        <f>2854500+25097896+75000+16116992+1182990+2491000+1016699-198000+7688261+3484292+11614921</f>
        <v>71424551</v>
      </c>
      <c r="J96" s="305">
        <f>2528076+481000+134654515+2215000+152400</f>
        <v>140030991</v>
      </c>
      <c r="K96" s="312">
        <f>784492352+662383+6760147+80000+374000</f>
        <v>792368882</v>
      </c>
    </row>
    <row r="97" spans="1:11" ht="16.5" customHeight="1" x14ac:dyDescent="0.25">
      <c r="A97" s="13" t="s">
        <v>100</v>
      </c>
      <c r="B97" s="671" t="s">
        <v>148</v>
      </c>
      <c r="C97" s="732">
        <v>271747480</v>
      </c>
      <c r="D97" s="695">
        <f>SUM(E97:G97)+28812821+9405149+5800271-280382+2089507-570939+1438961+3013037+175648</f>
        <v>230642127</v>
      </c>
      <c r="E97" s="696">
        <f>5239000+143000+1233000+14000+1652000+19299000+10000+23000-28480392-1528915</f>
        <v>-2396307</v>
      </c>
      <c r="F97" s="697">
        <v>28323500</v>
      </c>
      <c r="G97" s="697">
        <v>154830861</v>
      </c>
      <c r="H97" s="550">
        <f t="shared" si="3"/>
        <v>210906390</v>
      </c>
      <c r="I97" s="296">
        <f>500965+4771305+13275+17258+2940000+14000+207615+1015000+283238-34749+1628272+401351+1941032</f>
        <v>13698562</v>
      </c>
      <c r="J97" s="141">
        <f>443678+114000+28757160+461687+62043</f>
        <v>29838568</v>
      </c>
      <c r="K97" s="298">
        <f>165847404+144152+1290734+14040+72930</f>
        <v>167369260</v>
      </c>
    </row>
    <row r="98" spans="1:11" x14ac:dyDescent="0.25">
      <c r="A98" s="13" t="s">
        <v>101</v>
      </c>
      <c r="B98" s="671" t="s">
        <v>124</v>
      </c>
      <c r="C98" s="733">
        <v>776462763</v>
      </c>
      <c r="D98" s="695">
        <f>SUM(E98:G98)+41579904+1600000+22320920+28158088+9295882+11813400+570939+10565807+4029458+20547308</f>
        <v>953351741</v>
      </c>
      <c r="E98" s="706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707">
        <v>52037350</v>
      </c>
      <c r="G98" s="697">
        <v>573988262</v>
      </c>
      <c r="H98" s="550">
        <f t="shared" si="3"/>
        <v>889864611</v>
      </c>
      <c r="I98" s="300">
        <f>13447475+835000+16099000+50000+52909601+3082677+6787092+2456000+4504030+871220+397000+194467+34163000+50473064+34200000+3285067+156511+9000000+563000+17207888+2681000+3300000+17042731+48545760+500000+381000+314356+178500+77000-37621053+63500+9515799+1461115-838452</f>
        <v>296283348</v>
      </c>
      <c r="J98" s="211">
        <f>4096000+324000+352000+40114003+137126+419550-152400+20620</f>
        <v>45310899</v>
      </c>
      <c r="K98" s="298">
        <f>545896186-624000+1605578+768600+624000</f>
        <v>548270364</v>
      </c>
    </row>
    <row r="99" spans="1:11" s="318" customFormat="1" ht="12" customHeight="1" x14ac:dyDescent="0.2">
      <c r="A99" s="13" t="s">
        <v>102</v>
      </c>
      <c r="B99" s="674" t="s">
        <v>149</v>
      </c>
      <c r="C99" s="732">
        <v>72060693</v>
      </c>
      <c r="D99" s="695">
        <f>SUM(E99:G99)-6901260-4000000</f>
        <v>77248740</v>
      </c>
      <c r="E99" s="706">
        <f>70980000-5080000-2000000</f>
        <v>63900000</v>
      </c>
      <c r="F99" s="707">
        <v>24250000</v>
      </c>
      <c r="G99" s="707"/>
      <c r="H99" s="550">
        <f t="shared" si="3"/>
        <v>163264000</v>
      </c>
      <c r="I99" s="300">
        <f>69500000+3500000+69312000-3298000</f>
        <v>139014000</v>
      </c>
      <c r="J99" s="211">
        <v>24250000</v>
      </c>
      <c r="K99" s="311"/>
    </row>
    <row r="100" spans="1:11" ht="12" customHeight="1" x14ac:dyDescent="0.25">
      <c r="A100" s="13" t="s">
        <v>113</v>
      </c>
      <c r="B100" s="18" t="s">
        <v>150</v>
      </c>
      <c r="C100" s="732">
        <v>181943556</v>
      </c>
      <c r="D100" s="695">
        <f>SUM(D101:D112)</f>
        <v>117690011</v>
      </c>
      <c r="E100" s="706">
        <f>SUM(E101:E112)</f>
        <v>76126000</v>
      </c>
      <c r="F100" s="707">
        <f>SUM(F101:F112)</f>
        <v>0</v>
      </c>
      <c r="G100" s="707"/>
      <c r="H100" s="550">
        <f>SUM(I100:K100)</f>
        <v>158078582</v>
      </c>
      <c r="I100" s="300">
        <f>45183973+52959801+660000+100000+49357310+3869819+86500+5861179</f>
        <v>158078582</v>
      </c>
      <c r="J100" s="211"/>
      <c r="K100" s="311"/>
    </row>
    <row r="101" spans="1:11" ht="12" customHeight="1" x14ac:dyDescent="0.25">
      <c r="A101" s="13" t="s">
        <v>103</v>
      </c>
      <c r="B101" s="671" t="s">
        <v>488</v>
      </c>
      <c r="C101" s="733">
        <v>6261128</v>
      </c>
      <c r="D101" s="695">
        <f>SUM(E101:G101)+1500+7242044+114463+2792500+6504</f>
        <v>10157011</v>
      </c>
      <c r="E101" s="706"/>
      <c r="F101" s="707"/>
      <c r="G101" s="707"/>
      <c r="H101" s="550">
        <f t="shared" si="3"/>
        <v>5258498</v>
      </c>
      <c r="I101" s="300">
        <f>100000+3869819+86500+1202179</f>
        <v>5258498</v>
      </c>
      <c r="J101" s="211"/>
      <c r="K101" s="311"/>
    </row>
    <row r="102" spans="1:11" ht="12" customHeight="1" x14ac:dyDescent="0.25">
      <c r="A102" s="13" t="s">
        <v>104</v>
      </c>
      <c r="B102" s="673" t="s">
        <v>489</v>
      </c>
      <c r="C102" s="733"/>
      <c r="D102" s="695">
        <f>SUM(E102:G102)</f>
        <v>0</v>
      </c>
      <c r="E102" s="706"/>
      <c r="F102" s="707"/>
      <c r="G102" s="707"/>
      <c r="H102" s="634">
        <f t="shared" si="3"/>
        <v>0</v>
      </c>
      <c r="I102" s="300"/>
      <c r="J102" s="211"/>
      <c r="K102" s="311"/>
    </row>
    <row r="103" spans="1:11" ht="12" customHeight="1" x14ac:dyDescent="0.25">
      <c r="A103" s="13" t="s">
        <v>114</v>
      </c>
      <c r="B103" s="673" t="s">
        <v>490</v>
      </c>
      <c r="C103" s="733"/>
      <c r="D103" s="695">
        <f>SUM(E103:G103)</f>
        <v>0</v>
      </c>
      <c r="E103" s="706"/>
      <c r="F103" s="707"/>
      <c r="G103" s="707"/>
      <c r="H103" s="550">
        <f t="shared" si="3"/>
        <v>159000</v>
      </c>
      <c r="I103" s="300">
        <v>159000</v>
      </c>
      <c r="J103" s="211"/>
      <c r="K103" s="311"/>
    </row>
    <row r="104" spans="1:11" ht="12" customHeight="1" x14ac:dyDescent="0.25">
      <c r="A104" s="13" t="s">
        <v>115</v>
      </c>
      <c r="B104" s="686" t="s">
        <v>295</v>
      </c>
      <c r="C104" s="765"/>
      <c r="D104" s="695">
        <f>SUM(E104:G104)</f>
        <v>0</v>
      </c>
      <c r="E104" s="706"/>
      <c r="F104" s="707"/>
      <c r="G104" s="707"/>
      <c r="H104" s="634">
        <f t="shared" si="3"/>
        <v>0</v>
      </c>
      <c r="I104" s="300"/>
      <c r="J104" s="211"/>
      <c r="K104" s="311"/>
    </row>
    <row r="105" spans="1:11" ht="12" customHeight="1" x14ac:dyDescent="0.25">
      <c r="A105" s="13" t="s">
        <v>116</v>
      </c>
      <c r="B105" s="679" t="s">
        <v>296</v>
      </c>
      <c r="C105" s="733"/>
      <c r="D105" s="695">
        <f>SUM(E105:G105)</f>
        <v>0</v>
      </c>
      <c r="E105" s="706"/>
      <c r="F105" s="707"/>
      <c r="G105" s="707"/>
      <c r="H105" s="634">
        <f t="shared" si="3"/>
        <v>0</v>
      </c>
      <c r="I105" s="300"/>
      <c r="J105" s="211"/>
      <c r="K105" s="311"/>
    </row>
    <row r="106" spans="1:11" ht="12" customHeight="1" x14ac:dyDescent="0.25">
      <c r="A106" s="13" t="s">
        <v>117</v>
      </c>
      <c r="B106" s="679" t="s">
        <v>297</v>
      </c>
      <c r="C106" s="733"/>
      <c r="D106" s="695">
        <f>SUM(E106:G106)</f>
        <v>0</v>
      </c>
      <c r="E106" s="706"/>
      <c r="F106" s="707"/>
      <c r="G106" s="707"/>
      <c r="H106" s="634">
        <f t="shared" si="3"/>
        <v>0</v>
      </c>
      <c r="I106" s="300"/>
      <c r="J106" s="211"/>
      <c r="K106" s="311"/>
    </row>
    <row r="107" spans="1:11" ht="12" customHeight="1" x14ac:dyDescent="0.25">
      <c r="A107" s="13" t="s">
        <v>119</v>
      </c>
      <c r="B107" s="686" t="s">
        <v>298</v>
      </c>
      <c r="C107" s="734">
        <v>113441217</v>
      </c>
      <c r="D107" s="695">
        <f>SUM(E107:G107)+60754-60754</f>
        <v>0</v>
      </c>
      <c r="E107" s="706"/>
      <c r="F107" s="707"/>
      <c r="G107" s="707"/>
      <c r="H107" s="634">
        <f t="shared" si="3"/>
        <v>660000</v>
      </c>
      <c r="I107" s="300">
        <v>660000</v>
      </c>
      <c r="J107" s="211"/>
      <c r="K107" s="311"/>
    </row>
    <row r="108" spans="1:11" ht="12" customHeight="1" x14ac:dyDescent="0.25">
      <c r="A108" s="13" t="s">
        <v>151</v>
      </c>
      <c r="B108" s="686" t="s">
        <v>299</v>
      </c>
      <c r="C108" s="765"/>
      <c r="D108" s="695">
        <f>SUM(E108:G108)</f>
        <v>0</v>
      </c>
      <c r="E108" s="706"/>
      <c r="F108" s="707"/>
      <c r="G108" s="707"/>
      <c r="H108" s="634">
        <f t="shared" si="3"/>
        <v>0</v>
      </c>
      <c r="I108" s="300"/>
      <c r="J108" s="211"/>
      <c r="K108" s="311"/>
    </row>
    <row r="109" spans="1:11" ht="12" customHeight="1" x14ac:dyDescent="0.25">
      <c r="A109" s="13" t="s">
        <v>293</v>
      </c>
      <c r="B109" s="679" t="s">
        <v>300</v>
      </c>
      <c r="C109" s="734"/>
      <c r="D109" s="695">
        <f>SUM(E109:G109)</f>
        <v>0</v>
      </c>
      <c r="E109" s="706"/>
      <c r="F109" s="707"/>
      <c r="G109" s="707"/>
      <c r="H109" s="634">
        <f t="shared" si="3"/>
        <v>0</v>
      </c>
      <c r="I109" s="300"/>
      <c r="J109" s="211"/>
      <c r="K109" s="311"/>
    </row>
    <row r="110" spans="1:11" ht="12" customHeight="1" x14ac:dyDescent="0.25">
      <c r="A110" s="12" t="s">
        <v>294</v>
      </c>
      <c r="B110" s="673" t="s">
        <v>301</v>
      </c>
      <c r="C110" s="734"/>
      <c r="D110" s="695">
        <f>SUM(E110:G110)</f>
        <v>0</v>
      </c>
      <c r="E110" s="706"/>
      <c r="F110" s="707"/>
      <c r="G110" s="707"/>
      <c r="H110" s="634">
        <f t="shared" si="3"/>
        <v>0</v>
      </c>
      <c r="I110" s="300"/>
      <c r="J110" s="211"/>
      <c r="K110" s="311"/>
    </row>
    <row r="111" spans="1:11" ht="12" customHeight="1" x14ac:dyDescent="0.25">
      <c r="A111" s="13" t="s">
        <v>491</v>
      </c>
      <c r="B111" s="673" t="s">
        <v>302</v>
      </c>
      <c r="C111" s="734"/>
      <c r="D111" s="695">
        <f>SUM(E111:G111)</f>
        <v>0</v>
      </c>
      <c r="E111" s="706"/>
      <c r="F111" s="707"/>
      <c r="G111" s="707"/>
      <c r="H111" s="634">
        <f t="shared" si="3"/>
        <v>0</v>
      </c>
      <c r="I111" s="300"/>
      <c r="J111" s="211"/>
      <c r="K111" s="311"/>
    </row>
    <row r="112" spans="1:11" ht="12" customHeight="1" x14ac:dyDescent="0.25">
      <c r="A112" s="15" t="s">
        <v>492</v>
      </c>
      <c r="B112" s="673" t="s">
        <v>303</v>
      </c>
      <c r="C112" s="734">
        <v>62241211</v>
      </c>
      <c r="D112" s="695">
        <f>SUM(E112:G112)+3500000+6600000+2000000+16082000+3225000</f>
        <v>107533000</v>
      </c>
      <c r="E112" s="696">
        <f>536000+11389000+8562000+16678000+6401000+32560000</f>
        <v>76126000</v>
      </c>
      <c r="F112" s="697"/>
      <c r="G112" s="707"/>
      <c r="H112" s="550">
        <f t="shared" si="3"/>
        <v>152001084</v>
      </c>
      <c r="I112" s="296">
        <f>5697126+16985629+22501218+52959801+660000+49357310-660000+4500000</f>
        <v>152001084</v>
      </c>
      <c r="J112" s="141"/>
      <c r="K112" s="311"/>
    </row>
    <row r="113" spans="1:11" ht="12" customHeight="1" x14ac:dyDescent="0.25">
      <c r="A113" s="13" t="s">
        <v>493</v>
      </c>
      <c r="B113" s="674" t="s">
        <v>55</v>
      </c>
      <c r="C113" s="766">
        <f>SUM(C114:C115)</f>
        <v>0</v>
      </c>
      <c r="D113" s="695">
        <f>SUM(D114:D115)</f>
        <v>64456266</v>
      </c>
      <c r="E113" s="696">
        <f>E114+E115</f>
        <v>96195254</v>
      </c>
      <c r="F113" s="697"/>
      <c r="G113" s="697">
        <f>G114+G115</f>
        <v>0</v>
      </c>
      <c r="H113" s="634">
        <f t="shared" si="3"/>
        <v>56822974</v>
      </c>
      <c r="I113" s="296">
        <f>SUM(I114:I115)</f>
        <v>56822974</v>
      </c>
      <c r="J113" s="141"/>
      <c r="K113" s="298">
        <f>K114+K115</f>
        <v>0</v>
      </c>
    </row>
    <row r="114" spans="1:11" ht="12" customHeight="1" x14ac:dyDescent="0.25">
      <c r="A114" s="13" t="s">
        <v>494</v>
      </c>
      <c r="B114" s="671" t="s">
        <v>495</v>
      </c>
      <c r="C114" s="735"/>
      <c r="D114" s="695">
        <f>SUM(E114:G114)-9172313+8719388-4010722-1042502-1846399+5485909+8185627+3000000</f>
        <v>4036034</v>
      </c>
      <c r="E114" s="706">
        <f>20000000+1656508-26939462</f>
        <v>-5282954</v>
      </c>
      <c r="F114" s="707"/>
      <c r="G114" s="697"/>
      <c r="H114" s="550">
        <f t="shared" si="3"/>
        <v>1255127</v>
      </c>
      <c r="I114" s="300">
        <f>15000000-21705-8451320+266142+295985-5833975</f>
        <v>1255127</v>
      </c>
      <c r="J114" s="211"/>
      <c r="K114" s="298"/>
    </row>
    <row r="115" spans="1:11" ht="12" customHeight="1" thickBot="1" x14ac:dyDescent="0.3">
      <c r="A115" s="17" t="s">
        <v>496</v>
      </c>
      <c r="B115" s="675" t="s">
        <v>497</v>
      </c>
      <c r="C115" s="767"/>
      <c r="D115" s="699">
        <f>SUM(E115:G115)-8373330-1600000-8539600-6323156-7948000-7343244+31158286-32066515+411581-433998</f>
        <v>60420232</v>
      </c>
      <c r="E115" s="736">
        <f>110613300+500000-3261000-6374092</f>
        <v>101478208</v>
      </c>
      <c r="F115" s="737"/>
      <c r="G115" s="737"/>
      <c r="H115" s="820">
        <f t="shared" si="3"/>
        <v>55567847</v>
      </c>
      <c r="I115" s="354">
        <f>65846522-6946019+750000-2582475-1500181</f>
        <v>55567847</v>
      </c>
      <c r="J115" s="315"/>
      <c r="K115" s="313"/>
    </row>
    <row r="116" spans="1:11" ht="12" customHeight="1" thickBot="1" x14ac:dyDescent="0.3">
      <c r="A116" s="284" t="s">
        <v>24</v>
      </c>
      <c r="B116" s="638" t="s">
        <v>304</v>
      </c>
      <c r="C116" s="717">
        <f>SUM(C117:C119)</f>
        <v>120343408</v>
      </c>
      <c r="D116" s="689">
        <f>D117+D119+D121</f>
        <v>734391843</v>
      </c>
      <c r="E116" s="689">
        <f>+E117+E119+E121</f>
        <v>132599368</v>
      </c>
      <c r="F116" s="688">
        <f>+F117+F119+F121</f>
        <v>1901000</v>
      </c>
      <c r="G116" s="738">
        <f>+G117+G119+G121</f>
        <v>9272287</v>
      </c>
      <c r="H116" s="641">
        <f t="shared" si="3"/>
        <v>696881732</v>
      </c>
      <c r="I116" s="319">
        <f>+I117+I119+I121</f>
        <v>670358503</v>
      </c>
      <c r="J116" s="137">
        <f>+J117+J119+J121</f>
        <v>4919980</v>
      </c>
      <c r="K116" s="286">
        <f>+K117+K119+K121</f>
        <v>21603249</v>
      </c>
    </row>
    <row r="117" spans="1:11" ht="12" customHeight="1" x14ac:dyDescent="0.25">
      <c r="A117" s="14" t="s">
        <v>105</v>
      </c>
      <c r="B117" s="671" t="s">
        <v>168</v>
      </c>
      <c r="C117" s="739">
        <v>64203415</v>
      </c>
      <c r="D117" s="714">
        <f>SUM(E117:G117)+15239176+979170-265000+63976+93988736+220065714+8904148-1752617</f>
        <v>340602433</v>
      </c>
      <c r="E117" s="692">
        <f>6621000+2963001+787402+10624171+3081125+300001+529000+1654000+447000+2237000+90200+6604000+301000+204000-18155486-25581571</f>
        <v>-7294157</v>
      </c>
      <c r="F117" s="693">
        <v>1901000</v>
      </c>
      <c r="G117" s="693">
        <v>8772287</v>
      </c>
      <c r="H117" s="550">
        <f t="shared" si="3"/>
        <v>348960255</v>
      </c>
      <c r="I117" s="325">
        <f>359410+2345001+219008101+12873483+381000+1500000+3139585+33894811+377190+2338070+4950460-60000+275000+20930495+3000+1187993+457200+1422400+3150920+850748+6716258+2350811+4594690</f>
        <v>323046626</v>
      </c>
      <c r="J117" s="260">
        <v>4919980</v>
      </c>
      <c r="K117" s="314">
        <f>20394512+599137</f>
        <v>20993649</v>
      </c>
    </row>
    <row r="118" spans="1:11" x14ac:dyDescent="0.25">
      <c r="A118" s="14" t="s">
        <v>106</v>
      </c>
      <c r="B118" s="672" t="s">
        <v>308</v>
      </c>
      <c r="C118" s="740">
        <v>45795826</v>
      </c>
      <c r="D118" s="695">
        <f>SUM(E118:G118)-1000000+87765636+214128350+2959448</f>
        <v>304218048</v>
      </c>
      <c r="E118" s="692">
        <f>14492698-14128084</f>
        <v>364614</v>
      </c>
      <c r="F118" s="693"/>
      <c r="G118" s="693"/>
      <c r="H118" s="634">
        <f t="shared" si="3"/>
        <v>295275384</v>
      </c>
      <c r="I118" s="636">
        <f>12873483+33259811+218246101+22118488+6704583</f>
        <v>293202466</v>
      </c>
      <c r="J118" s="260"/>
      <c r="K118" s="314">
        <v>2072918</v>
      </c>
    </row>
    <row r="119" spans="1:11" ht="12" customHeight="1" x14ac:dyDescent="0.25">
      <c r="A119" s="14" t="s">
        <v>107</v>
      </c>
      <c r="B119" s="672" t="s">
        <v>152</v>
      </c>
      <c r="C119" s="734">
        <v>10344167</v>
      </c>
      <c r="D119" s="695">
        <f>SUM(E119:G119)-134607+7509510+735000+1000000+839841+49594413+188498728</f>
        <v>345284910</v>
      </c>
      <c r="E119" s="696">
        <f>53340000+21000000+1513000+2996000+809000+9333667+7750358</f>
        <v>96742025</v>
      </c>
      <c r="F119" s="697"/>
      <c r="G119" s="697">
        <v>500000</v>
      </c>
      <c r="H119" s="550">
        <f t="shared" si="3"/>
        <v>281600756</v>
      </c>
      <c r="I119" s="296">
        <f>180701362+1500000+37902555+48165993+9194292+3526954</f>
        <v>280991156</v>
      </c>
      <c r="J119" s="141"/>
      <c r="K119" s="298">
        <v>609600</v>
      </c>
    </row>
    <row r="120" spans="1:11" ht="12" customHeight="1" x14ac:dyDescent="0.25">
      <c r="A120" s="14" t="s">
        <v>108</v>
      </c>
      <c r="B120" s="672" t="s">
        <v>309</v>
      </c>
      <c r="C120" s="741"/>
      <c r="D120" s="695">
        <f>SUM(E120:G120)+1000000+3795044+189429682-203244</f>
        <v>247361482</v>
      </c>
      <c r="E120" s="696">
        <v>53340000</v>
      </c>
      <c r="F120" s="742"/>
      <c r="G120" s="696"/>
      <c r="H120" s="634">
        <f t="shared" si="3"/>
        <v>230773273</v>
      </c>
      <c r="I120" s="635">
        <f>146098020+36509260+48165993</f>
        <v>230773273</v>
      </c>
      <c r="J120" s="308"/>
      <c r="K120" s="296"/>
    </row>
    <row r="121" spans="1:11" ht="12" customHeight="1" x14ac:dyDescent="0.25">
      <c r="A121" s="14" t="s">
        <v>109</v>
      </c>
      <c r="B121" s="664" t="s">
        <v>170</v>
      </c>
      <c r="C121" s="743"/>
      <c r="D121" s="695">
        <f>SUM(D122:D129)</f>
        <v>48504500</v>
      </c>
      <c r="E121" s="696">
        <f>SUM(E122:E129)</f>
        <v>43151500</v>
      </c>
      <c r="F121" s="696"/>
      <c r="G121" s="696"/>
      <c r="H121" s="634">
        <f>SUM(I121:K121)</f>
        <v>66320721</v>
      </c>
      <c r="I121" s="296">
        <f>65710721+100000+510000</f>
        <v>66320721</v>
      </c>
      <c r="J121" s="296"/>
      <c r="K121" s="296"/>
    </row>
    <row r="122" spans="1:11" ht="12" customHeight="1" x14ac:dyDescent="0.25">
      <c r="A122" s="14" t="s">
        <v>118</v>
      </c>
      <c r="B122" s="663" t="s">
        <v>371</v>
      </c>
      <c r="C122" s="744"/>
      <c r="D122" s="695">
        <f t="shared" ref="D122:D128" si="4">SUM(E122:G122)</f>
        <v>0</v>
      </c>
      <c r="E122" s="700"/>
      <c r="F122" s="700"/>
      <c r="G122" s="696"/>
      <c r="H122" s="634">
        <f t="shared" si="3"/>
        <v>0</v>
      </c>
      <c r="I122" s="125"/>
      <c r="J122" s="125"/>
      <c r="K122" s="296"/>
    </row>
    <row r="123" spans="1:11" ht="12" customHeight="1" x14ac:dyDescent="0.25">
      <c r="A123" s="14" t="s">
        <v>120</v>
      </c>
      <c r="B123" s="678" t="s">
        <v>314</v>
      </c>
      <c r="C123" s="745"/>
      <c r="D123" s="695">
        <f t="shared" si="4"/>
        <v>0</v>
      </c>
      <c r="E123" s="700"/>
      <c r="F123" s="700"/>
      <c r="G123" s="696"/>
      <c r="H123" s="634">
        <f t="shared" si="3"/>
        <v>0</v>
      </c>
      <c r="I123" s="125"/>
      <c r="J123" s="125"/>
      <c r="K123" s="296"/>
    </row>
    <row r="124" spans="1:11" ht="12" customHeight="1" x14ac:dyDescent="0.25">
      <c r="A124" s="14" t="s">
        <v>153</v>
      </c>
      <c r="B124" s="679" t="s">
        <v>297</v>
      </c>
      <c r="C124" s="768"/>
      <c r="D124" s="695">
        <f t="shared" si="4"/>
        <v>0</v>
      </c>
      <c r="E124" s="700"/>
      <c r="F124" s="700"/>
      <c r="G124" s="696"/>
      <c r="H124" s="550">
        <f t="shared" si="3"/>
        <v>0</v>
      </c>
      <c r="I124" s="125"/>
      <c r="J124" s="125"/>
      <c r="K124" s="296"/>
    </row>
    <row r="125" spans="1:11" ht="12" customHeight="1" x14ac:dyDescent="0.25">
      <c r="A125" s="14" t="s">
        <v>154</v>
      </c>
      <c r="B125" s="679" t="s">
        <v>313</v>
      </c>
      <c r="C125" s="768"/>
      <c r="D125" s="695">
        <f t="shared" si="4"/>
        <v>0</v>
      </c>
      <c r="E125" s="700"/>
      <c r="F125" s="700"/>
      <c r="G125" s="696"/>
      <c r="H125" s="550">
        <f t="shared" si="3"/>
        <v>0</v>
      </c>
      <c r="I125" s="125"/>
      <c r="J125" s="125"/>
      <c r="K125" s="296"/>
    </row>
    <row r="126" spans="1:11" ht="12" customHeight="1" x14ac:dyDescent="0.25">
      <c r="A126" s="14" t="s">
        <v>155</v>
      </c>
      <c r="B126" s="679" t="s">
        <v>312</v>
      </c>
      <c r="C126" s="768"/>
      <c r="D126" s="695">
        <f t="shared" si="4"/>
        <v>0</v>
      </c>
      <c r="E126" s="700"/>
      <c r="F126" s="700"/>
      <c r="G126" s="696"/>
      <c r="H126" s="550">
        <f t="shared" si="3"/>
        <v>0</v>
      </c>
      <c r="I126" s="125"/>
      <c r="J126" s="125"/>
      <c r="K126" s="296"/>
    </row>
    <row r="127" spans="1:11" ht="12" customHeight="1" x14ac:dyDescent="0.25">
      <c r="A127" s="14" t="s">
        <v>305</v>
      </c>
      <c r="B127" s="679" t="s">
        <v>300</v>
      </c>
      <c r="C127" s="768"/>
      <c r="D127" s="695">
        <f>SUM(E127:G127)+5000</f>
        <v>5000</v>
      </c>
      <c r="E127" s="700"/>
      <c r="F127" s="700"/>
      <c r="G127" s="696"/>
      <c r="H127" s="550">
        <f t="shared" si="3"/>
        <v>0</v>
      </c>
      <c r="I127" s="125"/>
      <c r="J127" s="125"/>
      <c r="K127" s="296"/>
    </row>
    <row r="128" spans="1:11" ht="12" customHeight="1" x14ac:dyDescent="0.25">
      <c r="A128" s="14" t="s">
        <v>306</v>
      </c>
      <c r="B128" s="679" t="s">
        <v>311</v>
      </c>
      <c r="C128" s="768"/>
      <c r="D128" s="695">
        <f t="shared" si="4"/>
        <v>0</v>
      </c>
      <c r="E128" s="700"/>
      <c r="F128" s="700"/>
      <c r="G128" s="696"/>
      <c r="H128" s="550">
        <f t="shared" si="3"/>
        <v>0</v>
      </c>
      <c r="I128" s="125"/>
      <c r="J128" s="125"/>
      <c r="K128" s="296"/>
    </row>
    <row r="129" spans="1:11" ht="12" customHeight="1" thickBot="1" x14ac:dyDescent="0.3">
      <c r="A129" s="12" t="s">
        <v>307</v>
      </c>
      <c r="B129" s="679" t="s">
        <v>310</v>
      </c>
      <c r="C129" s="734">
        <v>10344167</v>
      </c>
      <c r="D129" s="699">
        <f>SUM(E129:G129)+2400000+1348000+600000+1000000</f>
        <v>48499500</v>
      </c>
      <c r="E129" s="706">
        <f>42072000+1079500</f>
        <v>43151500</v>
      </c>
      <c r="F129" s="706"/>
      <c r="G129" s="706"/>
      <c r="H129" s="856">
        <f t="shared" si="3"/>
        <v>66320721</v>
      </c>
      <c r="I129" s="300">
        <f>65710721+100000+510000</f>
        <v>66320721</v>
      </c>
      <c r="J129" s="300"/>
      <c r="K129" s="300"/>
    </row>
    <row r="130" spans="1:11" ht="12" customHeight="1" thickBot="1" x14ac:dyDescent="0.3">
      <c r="A130" s="19" t="s">
        <v>25</v>
      </c>
      <c r="B130" s="639" t="s">
        <v>498</v>
      </c>
      <c r="C130" s="717">
        <f>C116+C95</f>
        <v>2630343984</v>
      </c>
      <c r="D130" s="689">
        <f>D116+D95</f>
        <v>3271893962</v>
      </c>
      <c r="E130" s="689">
        <f>+E95+E116</f>
        <v>469288333</v>
      </c>
      <c r="F130" s="688">
        <f>+F95+F116</f>
        <v>225723850</v>
      </c>
      <c r="G130" s="688">
        <f>+G95+G116</f>
        <v>1397286981</v>
      </c>
      <c r="H130" s="641">
        <f t="shared" si="3"/>
        <v>3179642713</v>
      </c>
      <c r="I130" s="319">
        <f>+I95+I116</f>
        <v>1405680520</v>
      </c>
      <c r="J130" s="137">
        <f>+J95+J116</f>
        <v>244350438</v>
      </c>
      <c r="K130" s="137">
        <f>+K95+K116</f>
        <v>1529611755</v>
      </c>
    </row>
    <row r="131" spans="1:11" ht="12" customHeight="1" thickBot="1" x14ac:dyDescent="0.3">
      <c r="A131" s="19" t="s">
        <v>26</v>
      </c>
      <c r="B131" s="639" t="s">
        <v>499</v>
      </c>
      <c r="C131" s="717">
        <f>SUM(C132:C134)</f>
        <v>3044789</v>
      </c>
      <c r="D131" s="689">
        <f>SUM(D132:D134)</f>
        <v>103161000</v>
      </c>
      <c r="E131" s="689">
        <f>+E132+E133+E134</f>
        <v>103161000</v>
      </c>
      <c r="F131" s="688">
        <f>+F132+F133+F134</f>
        <v>0</v>
      </c>
      <c r="G131" s="688">
        <f>+G132+G133+G134</f>
        <v>0</v>
      </c>
      <c r="H131" s="641">
        <f t="shared" si="3"/>
        <v>108486704</v>
      </c>
      <c r="I131" s="319">
        <f>+I132+I133+I134</f>
        <v>108486704</v>
      </c>
      <c r="J131" s="137">
        <f>+J132+J133+J134</f>
        <v>0</v>
      </c>
      <c r="K131" s="137">
        <f>+K132+K133+K134</f>
        <v>0</v>
      </c>
    </row>
    <row r="132" spans="1:11" ht="12" customHeight="1" x14ac:dyDescent="0.25">
      <c r="A132" s="14" t="s">
        <v>205</v>
      </c>
      <c r="B132" s="672" t="s">
        <v>500</v>
      </c>
      <c r="C132" s="734">
        <v>3044789</v>
      </c>
      <c r="D132" s="691">
        <f>SUM(E132:G132)</f>
        <v>3161000</v>
      </c>
      <c r="E132" s="696">
        <v>3161000</v>
      </c>
      <c r="F132" s="696"/>
      <c r="G132" s="696"/>
      <c r="H132" s="634">
        <f t="shared" si="3"/>
        <v>8486704</v>
      </c>
      <c r="I132" s="296">
        <f>4042704+4444000</f>
        <v>8486704</v>
      </c>
      <c r="J132" s="296"/>
      <c r="K132" s="296"/>
    </row>
    <row r="133" spans="1:11" ht="12" customHeight="1" x14ac:dyDescent="0.25">
      <c r="A133" s="14" t="s">
        <v>208</v>
      </c>
      <c r="B133" s="672" t="s">
        <v>501</v>
      </c>
      <c r="C133" s="741"/>
      <c r="D133" s="705">
        <f>SUM(E133:G133)</f>
        <v>100000000</v>
      </c>
      <c r="E133" s="700">
        <v>100000000</v>
      </c>
      <c r="F133" s="700"/>
      <c r="G133" s="700"/>
      <c r="H133" s="634">
        <f t="shared" si="3"/>
        <v>100000000</v>
      </c>
      <c r="I133" s="125">
        <v>100000000</v>
      </c>
      <c r="J133" s="125"/>
      <c r="K133" s="125"/>
    </row>
    <row r="134" spans="1:11" ht="12" customHeight="1" thickBot="1" x14ac:dyDescent="0.3">
      <c r="A134" s="12" t="s">
        <v>209</v>
      </c>
      <c r="B134" s="672" t="s">
        <v>502</v>
      </c>
      <c r="C134" s="741"/>
      <c r="D134" s="710">
        <f>SUM(E134:G134)</f>
        <v>0</v>
      </c>
      <c r="E134" s="700"/>
      <c r="F134" s="700"/>
      <c r="G134" s="700"/>
      <c r="H134" s="640">
        <f t="shared" si="3"/>
        <v>0</v>
      </c>
      <c r="I134" s="125"/>
      <c r="J134" s="125"/>
      <c r="K134" s="125"/>
    </row>
    <row r="135" spans="1:11" ht="12" customHeight="1" thickBot="1" x14ac:dyDescent="0.3">
      <c r="A135" s="19" t="s">
        <v>27</v>
      </c>
      <c r="B135" s="639" t="s">
        <v>503</v>
      </c>
      <c r="C135" s="770">
        <f>SUM(C136:C141)</f>
        <v>0</v>
      </c>
      <c r="D135" s="719">
        <f>SUM(D136:D141)</f>
        <v>0</v>
      </c>
      <c r="E135" s="689">
        <f>+E136+E137+E138+E139+E140+E141</f>
        <v>0</v>
      </c>
      <c r="F135" s="688">
        <f>+F136+F137+F138+F139+F140+F141</f>
        <v>0</v>
      </c>
      <c r="G135" s="688">
        <f>SUM(G136:G141)</f>
        <v>0</v>
      </c>
      <c r="H135" s="641">
        <f t="shared" si="3"/>
        <v>0</v>
      </c>
      <c r="I135" s="319">
        <f>+I136+I137+I138+I139+I140+I141</f>
        <v>0</v>
      </c>
      <c r="J135" s="137">
        <f>+J136+J137+J138+J139+J140+J141</f>
        <v>0</v>
      </c>
      <c r="K135" s="137">
        <f>SUM(K136:K141)</f>
        <v>0</v>
      </c>
    </row>
    <row r="136" spans="1:11" ht="12" customHeight="1" x14ac:dyDescent="0.25">
      <c r="A136" s="14" t="s">
        <v>92</v>
      </c>
      <c r="B136" s="676" t="s">
        <v>504</v>
      </c>
      <c r="C136" s="745"/>
      <c r="D136" s="691">
        <f t="shared" ref="D136:D141" si="5">SUM(E136:G136)</f>
        <v>0</v>
      </c>
      <c r="E136" s="700"/>
      <c r="F136" s="700"/>
      <c r="G136" s="700"/>
      <c r="H136" s="637">
        <f t="shared" si="3"/>
        <v>0</v>
      </c>
      <c r="I136" s="125"/>
      <c r="J136" s="125"/>
      <c r="K136" s="125"/>
    </row>
    <row r="137" spans="1:11" ht="12" customHeight="1" x14ac:dyDescent="0.25">
      <c r="A137" s="14" t="s">
        <v>93</v>
      </c>
      <c r="B137" s="676" t="s">
        <v>505</v>
      </c>
      <c r="C137" s="745"/>
      <c r="D137" s="705">
        <f t="shared" si="5"/>
        <v>0</v>
      </c>
      <c r="E137" s="700"/>
      <c r="F137" s="700"/>
      <c r="G137" s="700"/>
      <c r="H137" s="637">
        <f t="shared" si="3"/>
        <v>0</v>
      </c>
      <c r="I137" s="125"/>
      <c r="J137" s="125"/>
      <c r="K137" s="125"/>
    </row>
    <row r="138" spans="1:11" ht="12" customHeight="1" x14ac:dyDescent="0.25">
      <c r="A138" s="14" t="s">
        <v>94</v>
      </c>
      <c r="B138" s="676" t="s">
        <v>506</v>
      </c>
      <c r="C138" s="745"/>
      <c r="D138" s="705">
        <f t="shared" si="5"/>
        <v>0</v>
      </c>
      <c r="E138" s="700"/>
      <c r="F138" s="700"/>
      <c r="G138" s="700"/>
      <c r="H138" s="637">
        <f t="shared" si="3"/>
        <v>0</v>
      </c>
      <c r="I138" s="125"/>
      <c r="J138" s="125"/>
      <c r="K138" s="125"/>
    </row>
    <row r="139" spans="1:11" ht="12" customHeight="1" x14ac:dyDescent="0.25">
      <c r="A139" s="14" t="s">
        <v>140</v>
      </c>
      <c r="B139" s="676" t="s">
        <v>507</v>
      </c>
      <c r="C139" s="745"/>
      <c r="D139" s="705">
        <f t="shared" si="5"/>
        <v>0</v>
      </c>
      <c r="E139" s="700"/>
      <c r="F139" s="700"/>
      <c r="G139" s="700"/>
      <c r="H139" s="637">
        <f t="shared" si="3"/>
        <v>0</v>
      </c>
      <c r="I139" s="125"/>
      <c r="J139" s="125"/>
      <c r="K139" s="125"/>
    </row>
    <row r="140" spans="1:11" ht="12" customHeight="1" x14ac:dyDescent="0.25">
      <c r="A140" s="14" t="s">
        <v>141</v>
      </c>
      <c r="B140" s="676" t="s">
        <v>508</v>
      </c>
      <c r="C140" s="745"/>
      <c r="D140" s="705">
        <f t="shared" si="5"/>
        <v>0</v>
      </c>
      <c r="E140" s="700"/>
      <c r="F140" s="700"/>
      <c r="G140" s="700"/>
      <c r="H140" s="637">
        <f t="shared" si="3"/>
        <v>0</v>
      </c>
      <c r="I140" s="125"/>
      <c r="J140" s="125"/>
      <c r="K140" s="125"/>
    </row>
    <row r="141" spans="1:11" ht="12" customHeight="1" thickBot="1" x14ac:dyDescent="0.3">
      <c r="A141" s="12" t="s">
        <v>142</v>
      </c>
      <c r="B141" s="676" t="s">
        <v>509</v>
      </c>
      <c r="C141" s="745"/>
      <c r="D141" s="710">
        <f t="shared" si="5"/>
        <v>0</v>
      </c>
      <c r="E141" s="700"/>
      <c r="F141" s="700"/>
      <c r="G141" s="700"/>
      <c r="H141" s="640">
        <f t="shared" si="3"/>
        <v>0</v>
      </c>
      <c r="I141" s="125"/>
      <c r="J141" s="125"/>
      <c r="K141" s="125"/>
    </row>
    <row r="142" spans="1:11" ht="12" customHeight="1" thickBot="1" x14ac:dyDescent="0.3">
      <c r="A142" s="19" t="s">
        <v>28</v>
      </c>
      <c r="B142" s="639" t="s">
        <v>510</v>
      </c>
      <c r="C142" s="717">
        <f>SUM(C143:C146)</f>
        <v>33301994</v>
      </c>
      <c r="D142" s="689">
        <f>SUM(D143:D146)</f>
        <v>35164932</v>
      </c>
      <c r="E142" s="711">
        <f>+E143+E144+E145+E146</f>
        <v>35164932</v>
      </c>
      <c r="F142" s="712">
        <f>+F143+F144+F145+F146</f>
        <v>0</v>
      </c>
      <c r="G142" s="712">
        <f>+G143+G144+G145+G146</f>
        <v>0</v>
      </c>
      <c r="H142" s="641">
        <f t="shared" si="3"/>
        <v>38167591</v>
      </c>
      <c r="I142" s="322">
        <f>+I143+I144+I145+I146</f>
        <v>38167591</v>
      </c>
      <c r="J142" s="142">
        <f>+J143+J144+J145+J146</f>
        <v>0</v>
      </c>
      <c r="K142" s="142">
        <f>+K143+K144+K145+K146</f>
        <v>0</v>
      </c>
    </row>
    <row r="143" spans="1:11" ht="12" customHeight="1" x14ac:dyDescent="0.25">
      <c r="A143" s="14" t="s">
        <v>95</v>
      </c>
      <c r="B143" s="676" t="s">
        <v>315</v>
      </c>
      <c r="C143" s="745"/>
      <c r="D143" s="691">
        <f>SUM(E143:G143)</f>
        <v>0</v>
      </c>
      <c r="E143" s="700"/>
      <c r="F143" s="700"/>
      <c r="G143" s="700"/>
      <c r="H143" s="637">
        <f t="shared" si="3"/>
        <v>0</v>
      </c>
      <c r="I143" s="125"/>
      <c r="J143" s="125"/>
      <c r="K143" s="125"/>
    </row>
    <row r="144" spans="1:11" ht="12" customHeight="1" x14ac:dyDescent="0.25">
      <c r="A144" s="14" t="s">
        <v>96</v>
      </c>
      <c r="B144" s="676" t="s">
        <v>316</v>
      </c>
      <c r="C144" s="739">
        <v>33301994</v>
      </c>
      <c r="D144" s="705">
        <f>SUM(E144:G144)</f>
        <v>35164932</v>
      </c>
      <c r="E144" s="700">
        <f>35164932</f>
        <v>35164932</v>
      </c>
      <c r="F144" s="700"/>
      <c r="G144" s="700"/>
      <c r="H144" s="634">
        <f t="shared" si="3"/>
        <v>38167591</v>
      </c>
      <c r="I144" s="125">
        <v>38167591</v>
      </c>
      <c r="J144" s="125"/>
      <c r="K144" s="125"/>
    </row>
    <row r="145" spans="1:11" ht="12" customHeight="1" x14ac:dyDescent="0.25">
      <c r="A145" s="14" t="s">
        <v>229</v>
      </c>
      <c r="B145" s="676" t="s">
        <v>511</v>
      </c>
      <c r="C145" s="745"/>
      <c r="D145" s="705">
        <f>SUM(E145:G145)</f>
        <v>0</v>
      </c>
      <c r="E145" s="700"/>
      <c r="F145" s="700"/>
      <c r="G145" s="700"/>
      <c r="H145" s="637">
        <f t="shared" si="3"/>
        <v>0</v>
      </c>
      <c r="I145" s="125"/>
      <c r="J145" s="125"/>
      <c r="K145" s="125"/>
    </row>
    <row r="146" spans="1:11" ht="12" customHeight="1" thickBot="1" x14ac:dyDescent="0.3">
      <c r="A146" s="12" t="s">
        <v>230</v>
      </c>
      <c r="B146" s="677" t="s">
        <v>334</v>
      </c>
      <c r="C146" s="746"/>
      <c r="D146" s="710">
        <f>SUM(E146:G146)</f>
        <v>0</v>
      </c>
      <c r="E146" s="700"/>
      <c r="F146" s="700"/>
      <c r="G146" s="700"/>
      <c r="H146" s="640">
        <f t="shared" si="3"/>
        <v>0</v>
      </c>
      <c r="I146" s="125"/>
      <c r="J146" s="125"/>
      <c r="K146" s="125"/>
    </row>
    <row r="147" spans="1:11" ht="12" customHeight="1" thickBot="1" x14ac:dyDescent="0.3">
      <c r="A147" s="19" t="s">
        <v>29</v>
      </c>
      <c r="B147" s="639" t="s">
        <v>512</v>
      </c>
      <c r="C147" s="720">
        <f>SUM(C148:C152)</f>
        <v>0</v>
      </c>
      <c r="D147" s="719">
        <f>SUM(D148:D152)</f>
        <v>0</v>
      </c>
      <c r="E147" s="747">
        <f>+E148+E149+E150+E151+E152</f>
        <v>0</v>
      </c>
      <c r="F147" s="748">
        <f>+F148+F149+F150+F151+F152</f>
        <v>0</v>
      </c>
      <c r="G147" s="748">
        <f>SUM(G148:G152)</f>
        <v>0</v>
      </c>
      <c r="H147" s="641">
        <f t="shared" si="3"/>
        <v>0</v>
      </c>
      <c r="I147" s="331">
        <f>+I148+I149+I150+I151+I152</f>
        <v>0</v>
      </c>
      <c r="J147" s="145">
        <f>+J148+J149+J150+J151+J152</f>
        <v>0</v>
      </c>
      <c r="K147" s="145">
        <f>SUM(K148:K152)</f>
        <v>0</v>
      </c>
    </row>
    <row r="148" spans="1:11" ht="12" customHeight="1" x14ac:dyDescent="0.25">
      <c r="A148" s="14" t="s">
        <v>97</v>
      </c>
      <c r="B148" s="676" t="s">
        <v>513</v>
      </c>
      <c r="C148" s="745"/>
      <c r="D148" s="691">
        <f t="shared" ref="D148:D154" si="6">SUM(E148:G148)</f>
        <v>0</v>
      </c>
      <c r="E148" s="700"/>
      <c r="F148" s="700"/>
      <c r="G148" s="700"/>
      <c r="H148" s="637">
        <f t="shared" si="3"/>
        <v>0</v>
      </c>
      <c r="I148" s="125"/>
      <c r="J148" s="125"/>
      <c r="K148" s="125"/>
    </row>
    <row r="149" spans="1:11" ht="12" customHeight="1" x14ac:dyDescent="0.25">
      <c r="A149" s="14" t="s">
        <v>98</v>
      </c>
      <c r="B149" s="676" t="s">
        <v>514</v>
      </c>
      <c r="C149" s="739"/>
      <c r="D149" s="705">
        <f t="shared" si="6"/>
        <v>0</v>
      </c>
      <c r="E149" s="700"/>
      <c r="F149" s="700"/>
      <c r="G149" s="700"/>
      <c r="H149" s="637">
        <f t="shared" si="3"/>
        <v>0</v>
      </c>
      <c r="I149" s="125"/>
      <c r="J149" s="125"/>
      <c r="K149" s="125"/>
    </row>
    <row r="150" spans="1:11" ht="12" customHeight="1" x14ac:dyDescent="0.25">
      <c r="A150" s="14" t="s">
        <v>241</v>
      </c>
      <c r="B150" s="676" t="s">
        <v>515</v>
      </c>
      <c r="C150" s="745"/>
      <c r="D150" s="705">
        <f t="shared" si="6"/>
        <v>0</v>
      </c>
      <c r="E150" s="700"/>
      <c r="F150" s="700"/>
      <c r="G150" s="700"/>
      <c r="H150" s="637">
        <f t="shared" si="3"/>
        <v>0</v>
      </c>
      <c r="I150" s="125"/>
      <c r="J150" s="125"/>
      <c r="K150" s="125"/>
    </row>
    <row r="151" spans="1:11" ht="12" customHeight="1" x14ac:dyDescent="0.25">
      <c r="A151" s="14" t="s">
        <v>242</v>
      </c>
      <c r="B151" s="676" t="s">
        <v>516</v>
      </c>
      <c r="C151" s="745"/>
      <c r="D151" s="705">
        <f t="shared" si="6"/>
        <v>0</v>
      </c>
      <c r="E151" s="700"/>
      <c r="F151" s="700"/>
      <c r="G151" s="700"/>
      <c r="H151" s="637">
        <f t="shared" si="3"/>
        <v>0</v>
      </c>
      <c r="I151" s="125"/>
      <c r="J151" s="125"/>
      <c r="K151" s="125"/>
    </row>
    <row r="152" spans="1:11" ht="12" customHeight="1" thickBot="1" x14ac:dyDescent="0.3">
      <c r="A152" s="14" t="s">
        <v>517</v>
      </c>
      <c r="B152" s="676" t="s">
        <v>518</v>
      </c>
      <c r="C152" s="745"/>
      <c r="D152" s="710">
        <f t="shared" si="6"/>
        <v>0</v>
      </c>
      <c r="E152" s="715"/>
      <c r="F152" s="715"/>
      <c r="G152" s="700"/>
      <c r="H152" s="640">
        <f t="shared" si="3"/>
        <v>0</v>
      </c>
      <c r="I152" s="126"/>
      <c r="J152" s="126"/>
      <c r="K152" s="125"/>
    </row>
    <row r="153" spans="1:11" ht="12" customHeight="1" thickBot="1" x14ac:dyDescent="0.3">
      <c r="A153" s="19" t="s">
        <v>30</v>
      </c>
      <c r="B153" s="639" t="s">
        <v>519</v>
      </c>
      <c r="C153" s="720"/>
      <c r="D153" s="719">
        <f t="shared" si="6"/>
        <v>0</v>
      </c>
      <c r="E153" s="747"/>
      <c r="F153" s="748"/>
      <c r="G153" s="749"/>
      <c r="H153" s="641">
        <f t="shared" si="3"/>
        <v>0</v>
      </c>
      <c r="I153" s="331"/>
      <c r="J153" s="145"/>
      <c r="K153" s="287"/>
    </row>
    <row r="154" spans="1:11" ht="12" customHeight="1" thickBot="1" x14ac:dyDescent="0.3">
      <c r="A154" s="19" t="s">
        <v>31</v>
      </c>
      <c r="B154" s="639" t="s">
        <v>520</v>
      </c>
      <c r="C154" s="720"/>
      <c r="D154" s="719">
        <f t="shared" si="6"/>
        <v>0</v>
      </c>
      <c r="E154" s="747"/>
      <c r="F154" s="748"/>
      <c r="G154" s="749"/>
      <c r="H154" s="641">
        <f t="shared" si="3"/>
        <v>0</v>
      </c>
      <c r="I154" s="331"/>
      <c r="J154" s="145"/>
      <c r="K154" s="287"/>
    </row>
    <row r="155" spans="1:11" ht="15" customHeight="1" thickBot="1" x14ac:dyDescent="0.3">
      <c r="A155" s="19" t="s">
        <v>32</v>
      </c>
      <c r="B155" s="639" t="s">
        <v>521</v>
      </c>
      <c r="C155" s="717">
        <f>C154+C153+C147+C142+C135+C131</f>
        <v>36346783</v>
      </c>
      <c r="D155" s="689">
        <f>D154+D153+D147+D142+D135+D131</f>
        <v>138325932</v>
      </c>
      <c r="E155" s="750">
        <f>+E131+E135+E142+E147+E153+E154</f>
        <v>138325932</v>
      </c>
      <c r="F155" s="751">
        <f>+F131+F135+F142+F147+F153+F154</f>
        <v>0</v>
      </c>
      <c r="G155" s="751">
        <f>+G131+G135+G142+G147+G153+G154</f>
        <v>0</v>
      </c>
      <c r="H155" s="641">
        <f t="shared" si="3"/>
        <v>146654295</v>
      </c>
      <c r="I155" s="332">
        <f>+I131+I135+I142+I147+I153+I154</f>
        <v>146654295</v>
      </c>
      <c r="J155" s="232">
        <f>+J131+J135+J142+J147+J153+J154</f>
        <v>0</v>
      </c>
      <c r="K155" s="232">
        <f>+K131+K135+K142+K147+K153+K154</f>
        <v>0</v>
      </c>
    </row>
    <row r="156" spans="1:11" s="320" customFormat="1" ht="12.95" customHeight="1" thickBot="1" x14ac:dyDescent="0.25">
      <c r="A156" s="135" t="s">
        <v>33</v>
      </c>
      <c r="B156" s="642" t="s">
        <v>522</v>
      </c>
      <c r="C156" s="717">
        <f>C155+C130</f>
        <v>2666690767</v>
      </c>
      <c r="D156" s="689">
        <f>D155+D130</f>
        <v>3410219894</v>
      </c>
      <c r="E156" s="750">
        <f>+E130+E155</f>
        <v>607614265</v>
      </c>
      <c r="F156" s="751">
        <f>+F130+F155</f>
        <v>225723850</v>
      </c>
      <c r="G156" s="751">
        <f>+G130+G155</f>
        <v>1397286981</v>
      </c>
      <c r="H156" s="641">
        <f t="shared" si="3"/>
        <v>3326297008</v>
      </c>
      <c r="I156" s="332">
        <f>+I130+I155</f>
        <v>1552334815</v>
      </c>
      <c r="J156" s="232">
        <f>+J130+J155</f>
        <v>244350438</v>
      </c>
      <c r="K156" s="232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&amp;R28. melléklet a 17/2018.(VII.27.) önkormányzati rendelethez
TÁJÉKOZTATÓ TÁBLA</oddHeader>
  </headerFooter>
  <rowBreaks count="1" manualBreakCount="1">
    <brk id="76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zoomScale="85" zoomScaleNormal="100" zoomScalePageLayoutView="85" workbookViewId="0">
      <selection activeCell="J3" sqref="J3"/>
    </sheetView>
  </sheetViews>
  <sheetFormatPr defaultRowHeight="15.75" x14ac:dyDescent="0.25"/>
  <cols>
    <col min="1" max="1" width="4.83203125" style="59" customWidth="1"/>
    <col min="2" max="2" width="31.1640625" style="71" customWidth="1"/>
    <col min="3" max="6" width="11.1640625" style="71" bestFit="1" customWidth="1"/>
    <col min="7" max="7" width="11.83203125" style="71" bestFit="1" customWidth="1"/>
    <col min="8" max="8" width="11.1640625" style="71" bestFit="1" customWidth="1"/>
    <col min="9" max="9" width="12.6640625" style="71" bestFit="1" customWidth="1"/>
    <col min="10" max="10" width="11.1640625" style="71" bestFit="1" customWidth="1"/>
    <col min="11" max="11" width="12.6640625" style="71" bestFit="1" customWidth="1"/>
    <col min="12" max="12" width="11.1640625" style="71" customWidth="1"/>
    <col min="13" max="13" width="11.6640625" style="71" customWidth="1"/>
    <col min="14" max="14" width="11" style="71" customWidth="1"/>
    <col min="15" max="15" width="12.6640625" style="59" customWidth="1"/>
    <col min="16" max="16" width="14.6640625" style="586" hidden="1" customWidth="1"/>
    <col min="17" max="17" width="16.6640625" style="586" hidden="1" customWidth="1"/>
    <col min="18" max="16384" width="9.33203125" style="71"/>
  </cols>
  <sheetData>
    <row r="1" spans="1:17" ht="31.5" customHeight="1" x14ac:dyDescent="0.25">
      <c r="A1" s="1031" t="s">
        <v>631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</row>
    <row r="2" spans="1:17" ht="16.5" thickBot="1" x14ac:dyDescent="0.3">
      <c r="O2" s="3" t="s">
        <v>599</v>
      </c>
    </row>
    <row r="3" spans="1:17" ht="35.25" customHeight="1" thickBot="1" x14ac:dyDescent="0.3">
      <c r="A3" s="490" t="s">
        <v>21</v>
      </c>
      <c r="B3" s="491" t="s">
        <v>67</v>
      </c>
      <c r="C3" s="491" t="s">
        <v>75</v>
      </c>
      <c r="D3" s="491" t="s">
        <v>76</v>
      </c>
      <c r="E3" s="491" t="s">
        <v>77</v>
      </c>
      <c r="F3" s="491" t="s">
        <v>78</v>
      </c>
      <c r="G3" s="491" t="s">
        <v>79</v>
      </c>
      <c r="H3" s="491" t="s">
        <v>80</v>
      </c>
      <c r="I3" s="491" t="s">
        <v>81</v>
      </c>
      <c r="J3" s="491" t="s">
        <v>82</v>
      </c>
      <c r="K3" s="491" t="s">
        <v>83</v>
      </c>
      <c r="L3" s="491" t="s">
        <v>84</v>
      </c>
      <c r="M3" s="491" t="s">
        <v>85</v>
      </c>
      <c r="N3" s="491" t="s">
        <v>86</v>
      </c>
      <c r="O3" s="492" t="s">
        <v>57</v>
      </c>
    </row>
    <row r="4" spans="1:17" s="61" customFormat="1" ht="15" customHeight="1" thickBot="1" x14ac:dyDescent="0.25">
      <c r="A4" s="60" t="s">
        <v>23</v>
      </c>
      <c r="B4" s="1033" t="s">
        <v>61</v>
      </c>
      <c r="C4" s="1034"/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5"/>
      <c r="P4" s="587"/>
      <c r="Q4" s="587"/>
    </row>
    <row r="5" spans="1:17" s="61" customFormat="1" ht="22.5" x14ac:dyDescent="0.2">
      <c r="A5" s="62" t="s">
        <v>24</v>
      </c>
      <c r="B5" s="262" t="s">
        <v>318</v>
      </c>
      <c r="C5" s="299">
        <v>70000000</v>
      </c>
      <c r="D5" s="299">
        <v>105000000</v>
      </c>
      <c r="E5" s="299">
        <f>110000000+1309600</f>
        <v>111309600</v>
      </c>
      <c r="F5" s="299">
        <v>110000000</v>
      </c>
      <c r="G5" s="299">
        <v>110000000</v>
      </c>
      <c r="H5" s="299">
        <v>115083108</v>
      </c>
      <c r="I5" s="299">
        <f>125600000+1398336+735168</f>
        <v>127733504</v>
      </c>
      <c r="J5" s="299">
        <f>125100000+1508600</f>
        <v>126608600</v>
      </c>
      <c r="K5" s="299">
        <f>117270000+1508600</f>
        <v>118778600</v>
      </c>
      <c r="L5" s="299">
        <f>110120000+1508600</f>
        <v>111628600</v>
      </c>
      <c r="M5" s="299">
        <f>110170000+1508600</f>
        <v>111678600</v>
      </c>
      <c r="N5" s="299">
        <f>110081468+170000+1508600</f>
        <v>111760068</v>
      </c>
      <c r="O5" s="813">
        <f t="shared" ref="O5:O14" si="0">SUM(C5:N5)</f>
        <v>1329580680</v>
      </c>
      <c r="P5" s="588">
        <v>1329580680</v>
      </c>
      <c r="Q5" s="589">
        <f t="shared" ref="Q5:Q26" si="1">O5-P5</f>
        <v>0</v>
      </c>
    </row>
    <row r="6" spans="1:17" s="65" customFormat="1" ht="22.5" x14ac:dyDescent="0.2">
      <c r="A6" s="63" t="s">
        <v>25</v>
      </c>
      <c r="B6" s="129" t="s">
        <v>362</v>
      </c>
      <c r="C6" s="276"/>
      <c r="D6" s="276">
        <v>40000000</v>
      </c>
      <c r="E6" s="276"/>
      <c r="F6" s="276">
        <f>40000000-344442</f>
        <v>39655558</v>
      </c>
      <c r="G6" s="276">
        <v>20620</v>
      </c>
      <c r="H6" s="276">
        <f>10965882+9894420-4353475</f>
        <v>16506827</v>
      </c>
      <c r="I6" s="276">
        <f>40000000+900000+1978928</f>
        <v>42878928</v>
      </c>
      <c r="J6" s="276">
        <v>10000000</v>
      </c>
      <c r="K6" s="276">
        <f>931815+2845500</f>
        <v>3777315</v>
      </c>
      <c r="L6" s="276">
        <f>40000000+2845500</f>
        <v>42845500</v>
      </c>
      <c r="M6" s="276">
        <v>2845500</v>
      </c>
      <c r="N6" s="276">
        <f>75636836+2845500</f>
        <v>78482336</v>
      </c>
      <c r="O6" s="814">
        <f t="shared" si="0"/>
        <v>277012584</v>
      </c>
      <c r="P6" s="591">
        <v>277012584</v>
      </c>
      <c r="Q6" s="592">
        <f t="shared" si="1"/>
        <v>0</v>
      </c>
    </row>
    <row r="7" spans="1:17" s="65" customFormat="1" ht="22.5" x14ac:dyDescent="0.2">
      <c r="A7" s="63" t="s">
        <v>26</v>
      </c>
      <c r="B7" s="128" t="s">
        <v>363</v>
      </c>
      <c r="C7" s="277"/>
      <c r="D7" s="277"/>
      <c r="E7" s="277"/>
      <c r="F7" s="277"/>
      <c r="G7" s="277">
        <v>3796748</v>
      </c>
      <c r="H7" s="277">
        <f>6704587+4353475+449996</f>
        <v>11508058</v>
      </c>
      <c r="I7" s="277"/>
      <c r="J7" s="277"/>
      <c r="K7" s="277"/>
      <c r="L7" s="277"/>
      <c r="M7" s="277">
        <f>5866130+48350993</f>
        <v>54217123</v>
      </c>
      <c r="N7" s="277">
        <v>3779393</v>
      </c>
      <c r="O7" s="590">
        <f t="shared" si="0"/>
        <v>73301322</v>
      </c>
      <c r="P7" s="591">
        <v>73301322</v>
      </c>
      <c r="Q7" s="592">
        <f t="shared" si="1"/>
        <v>0</v>
      </c>
    </row>
    <row r="8" spans="1:17" s="65" customFormat="1" ht="14.1" customHeight="1" x14ac:dyDescent="0.2">
      <c r="A8" s="63" t="s">
        <v>27</v>
      </c>
      <c r="B8" s="127" t="s">
        <v>139</v>
      </c>
      <c r="C8" s="276">
        <v>3000000</v>
      </c>
      <c r="D8" s="276">
        <v>3000000</v>
      </c>
      <c r="E8" s="276">
        <v>120000000</v>
      </c>
      <c r="F8" s="276">
        <v>15000000</v>
      </c>
      <c r="G8" s="276">
        <v>7000000</v>
      </c>
      <c r="H8" s="276">
        <v>9000000</v>
      </c>
      <c r="I8" s="276">
        <v>5000000</v>
      </c>
      <c r="J8" s="276">
        <v>20000000</v>
      </c>
      <c r="K8" s="276">
        <v>120000000</v>
      </c>
      <c r="L8" s="276">
        <v>5000000</v>
      </c>
      <c r="M8" s="276">
        <v>5000000</v>
      </c>
      <c r="N8" s="276">
        <v>40658000</v>
      </c>
      <c r="O8" s="590">
        <f t="shared" si="0"/>
        <v>352658000</v>
      </c>
      <c r="P8" s="591">
        <v>352658000</v>
      </c>
      <c r="Q8" s="592">
        <f t="shared" si="1"/>
        <v>0</v>
      </c>
    </row>
    <row r="9" spans="1:17" s="65" customFormat="1" ht="14.1" customHeight="1" x14ac:dyDescent="0.2">
      <c r="A9" s="63" t="s">
        <v>28</v>
      </c>
      <c r="B9" s="127" t="s">
        <v>364</v>
      </c>
      <c r="C9" s="276">
        <v>36200000</v>
      </c>
      <c r="D9" s="276">
        <v>35450000</v>
      </c>
      <c r="E9" s="276">
        <v>36250000</v>
      </c>
      <c r="F9" s="276">
        <v>35326294</v>
      </c>
      <c r="G9" s="276">
        <f>38260000+1577143</f>
        <v>39837143</v>
      </c>
      <c r="H9" s="276">
        <v>35300000</v>
      </c>
      <c r="I9" s="276">
        <f>33291164+4938146</f>
        <v>38229310</v>
      </c>
      <c r="J9" s="276">
        <v>33290000</v>
      </c>
      <c r="K9" s="276">
        <f>39421250-1000000</f>
        <v>38421250</v>
      </c>
      <c r="L9" s="276">
        <f>38290000+1595250-1000000</f>
        <v>38885250</v>
      </c>
      <c r="M9" s="276">
        <f>38390000-1000000</f>
        <v>37390000</v>
      </c>
      <c r="N9" s="276">
        <f>35514867+4938146-1000000</f>
        <v>39453013</v>
      </c>
      <c r="O9" s="814">
        <f t="shared" si="0"/>
        <v>444032260</v>
      </c>
      <c r="P9" s="591">
        <v>444032260</v>
      </c>
      <c r="Q9" s="592">
        <f t="shared" si="1"/>
        <v>0</v>
      </c>
    </row>
    <row r="10" spans="1:17" s="65" customFormat="1" ht="14.1" customHeight="1" x14ac:dyDescent="0.2">
      <c r="A10" s="63" t="s">
        <v>29</v>
      </c>
      <c r="B10" s="127" t="s">
        <v>14</v>
      </c>
      <c r="C10" s="276"/>
      <c r="D10" s="276"/>
      <c r="E10" s="276">
        <v>2625000</v>
      </c>
      <c r="F10" s="276"/>
      <c r="G10" s="276">
        <v>1920000</v>
      </c>
      <c r="H10" s="276"/>
      <c r="I10" s="276">
        <v>3000000</v>
      </c>
      <c r="J10" s="276"/>
      <c r="K10" s="276">
        <v>7787500</v>
      </c>
      <c r="L10" s="276"/>
      <c r="M10" s="276">
        <v>15000000</v>
      </c>
      <c r="N10" s="276"/>
      <c r="O10" s="590">
        <f t="shared" si="0"/>
        <v>30332500</v>
      </c>
      <c r="P10" s="591">
        <v>30332500</v>
      </c>
      <c r="Q10" s="592">
        <f t="shared" si="1"/>
        <v>0</v>
      </c>
    </row>
    <row r="11" spans="1:17" s="65" customFormat="1" ht="14.1" customHeight="1" x14ac:dyDescent="0.2">
      <c r="A11" s="63" t="s">
        <v>30</v>
      </c>
      <c r="B11" s="127" t="s">
        <v>320</v>
      </c>
      <c r="C11" s="276">
        <v>1566000</v>
      </c>
      <c r="D11" s="276">
        <v>250000</v>
      </c>
      <c r="E11" s="276">
        <v>300000</v>
      </c>
      <c r="F11" s="276">
        <v>350000</v>
      </c>
      <c r="G11" s="276">
        <v>250000</v>
      </c>
      <c r="H11" s="276">
        <f>200000+20000+30000</f>
        <v>250000</v>
      </c>
      <c r="I11" s="276">
        <f>350000+408000</f>
        <v>758000</v>
      </c>
      <c r="J11" s="276">
        <v>250000</v>
      </c>
      <c r="K11" s="276">
        <v>400000</v>
      </c>
      <c r="L11" s="276">
        <v>300000</v>
      </c>
      <c r="M11" s="276">
        <v>300000</v>
      </c>
      <c r="N11" s="276">
        <v>250000</v>
      </c>
      <c r="O11" s="814">
        <f t="shared" si="0"/>
        <v>5224000</v>
      </c>
      <c r="P11" s="591">
        <v>5224000</v>
      </c>
      <c r="Q11" s="592">
        <f t="shared" si="1"/>
        <v>0</v>
      </c>
    </row>
    <row r="12" spans="1:17" s="65" customFormat="1" ht="22.5" x14ac:dyDescent="0.2">
      <c r="A12" s="63" t="s">
        <v>31</v>
      </c>
      <c r="B12" s="129" t="s">
        <v>350</v>
      </c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590">
        <f t="shared" si="0"/>
        <v>0</v>
      </c>
      <c r="P12" s="591">
        <v>0</v>
      </c>
      <c r="Q12" s="592">
        <f t="shared" si="1"/>
        <v>0</v>
      </c>
    </row>
    <row r="13" spans="1:17" s="65" customFormat="1" ht="14.1" customHeight="1" thickBot="1" x14ac:dyDescent="0.25">
      <c r="A13" s="63" t="s">
        <v>32</v>
      </c>
      <c r="B13" s="127" t="s">
        <v>15</v>
      </c>
      <c r="C13" s="64">
        <f>595229853-28</f>
        <v>595229825</v>
      </c>
      <c r="D13" s="64">
        <v>40000000</v>
      </c>
      <c r="E13" s="64"/>
      <c r="F13" s="64">
        <v>60447375</v>
      </c>
      <c r="G13" s="64"/>
      <c r="H13" s="64">
        <v>25000000</v>
      </c>
      <c r="I13" s="64">
        <v>20000000</v>
      </c>
      <c r="J13" s="64">
        <v>20000000</v>
      </c>
      <c r="K13" s="276">
        <v>33478462</v>
      </c>
      <c r="L13" s="276">
        <v>10000000</v>
      </c>
      <c r="M13" s="276">
        <v>10000000</v>
      </c>
      <c r="N13" s="276"/>
      <c r="O13" s="590">
        <f t="shared" si="0"/>
        <v>814155662</v>
      </c>
      <c r="P13" s="593">
        <v>814155662</v>
      </c>
      <c r="Q13" s="594">
        <f t="shared" si="1"/>
        <v>0</v>
      </c>
    </row>
    <row r="14" spans="1:17" s="61" customFormat="1" ht="15.95" customHeight="1" thickBot="1" x14ac:dyDescent="0.25">
      <c r="A14" s="60" t="s">
        <v>33</v>
      </c>
      <c r="B14" s="34" t="s">
        <v>110</v>
      </c>
      <c r="C14" s="66">
        <f t="shared" ref="C14:N14" si="2">SUM(C5:C13)</f>
        <v>705995825</v>
      </c>
      <c r="D14" s="66">
        <f t="shared" si="2"/>
        <v>223700000</v>
      </c>
      <c r="E14" s="66">
        <f t="shared" si="2"/>
        <v>270484600</v>
      </c>
      <c r="F14" s="66">
        <f t="shared" si="2"/>
        <v>260779227</v>
      </c>
      <c r="G14" s="66">
        <f t="shared" si="2"/>
        <v>162824511</v>
      </c>
      <c r="H14" s="66">
        <f t="shared" si="2"/>
        <v>212647993</v>
      </c>
      <c r="I14" s="66">
        <f t="shared" si="2"/>
        <v>237599742</v>
      </c>
      <c r="J14" s="66">
        <f t="shared" si="2"/>
        <v>210148600</v>
      </c>
      <c r="K14" s="66">
        <f t="shared" si="2"/>
        <v>322643127</v>
      </c>
      <c r="L14" s="66">
        <f t="shared" si="2"/>
        <v>208659350</v>
      </c>
      <c r="M14" s="66">
        <f t="shared" si="2"/>
        <v>236431223</v>
      </c>
      <c r="N14" s="66">
        <f t="shared" si="2"/>
        <v>274382810</v>
      </c>
      <c r="O14" s="67">
        <f t="shared" si="0"/>
        <v>3326297008</v>
      </c>
      <c r="P14" s="595">
        <f>SUM(P5:P13)</f>
        <v>3326297008</v>
      </c>
      <c r="Q14" s="596">
        <f t="shared" si="1"/>
        <v>0</v>
      </c>
    </row>
    <row r="15" spans="1:17" s="61" customFormat="1" ht="15" customHeight="1" thickBot="1" x14ac:dyDescent="0.25">
      <c r="A15" s="60" t="s">
        <v>34</v>
      </c>
      <c r="B15" s="1033" t="s">
        <v>62</v>
      </c>
      <c r="C15" s="1034"/>
      <c r="D15" s="1034"/>
      <c r="E15" s="1034"/>
      <c r="F15" s="1034"/>
      <c r="G15" s="1034"/>
      <c r="H15" s="1034"/>
      <c r="I15" s="1034"/>
      <c r="J15" s="1034"/>
      <c r="K15" s="1034"/>
      <c r="L15" s="1034"/>
      <c r="M15" s="1034"/>
      <c r="N15" s="1034"/>
      <c r="O15" s="1035"/>
      <c r="P15" s="587"/>
      <c r="Q15" s="597">
        <f t="shared" si="1"/>
        <v>0</v>
      </c>
    </row>
    <row r="16" spans="1:17" s="65" customFormat="1" ht="14.1" customHeight="1" x14ac:dyDescent="0.2">
      <c r="A16" s="598" t="s">
        <v>35</v>
      </c>
      <c r="B16" s="599" t="s">
        <v>68</v>
      </c>
      <c r="C16" s="600">
        <v>80000000</v>
      </c>
      <c r="D16" s="600">
        <f>81000000-569836</f>
        <v>80430164</v>
      </c>
      <c r="E16" s="600">
        <f>83100000</f>
        <v>83100000</v>
      </c>
      <c r="F16" s="600">
        <f>81000000+666000+1095900-175365</f>
        <v>82586535</v>
      </c>
      <c r="G16" s="600">
        <v>81000000</v>
      </c>
      <c r="H16" s="600">
        <v>83000000</v>
      </c>
      <c r="I16" s="600">
        <f>81000000+1281377</f>
        <v>82281377</v>
      </c>
      <c r="J16" s="600">
        <f>82000000+1281377+1656000</f>
        <v>84937377</v>
      </c>
      <c r="K16" s="600">
        <f>84100000+1281377+1828292</f>
        <v>87209669</v>
      </c>
      <c r="L16" s="600">
        <f>81000000+1281377+3871640</f>
        <v>86153017</v>
      </c>
      <c r="M16" s="600">
        <f>81000000+1281377+3871640</f>
        <v>86153017</v>
      </c>
      <c r="N16" s="600">
        <f>81820251+1281376+3871641</f>
        <v>86973268</v>
      </c>
      <c r="O16" s="815">
        <f t="shared" ref="O16:O26" si="3">SUM(C16:N16)</f>
        <v>1003824424</v>
      </c>
      <c r="P16" s="601">
        <v>1003824424</v>
      </c>
      <c r="Q16" s="589">
        <f t="shared" si="1"/>
        <v>0</v>
      </c>
    </row>
    <row r="17" spans="1:17" s="65" customFormat="1" ht="27" customHeight="1" x14ac:dyDescent="0.2">
      <c r="A17" s="63" t="s">
        <v>36</v>
      </c>
      <c r="B17" s="129" t="s">
        <v>148</v>
      </c>
      <c r="C17" s="276">
        <v>16500000</v>
      </c>
      <c r="D17" s="276">
        <f>17000000-416745</f>
        <v>16583255</v>
      </c>
      <c r="E17" s="276">
        <v>18500000</v>
      </c>
      <c r="F17" s="276">
        <f>17000000+213701-18991+3298+121914</f>
        <v>17319922</v>
      </c>
      <c r="G17" s="276">
        <v>16720000</v>
      </c>
      <c r="H17" s="276">
        <v>18220000</v>
      </c>
      <c r="I17" s="276">
        <f>16720000+271380</f>
        <v>16991380</v>
      </c>
      <c r="J17" s="276">
        <f>17220000+271380+322928</f>
        <v>17814308</v>
      </c>
      <c r="K17" s="276">
        <f>18720000+271380+78423</f>
        <v>19069803</v>
      </c>
      <c r="L17" s="276">
        <f>16720000+271380+647011</f>
        <v>17638391</v>
      </c>
      <c r="M17" s="276">
        <f>16720000+271380+647010</f>
        <v>17638390</v>
      </c>
      <c r="N17" s="276">
        <f>16603347+240061+149150+271372+647011</f>
        <v>17910941</v>
      </c>
      <c r="O17" s="814">
        <f t="shared" si="3"/>
        <v>210906390</v>
      </c>
      <c r="P17" s="591">
        <v>210906390</v>
      </c>
      <c r="Q17" s="592">
        <f t="shared" si="1"/>
        <v>0</v>
      </c>
    </row>
    <row r="18" spans="1:17" s="65" customFormat="1" ht="14.1" customHeight="1" x14ac:dyDescent="0.2">
      <c r="A18" s="63" t="s">
        <v>37</v>
      </c>
      <c r="B18" s="127" t="s">
        <v>124</v>
      </c>
      <c r="C18" s="276">
        <v>80000000</v>
      </c>
      <c r="D18" s="276">
        <v>75000000</v>
      </c>
      <c r="E18" s="276">
        <v>77400000</v>
      </c>
      <c r="F18" s="276">
        <f>83000000+44100-83792-8245+60000+302293</f>
        <v>83314356</v>
      </c>
      <c r="G18" s="276">
        <f>71000000-36509260</f>
        <v>34490740</v>
      </c>
      <c r="H18" s="276">
        <v>74000000</v>
      </c>
      <c r="I18" s="276">
        <f>77500000+1585967+64000-838452</f>
        <v>78311515</v>
      </c>
      <c r="J18" s="276">
        <f>76000000+1585967+1397115</f>
        <v>78983082</v>
      </c>
      <c r="K18" s="276">
        <f>80500000+1585967</f>
        <v>82085967</v>
      </c>
      <c r="L18" s="276">
        <f>76071448+1585967</f>
        <v>77657415</v>
      </c>
      <c r="M18" s="276">
        <f>75300000+1585967</f>
        <v>76885967</v>
      </c>
      <c r="N18" s="276">
        <f>70149605+1585964</f>
        <v>71735569</v>
      </c>
      <c r="O18" s="814">
        <f t="shared" si="3"/>
        <v>889864611</v>
      </c>
      <c r="P18" s="591">
        <v>889864611</v>
      </c>
      <c r="Q18" s="592">
        <f t="shared" si="1"/>
        <v>0</v>
      </c>
    </row>
    <row r="19" spans="1:17" s="65" customFormat="1" ht="14.1" customHeight="1" x14ac:dyDescent="0.2">
      <c r="A19" s="63" t="s">
        <v>38</v>
      </c>
      <c r="B19" s="127" t="s">
        <v>149</v>
      </c>
      <c r="C19" s="276">
        <v>5100000</v>
      </c>
      <c r="D19" s="276">
        <v>5200000</v>
      </c>
      <c r="E19" s="276">
        <v>5400000</v>
      </c>
      <c r="F19" s="276">
        <v>5300000</v>
      </c>
      <c r="G19" s="276">
        <v>5150000</v>
      </c>
      <c r="H19" s="276">
        <f>5000000-1298000</f>
        <v>3702000</v>
      </c>
      <c r="I19" s="276">
        <f>5000000-2000000</f>
        <v>3000000</v>
      </c>
      <c r="J19" s="276">
        <v>15000000</v>
      </c>
      <c r="K19" s="276">
        <v>5000000</v>
      </c>
      <c r="L19" s="276">
        <v>5100000</v>
      </c>
      <c r="M19" s="276">
        <f>15000000+1805000</f>
        <v>16805000</v>
      </c>
      <c r="N19" s="276">
        <f>21000000+67507000</f>
        <v>88507000</v>
      </c>
      <c r="O19" s="814">
        <f t="shared" si="3"/>
        <v>163264000</v>
      </c>
      <c r="P19" s="591">
        <v>163264000</v>
      </c>
      <c r="Q19" s="592">
        <f t="shared" si="1"/>
        <v>0</v>
      </c>
    </row>
    <row r="20" spans="1:17" s="65" customFormat="1" ht="14.1" customHeight="1" x14ac:dyDescent="0.2">
      <c r="A20" s="63" t="s">
        <v>39</v>
      </c>
      <c r="B20" s="127" t="s">
        <v>16</v>
      </c>
      <c r="C20" s="276"/>
      <c r="D20" s="276"/>
      <c r="E20" s="276">
        <v>10000000</v>
      </c>
      <c r="F20" s="276">
        <v>12000000</v>
      </c>
      <c r="G20" s="276">
        <f>18869819+86500</f>
        <v>18956319</v>
      </c>
      <c r="H20" s="276">
        <v>20000000</v>
      </c>
      <c r="I20" s="276">
        <f>15000000+1361179</f>
        <v>16361179</v>
      </c>
      <c r="J20" s="276">
        <v>14000000</v>
      </c>
      <c r="K20" s="276">
        <f>15000000+1500000</f>
        <v>16500000</v>
      </c>
      <c r="L20" s="276">
        <f>20000000+1500000</f>
        <v>21500000</v>
      </c>
      <c r="M20" s="276">
        <f>15000000+1500000</f>
        <v>16500000</v>
      </c>
      <c r="N20" s="276">
        <v>12261084</v>
      </c>
      <c r="O20" s="814">
        <f t="shared" si="3"/>
        <v>158078582</v>
      </c>
      <c r="P20" s="591">
        <v>158078582</v>
      </c>
      <c r="Q20" s="592">
        <f t="shared" si="1"/>
        <v>0</v>
      </c>
    </row>
    <row r="21" spans="1:17" s="65" customFormat="1" ht="14.1" customHeight="1" x14ac:dyDescent="0.2">
      <c r="A21" s="63" t="s">
        <v>40</v>
      </c>
      <c r="B21" s="127" t="s">
        <v>168</v>
      </c>
      <c r="C21" s="276">
        <v>3000000</v>
      </c>
      <c r="D21" s="276">
        <v>3000000</v>
      </c>
      <c r="E21" s="276">
        <v>40000000</v>
      </c>
      <c r="F21" s="276">
        <f>3000000-60000</f>
        <v>2940000</v>
      </c>
      <c r="G21" s="276">
        <v>77123107</v>
      </c>
      <c r="H21" s="276">
        <v>37753786</v>
      </c>
      <c r="I21" s="276">
        <f>63000000+1598336+4594690</f>
        <v>69193026</v>
      </c>
      <c r="J21" s="276">
        <f>8000000+752475</f>
        <v>8752475</v>
      </c>
      <c r="K21" s="276">
        <v>50000000</v>
      </c>
      <c r="L21" s="276">
        <v>30481603</v>
      </c>
      <c r="M21" s="276">
        <f>15000000+6716258</f>
        <v>21716258</v>
      </c>
      <c r="N21" s="276">
        <v>5000000</v>
      </c>
      <c r="O21" s="814">
        <f t="shared" si="3"/>
        <v>348960255</v>
      </c>
      <c r="P21" s="602">
        <v>348960255</v>
      </c>
      <c r="Q21" s="592">
        <f t="shared" si="1"/>
        <v>0</v>
      </c>
    </row>
    <row r="22" spans="1:17" s="65" customFormat="1" x14ac:dyDescent="0.2">
      <c r="A22" s="63" t="s">
        <v>41</v>
      </c>
      <c r="B22" s="129" t="s">
        <v>152</v>
      </c>
      <c r="C22" s="276">
        <v>1000000</v>
      </c>
      <c r="D22" s="276">
        <v>10000000</v>
      </c>
      <c r="E22" s="276">
        <v>5000000</v>
      </c>
      <c r="F22" s="276">
        <v>7000000</v>
      </c>
      <c r="G22" s="276">
        <v>30000000</v>
      </c>
      <c r="H22" s="276">
        <f>10000000+3402201</f>
        <v>13402201</v>
      </c>
      <c r="I22" s="276">
        <f>50000000+3000000-354600</f>
        <v>52645400</v>
      </c>
      <c r="J22" s="276">
        <f>12000000+479353</f>
        <v>12479353</v>
      </c>
      <c r="K22" s="276">
        <v>87902555</v>
      </c>
      <c r="L22" s="276">
        <f>3000000+3000000</f>
        <v>6000000</v>
      </c>
      <c r="M22" s="276">
        <f>2810962+48165993</f>
        <v>50976955</v>
      </c>
      <c r="N22" s="276">
        <f>2000000+3194292</f>
        <v>5194292</v>
      </c>
      <c r="O22" s="814">
        <f t="shared" si="3"/>
        <v>281600756</v>
      </c>
      <c r="P22" s="591">
        <v>281600756</v>
      </c>
      <c r="Q22" s="592">
        <f t="shared" si="1"/>
        <v>0</v>
      </c>
    </row>
    <row r="23" spans="1:17" s="65" customFormat="1" ht="14.1" customHeight="1" x14ac:dyDescent="0.2">
      <c r="A23" s="63" t="s">
        <v>42</v>
      </c>
      <c r="B23" s="127" t="s">
        <v>170</v>
      </c>
      <c r="C23" s="276"/>
      <c r="D23" s="276"/>
      <c r="E23" s="276">
        <v>34286575</v>
      </c>
      <c r="F23" s="276"/>
      <c r="G23" s="276"/>
      <c r="H23" s="276">
        <f>9221949+100000+510000</f>
        <v>9831949</v>
      </c>
      <c r="I23" s="276">
        <f>3094850+1988342</f>
        <v>5083192</v>
      </c>
      <c r="J23" s="276">
        <v>17119005</v>
      </c>
      <c r="K23" s="276"/>
      <c r="L23" s="276"/>
      <c r="M23" s="276"/>
      <c r="N23" s="276"/>
      <c r="O23" s="590">
        <f t="shared" si="3"/>
        <v>66320721</v>
      </c>
      <c r="P23" s="591">
        <v>66320721</v>
      </c>
      <c r="Q23" s="592">
        <f t="shared" si="1"/>
        <v>0</v>
      </c>
    </row>
    <row r="24" spans="1:17" s="65" customFormat="1" ht="14.1" customHeight="1" x14ac:dyDescent="0.2">
      <c r="A24" s="63" t="s">
        <v>43</v>
      </c>
      <c r="B24" s="127" t="s">
        <v>55</v>
      </c>
      <c r="C24" s="276"/>
      <c r="D24" s="276"/>
      <c r="E24" s="276">
        <v>3000000</v>
      </c>
      <c r="F24" s="276">
        <v>978295</v>
      </c>
      <c r="G24" s="276">
        <v>3900000</v>
      </c>
      <c r="H24" s="276">
        <f>9100000+1016142-1630000-510000</f>
        <v>7976142</v>
      </c>
      <c r="I24" s="276">
        <f>7100000-5000000</f>
        <v>2100000</v>
      </c>
      <c r="J24" s="276">
        <v>8100000</v>
      </c>
      <c r="K24" s="276">
        <f>3900000-2334156</f>
        <v>1565844</v>
      </c>
      <c r="L24" s="276">
        <f>8100000-146490</f>
        <v>7953510</v>
      </c>
      <c r="M24" s="276">
        <v>14246522</v>
      </c>
      <c r="N24" s="276">
        <v>7002661</v>
      </c>
      <c r="O24" s="814">
        <f t="shared" si="3"/>
        <v>56822974</v>
      </c>
      <c r="P24" s="591">
        <v>56822974</v>
      </c>
      <c r="Q24" s="592">
        <f t="shared" si="1"/>
        <v>0</v>
      </c>
    </row>
    <row r="25" spans="1:17" s="65" customFormat="1" ht="14.1" customHeight="1" thickBot="1" x14ac:dyDescent="0.25">
      <c r="A25" s="63" t="s">
        <v>44</v>
      </c>
      <c r="B25" s="127" t="s">
        <v>17</v>
      </c>
      <c r="C25" s="64">
        <v>38167591</v>
      </c>
      <c r="D25" s="64"/>
      <c r="E25" s="64">
        <v>2121676</v>
      </c>
      <c r="F25" s="276"/>
      <c r="G25" s="64"/>
      <c r="H25" s="276">
        <v>2121676</v>
      </c>
      <c r="I25" s="276"/>
      <c r="J25" s="276"/>
      <c r="K25" s="276">
        <v>2121676</v>
      </c>
      <c r="L25" s="276">
        <v>30000000</v>
      </c>
      <c r="M25" s="276"/>
      <c r="N25" s="276">
        <v>72121676</v>
      </c>
      <c r="O25" s="590">
        <f t="shared" si="3"/>
        <v>146654295</v>
      </c>
      <c r="P25" s="593">
        <v>146654295</v>
      </c>
      <c r="Q25" s="594">
        <f t="shared" si="1"/>
        <v>0</v>
      </c>
    </row>
    <row r="26" spans="1:17" s="61" customFormat="1" ht="15.95" customHeight="1" thickBot="1" x14ac:dyDescent="0.25">
      <c r="A26" s="68" t="s">
        <v>45</v>
      </c>
      <c r="B26" s="34" t="s">
        <v>111</v>
      </c>
      <c r="C26" s="66">
        <f t="shared" ref="C26:N26" si="4">SUM(C16:C25)</f>
        <v>223767591</v>
      </c>
      <c r="D26" s="66">
        <f t="shared" si="4"/>
        <v>190213419</v>
      </c>
      <c r="E26" s="66">
        <f t="shared" si="4"/>
        <v>278808251</v>
      </c>
      <c r="F26" s="66">
        <f t="shared" si="4"/>
        <v>211439108</v>
      </c>
      <c r="G26" s="66">
        <f t="shared" si="4"/>
        <v>267340166</v>
      </c>
      <c r="H26" s="66">
        <f t="shared" si="4"/>
        <v>270007754</v>
      </c>
      <c r="I26" s="66">
        <f t="shared" si="4"/>
        <v>325967069</v>
      </c>
      <c r="J26" s="66">
        <f t="shared" si="4"/>
        <v>257185600</v>
      </c>
      <c r="K26" s="66">
        <f t="shared" si="4"/>
        <v>351455514</v>
      </c>
      <c r="L26" s="66">
        <f t="shared" si="4"/>
        <v>282483936</v>
      </c>
      <c r="M26" s="66">
        <f t="shared" si="4"/>
        <v>300922109</v>
      </c>
      <c r="N26" s="66">
        <f t="shared" si="4"/>
        <v>366706491</v>
      </c>
      <c r="O26" s="67">
        <f t="shared" si="3"/>
        <v>3326297008</v>
      </c>
      <c r="P26" s="595">
        <f>SUM(P16:P25)</f>
        <v>3326297008</v>
      </c>
      <c r="Q26" s="596">
        <f t="shared" si="1"/>
        <v>0</v>
      </c>
    </row>
    <row r="27" spans="1:17" ht="16.5" thickBot="1" x14ac:dyDescent="0.3">
      <c r="A27" s="68" t="s">
        <v>46</v>
      </c>
      <c r="B27" s="130" t="s">
        <v>112</v>
      </c>
      <c r="C27" s="69">
        <f t="shared" ref="C27:O27" si="5">C14-C26</f>
        <v>482228234</v>
      </c>
      <c r="D27" s="69">
        <f t="shared" si="5"/>
        <v>33486581</v>
      </c>
      <c r="E27" s="69">
        <f t="shared" si="5"/>
        <v>-8323651</v>
      </c>
      <c r="F27" s="69">
        <f t="shared" si="5"/>
        <v>49340119</v>
      </c>
      <c r="G27" s="69">
        <f t="shared" si="5"/>
        <v>-104515655</v>
      </c>
      <c r="H27" s="69">
        <f t="shared" si="5"/>
        <v>-57359761</v>
      </c>
      <c r="I27" s="69">
        <f t="shared" si="5"/>
        <v>-88367327</v>
      </c>
      <c r="J27" s="69">
        <f t="shared" si="5"/>
        <v>-47037000</v>
      </c>
      <c r="K27" s="69">
        <f t="shared" si="5"/>
        <v>-28812387</v>
      </c>
      <c r="L27" s="69">
        <f t="shared" si="5"/>
        <v>-73824586</v>
      </c>
      <c r="M27" s="69">
        <f t="shared" si="5"/>
        <v>-64490886</v>
      </c>
      <c r="N27" s="69">
        <f t="shared" si="5"/>
        <v>-92323681</v>
      </c>
      <c r="O27" s="70">
        <f t="shared" si="5"/>
        <v>0</v>
      </c>
    </row>
    <row r="28" spans="1:17" x14ac:dyDescent="0.25">
      <c r="A28" s="72"/>
    </row>
    <row r="29" spans="1:17" x14ac:dyDescent="0.25">
      <c r="B29" s="73"/>
      <c r="C29" s="74"/>
      <c r="D29" s="74"/>
      <c r="O29" s="71"/>
    </row>
    <row r="30" spans="1:17" x14ac:dyDescent="0.25">
      <c r="O30" s="71"/>
    </row>
    <row r="31" spans="1:17" x14ac:dyDescent="0.25">
      <c r="O31" s="71"/>
    </row>
    <row r="32" spans="1:17" x14ac:dyDescent="0.25">
      <c r="O32" s="71"/>
    </row>
    <row r="33" spans="15:15" x14ac:dyDescent="0.25">
      <c r="O33" s="71"/>
    </row>
    <row r="34" spans="15:15" x14ac:dyDescent="0.25">
      <c r="O34" s="71"/>
    </row>
    <row r="35" spans="15:15" x14ac:dyDescent="0.25">
      <c r="O35" s="71"/>
    </row>
    <row r="36" spans="15:15" x14ac:dyDescent="0.25">
      <c r="O36" s="71"/>
    </row>
    <row r="37" spans="15:15" x14ac:dyDescent="0.25">
      <c r="O37" s="71"/>
    </row>
    <row r="38" spans="15:15" x14ac:dyDescent="0.25">
      <c r="O38" s="71"/>
    </row>
    <row r="39" spans="15:15" x14ac:dyDescent="0.25">
      <c r="O39" s="71"/>
    </row>
    <row r="40" spans="15:15" x14ac:dyDescent="0.25">
      <c r="O40" s="71"/>
    </row>
    <row r="41" spans="15:15" x14ac:dyDescent="0.25">
      <c r="O41" s="71"/>
    </row>
    <row r="42" spans="15:15" x14ac:dyDescent="0.25">
      <c r="O42" s="71"/>
    </row>
    <row r="43" spans="15:15" x14ac:dyDescent="0.25">
      <c r="O43" s="71"/>
    </row>
    <row r="44" spans="15:15" x14ac:dyDescent="0.25">
      <c r="O44" s="71"/>
    </row>
    <row r="45" spans="15:15" x14ac:dyDescent="0.25">
      <c r="O45" s="71"/>
    </row>
    <row r="46" spans="15:15" x14ac:dyDescent="0.25">
      <c r="O46" s="71"/>
    </row>
    <row r="47" spans="15:15" x14ac:dyDescent="0.25">
      <c r="O47" s="71"/>
    </row>
    <row r="48" spans="15:15" x14ac:dyDescent="0.25">
      <c r="O48" s="71"/>
    </row>
    <row r="49" spans="15:15" x14ac:dyDescent="0.25">
      <c r="O49" s="71"/>
    </row>
    <row r="50" spans="15:15" x14ac:dyDescent="0.25">
      <c r="O50" s="71"/>
    </row>
    <row r="51" spans="15:15" x14ac:dyDescent="0.25">
      <c r="O51" s="71"/>
    </row>
    <row r="52" spans="15:15" x14ac:dyDescent="0.25">
      <c r="O52" s="71"/>
    </row>
    <row r="53" spans="15:15" x14ac:dyDescent="0.25">
      <c r="O53" s="71"/>
    </row>
    <row r="54" spans="15:15" x14ac:dyDescent="0.25">
      <c r="O54" s="71"/>
    </row>
    <row r="55" spans="15:15" x14ac:dyDescent="0.25">
      <c r="O55" s="71"/>
    </row>
    <row r="56" spans="15:15" x14ac:dyDescent="0.25">
      <c r="O56" s="71"/>
    </row>
    <row r="57" spans="15:15" x14ac:dyDescent="0.25">
      <c r="O57" s="71"/>
    </row>
    <row r="58" spans="15:15" x14ac:dyDescent="0.25">
      <c r="O58" s="71"/>
    </row>
    <row r="59" spans="15:15" x14ac:dyDescent="0.25">
      <c r="O59" s="71"/>
    </row>
    <row r="60" spans="15:15" x14ac:dyDescent="0.25">
      <c r="O60" s="71"/>
    </row>
    <row r="61" spans="15:15" x14ac:dyDescent="0.25">
      <c r="O61" s="71"/>
    </row>
    <row r="62" spans="15:15" x14ac:dyDescent="0.25">
      <c r="O62" s="71"/>
    </row>
    <row r="63" spans="15:15" x14ac:dyDescent="0.25">
      <c r="O63" s="71"/>
    </row>
    <row r="64" spans="15:15" x14ac:dyDescent="0.25">
      <c r="O64" s="71"/>
    </row>
    <row r="65" spans="15:15" x14ac:dyDescent="0.25">
      <c r="O65" s="71"/>
    </row>
    <row r="66" spans="15:15" x14ac:dyDescent="0.25">
      <c r="O66" s="71"/>
    </row>
    <row r="67" spans="15:15" x14ac:dyDescent="0.25">
      <c r="O67" s="71"/>
    </row>
    <row r="68" spans="15:15" x14ac:dyDescent="0.25">
      <c r="O68" s="71"/>
    </row>
    <row r="69" spans="15:15" x14ac:dyDescent="0.25">
      <c r="O69" s="71"/>
    </row>
    <row r="70" spans="15:15" x14ac:dyDescent="0.25">
      <c r="O70" s="71"/>
    </row>
    <row r="71" spans="15:15" x14ac:dyDescent="0.25">
      <c r="O71" s="71"/>
    </row>
    <row r="72" spans="15:15" x14ac:dyDescent="0.25">
      <c r="O72" s="71"/>
    </row>
    <row r="73" spans="15:15" x14ac:dyDescent="0.25">
      <c r="O73" s="71"/>
    </row>
    <row r="74" spans="15:15" x14ac:dyDescent="0.25">
      <c r="O74" s="71"/>
    </row>
    <row r="75" spans="15:15" x14ac:dyDescent="0.25">
      <c r="O75" s="71"/>
    </row>
    <row r="76" spans="15:15" x14ac:dyDescent="0.25">
      <c r="O76" s="71"/>
    </row>
    <row r="77" spans="15:15" x14ac:dyDescent="0.25">
      <c r="O77" s="71"/>
    </row>
    <row r="78" spans="15:15" x14ac:dyDescent="0.25">
      <c r="O78" s="71"/>
    </row>
    <row r="79" spans="15:15" x14ac:dyDescent="0.25">
      <c r="O79" s="71"/>
    </row>
    <row r="80" spans="15:15" x14ac:dyDescent="0.25">
      <c r="O80" s="71"/>
    </row>
    <row r="81" spans="15:15" x14ac:dyDescent="0.25">
      <c r="O81" s="71"/>
    </row>
    <row r="82" spans="15:15" x14ac:dyDescent="0.25">
      <c r="O82" s="71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29. melléklet a 17/2018.(VII.27.)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00" zoomScaleSheetLayoutView="100" workbookViewId="0">
      <selection activeCell="J3" sqref="J3"/>
    </sheetView>
  </sheetViews>
  <sheetFormatPr defaultRowHeight="15.75" x14ac:dyDescent="0.25"/>
  <cols>
    <col min="1" max="1" width="9.5" style="208" customWidth="1"/>
    <col min="2" max="2" width="83.83203125" style="208" customWidth="1"/>
    <col min="3" max="3" width="21.6640625" style="209" customWidth="1"/>
    <col min="4" max="4" width="19.33203125" style="219" hidden="1" customWidth="1"/>
    <col min="5" max="5" width="15.83203125" style="219" hidden="1" customWidth="1"/>
    <col min="6" max="6" width="15.33203125" style="219" hidden="1" customWidth="1"/>
    <col min="7" max="16384" width="9.33203125" style="219"/>
  </cols>
  <sheetData>
    <row r="1" spans="1:6" ht="15.95" customHeight="1" x14ac:dyDescent="0.25">
      <c r="A1" s="1003" t="s">
        <v>20</v>
      </c>
      <c r="B1" s="1003"/>
      <c r="C1" s="1003"/>
    </row>
    <row r="2" spans="1:6" ht="15.95" customHeight="1" thickBot="1" x14ac:dyDescent="0.3">
      <c r="A2" s="1006"/>
      <c r="B2" s="1006"/>
      <c r="C2" s="146" t="s">
        <v>598</v>
      </c>
    </row>
    <row r="3" spans="1:6" ht="38.1" customHeight="1" thickBot="1" x14ac:dyDescent="0.3">
      <c r="A3" s="22" t="s">
        <v>74</v>
      </c>
      <c r="B3" s="23" t="s">
        <v>22</v>
      </c>
      <c r="C3" s="35" t="s">
        <v>622</v>
      </c>
      <c r="D3" s="208" t="s">
        <v>606</v>
      </c>
      <c r="E3" s="208" t="s">
        <v>607</v>
      </c>
      <c r="F3" s="208" t="s">
        <v>608</v>
      </c>
    </row>
    <row r="4" spans="1:6" s="220" customFormat="1" ht="12" customHeight="1" thickBot="1" x14ac:dyDescent="0.25">
      <c r="A4" s="214" t="s">
        <v>471</v>
      </c>
      <c r="B4" s="215" t="s">
        <v>472</v>
      </c>
      <c r="C4" s="216" t="s">
        <v>473</v>
      </c>
    </row>
    <row r="5" spans="1:6" s="221" customFormat="1" ht="12" customHeight="1" thickBot="1" x14ac:dyDescent="0.25">
      <c r="A5" s="19" t="s">
        <v>23</v>
      </c>
      <c r="B5" s="20" t="s">
        <v>189</v>
      </c>
      <c r="C5" s="142">
        <f t="shared" ref="C5:C68" si="0">SUM(D5:F5)</f>
        <v>196543899</v>
      </c>
      <c r="D5" s="319">
        <f>+D6+D7+D8+D9+D10+D11</f>
        <v>196543899</v>
      </c>
      <c r="E5" s="137">
        <f>+E6+E7+E8+E9+E10+E11</f>
        <v>0</v>
      </c>
      <c r="F5" s="137">
        <f>+F6+F7+F8+F9+F10+F11</f>
        <v>0</v>
      </c>
    </row>
    <row r="6" spans="1:6" s="221" customFormat="1" ht="12" customHeight="1" x14ac:dyDescent="0.2">
      <c r="A6" s="14" t="s">
        <v>99</v>
      </c>
      <c r="B6" s="222" t="s">
        <v>190</v>
      </c>
      <c r="C6" s="362">
        <f t="shared" si="0"/>
        <v>0</v>
      </c>
      <c r="D6" s="321"/>
      <c r="E6" s="260"/>
      <c r="F6" s="139"/>
    </row>
    <row r="7" spans="1:6" s="221" customFormat="1" ht="12" customHeight="1" x14ac:dyDescent="0.2">
      <c r="A7" s="13" t="s">
        <v>100</v>
      </c>
      <c r="B7" s="223" t="s">
        <v>191</v>
      </c>
      <c r="C7" s="363">
        <f t="shared" si="0"/>
        <v>0</v>
      </c>
      <c r="D7" s="125"/>
      <c r="E7" s="141"/>
      <c r="F7" s="138"/>
    </row>
    <row r="8" spans="1:6" s="221" customFormat="1" ht="12" customHeight="1" x14ac:dyDescent="0.2">
      <c r="A8" s="13" t="s">
        <v>101</v>
      </c>
      <c r="B8" s="223" t="s">
        <v>588</v>
      </c>
      <c r="C8" s="499">
        <f t="shared" si="0"/>
        <v>183206813</v>
      </c>
      <c r="D8" s="125">
        <f>119410000+63796813</f>
        <v>183206813</v>
      </c>
      <c r="E8" s="141"/>
      <c r="F8" s="138"/>
    </row>
    <row r="9" spans="1:6" s="221" customFormat="1" ht="12" customHeight="1" x14ac:dyDescent="0.2">
      <c r="A9" s="13" t="s">
        <v>102</v>
      </c>
      <c r="B9" s="223" t="s">
        <v>193</v>
      </c>
      <c r="C9" s="363">
        <f t="shared" si="0"/>
        <v>12622000</v>
      </c>
      <c r="D9" s="125">
        <v>12622000</v>
      </c>
      <c r="E9" s="141"/>
      <c r="F9" s="138"/>
    </row>
    <row r="10" spans="1:6" s="221" customFormat="1" ht="12" customHeight="1" x14ac:dyDescent="0.2">
      <c r="A10" s="13" t="s">
        <v>125</v>
      </c>
      <c r="B10" s="133" t="s">
        <v>474</v>
      </c>
      <c r="C10" s="499">
        <f t="shared" si="0"/>
        <v>715086</v>
      </c>
      <c r="D10" s="296">
        <f>63796813+715086-63796813</f>
        <v>715086</v>
      </c>
      <c r="E10" s="141"/>
      <c r="F10" s="141"/>
    </row>
    <row r="11" spans="1:6" s="221" customFormat="1" ht="12" customHeight="1" thickBot="1" x14ac:dyDescent="0.25">
      <c r="A11" s="15" t="s">
        <v>103</v>
      </c>
      <c r="B11" s="134" t="s">
        <v>475</v>
      </c>
      <c r="C11" s="364">
        <f t="shared" si="0"/>
        <v>0</v>
      </c>
      <c r="D11" s="125"/>
      <c r="E11" s="138"/>
      <c r="F11" s="138"/>
    </row>
    <row r="12" spans="1:6" s="221" customFormat="1" ht="12" customHeight="1" thickBot="1" x14ac:dyDescent="0.25">
      <c r="A12" s="19" t="s">
        <v>24</v>
      </c>
      <c r="B12" s="132" t="s">
        <v>194</v>
      </c>
      <c r="C12" s="142">
        <f t="shared" si="0"/>
        <v>146940098</v>
      </c>
      <c r="D12" s="319">
        <f>+D13+D14+D15+D16+D17</f>
        <v>127427563</v>
      </c>
      <c r="E12" s="137">
        <f>+E13+E14+E15+E16+E17</f>
        <v>0</v>
      </c>
      <c r="F12" s="137">
        <f>+F13+F14+F15+F16+F17</f>
        <v>19512535</v>
      </c>
    </row>
    <row r="13" spans="1:6" s="221" customFormat="1" ht="12" customHeight="1" x14ac:dyDescent="0.2">
      <c r="A13" s="14" t="s">
        <v>105</v>
      </c>
      <c r="B13" s="222" t="s">
        <v>195</v>
      </c>
      <c r="C13" s="362">
        <f t="shared" si="0"/>
        <v>0</v>
      </c>
      <c r="D13" s="321"/>
      <c r="E13" s="139"/>
      <c r="F13" s="139"/>
    </row>
    <row r="14" spans="1:6" s="221" customFormat="1" ht="12" customHeight="1" x14ac:dyDescent="0.2">
      <c r="A14" s="13" t="s">
        <v>106</v>
      </c>
      <c r="B14" s="223" t="s">
        <v>196</v>
      </c>
      <c r="C14" s="363">
        <f t="shared" si="0"/>
        <v>0</v>
      </c>
      <c r="D14" s="125"/>
      <c r="E14" s="138"/>
      <c r="F14" s="138"/>
    </row>
    <row r="15" spans="1:6" s="221" customFormat="1" ht="12" customHeight="1" x14ac:dyDescent="0.2">
      <c r="A15" s="13" t="s">
        <v>107</v>
      </c>
      <c r="B15" s="223" t="s">
        <v>365</v>
      </c>
      <c r="C15" s="363">
        <f t="shared" si="0"/>
        <v>0</v>
      </c>
      <c r="D15" s="125"/>
      <c r="E15" s="138"/>
      <c r="F15" s="138"/>
    </row>
    <row r="16" spans="1:6" s="221" customFormat="1" ht="12" customHeight="1" x14ac:dyDescent="0.2">
      <c r="A16" s="13" t="s">
        <v>108</v>
      </c>
      <c r="B16" s="223" t="s">
        <v>366</v>
      </c>
      <c r="C16" s="363">
        <f t="shared" si="0"/>
        <v>0</v>
      </c>
      <c r="D16" s="125"/>
      <c r="E16" s="138"/>
      <c r="F16" s="138"/>
    </row>
    <row r="17" spans="1:6" s="221" customFormat="1" ht="12" customHeight="1" x14ac:dyDescent="0.2">
      <c r="A17" s="13" t="s">
        <v>109</v>
      </c>
      <c r="B17" s="223" t="s">
        <v>197</v>
      </c>
      <c r="C17" s="499">
        <f t="shared" si="0"/>
        <v>146940098</v>
      </c>
      <c r="D17" s="296">
        <f>3900000+125887110-4353475+1978928+15000</f>
        <v>127427563</v>
      </c>
      <c r="E17" s="298"/>
      <c r="F17" s="141">
        <v>19512535</v>
      </c>
    </row>
    <row r="18" spans="1:6" s="221" customFormat="1" ht="12" customHeight="1" thickBot="1" x14ac:dyDescent="0.25">
      <c r="A18" s="15" t="s">
        <v>118</v>
      </c>
      <c r="B18" s="134" t="s">
        <v>198</v>
      </c>
      <c r="C18" s="364">
        <f t="shared" si="0"/>
        <v>399535</v>
      </c>
      <c r="D18" s="300"/>
      <c r="E18" s="211"/>
      <c r="F18" s="211">
        <v>399535</v>
      </c>
    </row>
    <row r="19" spans="1:6" s="221" customFormat="1" ht="12" customHeight="1" thickBot="1" x14ac:dyDescent="0.25">
      <c r="A19" s="19" t="s">
        <v>25</v>
      </c>
      <c r="B19" s="20" t="s">
        <v>199</v>
      </c>
      <c r="C19" s="142">
        <f t="shared" si="0"/>
        <v>4353475</v>
      </c>
      <c r="D19" s="319">
        <f>+D20+D21+D22+D23+D24</f>
        <v>4353475</v>
      </c>
      <c r="E19" s="137">
        <f>+E20+E21+E22+E23+E24</f>
        <v>0</v>
      </c>
      <c r="F19" s="137">
        <f>+F20+F21+F22+F23+F24</f>
        <v>0</v>
      </c>
    </row>
    <row r="20" spans="1:6" s="221" customFormat="1" ht="12" customHeight="1" x14ac:dyDescent="0.2">
      <c r="A20" s="14" t="s">
        <v>88</v>
      </c>
      <c r="B20" s="222" t="s">
        <v>200</v>
      </c>
      <c r="C20" s="362">
        <f t="shared" si="0"/>
        <v>0</v>
      </c>
      <c r="D20" s="321"/>
      <c r="E20" s="295"/>
      <c r="F20" s="139"/>
    </row>
    <row r="21" spans="1:6" s="221" customFormat="1" ht="12" customHeight="1" x14ac:dyDescent="0.2">
      <c r="A21" s="13" t="s">
        <v>89</v>
      </c>
      <c r="B21" s="223" t="s">
        <v>201</v>
      </c>
      <c r="C21" s="363">
        <f t="shared" si="0"/>
        <v>0</v>
      </c>
      <c r="D21" s="125"/>
      <c r="E21" s="141"/>
      <c r="F21" s="138"/>
    </row>
    <row r="22" spans="1:6" s="221" customFormat="1" ht="12" customHeight="1" x14ac:dyDescent="0.2">
      <c r="A22" s="13" t="s">
        <v>90</v>
      </c>
      <c r="B22" s="223" t="s">
        <v>367</v>
      </c>
      <c r="C22" s="363">
        <f t="shared" si="0"/>
        <v>0</v>
      </c>
      <c r="D22" s="125"/>
      <c r="E22" s="141"/>
      <c r="F22" s="138"/>
    </row>
    <row r="23" spans="1:6" s="221" customFormat="1" ht="12" customHeight="1" x14ac:dyDescent="0.2">
      <c r="A23" s="13" t="s">
        <v>91</v>
      </c>
      <c r="B23" s="223" t="s">
        <v>368</v>
      </c>
      <c r="C23" s="363">
        <f t="shared" si="0"/>
        <v>0</v>
      </c>
      <c r="D23" s="125"/>
      <c r="E23" s="141"/>
      <c r="F23" s="138"/>
    </row>
    <row r="24" spans="1:6" s="221" customFormat="1" ht="12" customHeight="1" x14ac:dyDescent="0.2">
      <c r="A24" s="13" t="s">
        <v>136</v>
      </c>
      <c r="B24" s="223" t="s">
        <v>202</v>
      </c>
      <c r="C24" s="363">
        <f t="shared" si="0"/>
        <v>4353475</v>
      </c>
      <c r="D24" s="296">
        <v>4353475</v>
      </c>
      <c r="E24" s="141"/>
      <c r="F24" s="141"/>
    </row>
    <row r="25" spans="1:6" s="221" customFormat="1" ht="12" customHeight="1" thickBot="1" x14ac:dyDescent="0.25">
      <c r="A25" s="15" t="s">
        <v>137</v>
      </c>
      <c r="B25" s="224" t="s">
        <v>203</v>
      </c>
      <c r="C25" s="364">
        <f t="shared" si="0"/>
        <v>0</v>
      </c>
      <c r="D25" s="300"/>
      <c r="E25" s="211"/>
      <c r="F25" s="211"/>
    </row>
    <row r="26" spans="1:6" s="221" customFormat="1" ht="12" customHeight="1" thickBot="1" x14ac:dyDescent="0.25">
      <c r="A26" s="19" t="s">
        <v>138</v>
      </c>
      <c r="B26" s="20" t="s">
        <v>204</v>
      </c>
      <c r="C26" s="297">
        <f t="shared" si="0"/>
        <v>0</v>
      </c>
      <c r="D26" s="322">
        <f>+D27+D31+D32+D33</f>
        <v>0</v>
      </c>
      <c r="E26" s="142">
        <f>+E27+E31+E32+E33</f>
        <v>0</v>
      </c>
      <c r="F26" s="142">
        <f>+F27+F31+F32+F33</f>
        <v>0</v>
      </c>
    </row>
    <row r="27" spans="1:6" s="221" customFormat="1" ht="12" customHeight="1" x14ac:dyDescent="0.2">
      <c r="A27" s="14" t="s">
        <v>205</v>
      </c>
      <c r="B27" s="222" t="s">
        <v>476</v>
      </c>
      <c r="C27" s="362">
        <f t="shared" si="0"/>
        <v>0</v>
      </c>
      <c r="D27" s="352">
        <f>+D28+D29+D30</f>
        <v>0</v>
      </c>
      <c r="E27" s="217"/>
      <c r="F27" s="217">
        <f>+F28+F29+F30</f>
        <v>0</v>
      </c>
    </row>
    <row r="28" spans="1:6" s="221" customFormat="1" ht="12" customHeight="1" x14ac:dyDescent="0.2">
      <c r="A28" s="13" t="s">
        <v>206</v>
      </c>
      <c r="B28" s="223" t="s">
        <v>211</v>
      </c>
      <c r="C28" s="363">
        <f t="shared" si="0"/>
        <v>0</v>
      </c>
      <c r="D28" s="125"/>
      <c r="E28" s="138"/>
      <c r="F28" s="138"/>
    </row>
    <row r="29" spans="1:6" s="221" customFormat="1" ht="12" customHeight="1" x14ac:dyDescent="0.2">
      <c r="A29" s="13" t="s">
        <v>207</v>
      </c>
      <c r="B29" s="223" t="s">
        <v>212</v>
      </c>
      <c r="C29" s="363">
        <f t="shared" si="0"/>
        <v>0</v>
      </c>
      <c r="D29" s="125"/>
      <c r="E29" s="138"/>
      <c r="F29" s="138"/>
    </row>
    <row r="30" spans="1:6" s="221" customFormat="1" ht="12" customHeight="1" x14ac:dyDescent="0.2">
      <c r="A30" s="13" t="s">
        <v>477</v>
      </c>
      <c r="B30" s="278" t="s">
        <v>478</v>
      </c>
      <c r="C30" s="363">
        <f t="shared" si="0"/>
        <v>0</v>
      </c>
      <c r="D30" s="125"/>
      <c r="E30" s="141"/>
      <c r="F30" s="138"/>
    </row>
    <row r="31" spans="1:6" s="221" customFormat="1" ht="12" customHeight="1" x14ac:dyDescent="0.2">
      <c r="A31" s="13" t="s">
        <v>208</v>
      </c>
      <c r="B31" s="223" t="s">
        <v>213</v>
      </c>
      <c r="C31" s="363">
        <f t="shared" si="0"/>
        <v>0</v>
      </c>
      <c r="D31" s="125"/>
      <c r="E31" s="138"/>
      <c r="F31" s="138"/>
    </row>
    <row r="32" spans="1:6" s="221" customFormat="1" ht="12" customHeight="1" x14ac:dyDescent="0.2">
      <c r="A32" s="13" t="s">
        <v>209</v>
      </c>
      <c r="B32" s="223" t="s">
        <v>214</v>
      </c>
      <c r="C32" s="363">
        <f t="shared" si="0"/>
        <v>0</v>
      </c>
      <c r="D32" s="125"/>
      <c r="E32" s="138"/>
      <c r="F32" s="138"/>
    </row>
    <row r="33" spans="1:6" s="221" customFormat="1" ht="12" customHeight="1" thickBot="1" x14ac:dyDescent="0.25">
      <c r="A33" s="15" t="s">
        <v>210</v>
      </c>
      <c r="B33" s="224" t="s">
        <v>215</v>
      </c>
      <c r="C33" s="364">
        <f t="shared" si="0"/>
        <v>0</v>
      </c>
      <c r="D33" s="126"/>
      <c r="E33" s="211"/>
      <c r="F33" s="140"/>
    </row>
    <row r="34" spans="1:6" s="221" customFormat="1" ht="12" customHeight="1" thickBot="1" x14ac:dyDescent="0.25">
      <c r="A34" s="19" t="s">
        <v>27</v>
      </c>
      <c r="B34" s="20" t="s">
        <v>479</v>
      </c>
      <c r="C34" s="142">
        <f t="shared" si="0"/>
        <v>195747886</v>
      </c>
      <c r="D34" s="319">
        <f>SUM(D35:D45)</f>
        <v>17177250</v>
      </c>
      <c r="E34" s="137">
        <f>SUM(E35:E45)</f>
        <v>3646250</v>
      </c>
      <c r="F34" s="137">
        <f>SUM(F35:F45)</f>
        <v>174924386</v>
      </c>
    </row>
    <row r="35" spans="1:6" s="221" customFormat="1" ht="12" customHeight="1" x14ac:dyDescent="0.2">
      <c r="A35" s="14" t="s">
        <v>92</v>
      </c>
      <c r="B35" s="222" t="s">
        <v>218</v>
      </c>
      <c r="C35" s="362">
        <f t="shared" si="0"/>
        <v>12159000</v>
      </c>
      <c r="D35" s="321">
        <v>12159000</v>
      </c>
      <c r="E35" s="260"/>
      <c r="F35" s="139"/>
    </row>
    <row r="36" spans="1:6" s="221" customFormat="1" ht="12" customHeight="1" x14ac:dyDescent="0.2">
      <c r="A36" s="13" t="s">
        <v>93</v>
      </c>
      <c r="B36" s="223" t="s">
        <v>219</v>
      </c>
      <c r="C36" s="363">
        <f t="shared" si="0"/>
        <v>8730783</v>
      </c>
      <c r="D36" s="296">
        <v>62992</v>
      </c>
      <c r="E36" s="141">
        <f>500000+2371063</f>
        <v>2871063</v>
      </c>
      <c r="F36" s="139">
        <v>5796728</v>
      </c>
    </row>
    <row r="37" spans="1:6" s="221" customFormat="1" ht="12" customHeight="1" x14ac:dyDescent="0.2">
      <c r="A37" s="13" t="s">
        <v>94</v>
      </c>
      <c r="B37" s="223" t="s">
        <v>220</v>
      </c>
      <c r="C37" s="363">
        <f t="shared" si="0"/>
        <v>12700000</v>
      </c>
      <c r="D37" s="296"/>
      <c r="E37" s="141"/>
      <c r="F37" s="139">
        <v>12700000</v>
      </c>
    </row>
    <row r="38" spans="1:6" s="221" customFormat="1" ht="12" customHeight="1" x14ac:dyDescent="0.2">
      <c r="A38" s="13" t="s">
        <v>140</v>
      </c>
      <c r="B38" s="223" t="s">
        <v>221</v>
      </c>
      <c r="C38" s="363">
        <f t="shared" si="0"/>
        <v>0</v>
      </c>
      <c r="D38" s="125"/>
      <c r="E38" s="141"/>
      <c r="F38" s="139"/>
    </row>
    <row r="39" spans="1:6" s="221" customFormat="1" ht="12" customHeight="1" x14ac:dyDescent="0.2">
      <c r="A39" s="13" t="s">
        <v>141</v>
      </c>
      <c r="B39" s="223" t="s">
        <v>222</v>
      </c>
      <c r="C39" s="499">
        <f t="shared" si="0"/>
        <v>153919035</v>
      </c>
      <c r="D39" s="125"/>
      <c r="E39" s="141"/>
      <c r="F39" s="139">
        <f>157919035-4000000</f>
        <v>153919035</v>
      </c>
    </row>
    <row r="40" spans="1:6" s="221" customFormat="1" ht="12" customHeight="1" x14ac:dyDescent="0.2">
      <c r="A40" s="13" t="s">
        <v>142</v>
      </c>
      <c r="B40" s="223" t="s">
        <v>223</v>
      </c>
      <c r="C40" s="363">
        <f t="shared" si="0"/>
        <v>6583818</v>
      </c>
      <c r="D40" s="125">
        <f>3283000+17008</f>
        <v>3300008</v>
      </c>
      <c r="E40" s="141">
        <f>135000+640187</f>
        <v>775187</v>
      </c>
      <c r="F40" s="139">
        <v>2508623</v>
      </c>
    </row>
    <row r="41" spans="1:6" s="221" customFormat="1" ht="12" customHeight="1" x14ac:dyDescent="0.2">
      <c r="A41" s="13" t="s">
        <v>143</v>
      </c>
      <c r="B41" s="223" t="s">
        <v>224</v>
      </c>
      <c r="C41" s="363">
        <f t="shared" si="0"/>
        <v>0</v>
      </c>
      <c r="D41" s="125"/>
      <c r="E41" s="141"/>
      <c r="F41" s="139"/>
    </row>
    <row r="42" spans="1:6" s="221" customFormat="1" ht="12" customHeight="1" x14ac:dyDescent="0.2">
      <c r="A42" s="13" t="s">
        <v>144</v>
      </c>
      <c r="B42" s="223" t="s">
        <v>585</v>
      </c>
      <c r="C42" s="363">
        <f t="shared" si="0"/>
        <v>0</v>
      </c>
      <c r="D42" s="125"/>
      <c r="E42" s="141"/>
      <c r="F42" s="141"/>
    </row>
    <row r="43" spans="1:6" s="221" customFormat="1" ht="12" customHeight="1" x14ac:dyDescent="0.2">
      <c r="A43" s="13" t="s">
        <v>216</v>
      </c>
      <c r="B43" s="223" t="s">
        <v>226</v>
      </c>
      <c r="C43" s="363">
        <f t="shared" si="0"/>
        <v>0</v>
      </c>
      <c r="D43" s="296"/>
      <c r="E43" s="141"/>
      <c r="F43" s="141"/>
    </row>
    <row r="44" spans="1:6" s="221" customFormat="1" ht="12" customHeight="1" x14ac:dyDescent="0.2">
      <c r="A44" s="15" t="s">
        <v>217</v>
      </c>
      <c r="B44" s="224" t="s">
        <v>480</v>
      </c>
      <c r="C44" s="363">
        <f t="shared" si="0"/>
        <v>0</v>
      </c>
      <c r="D44" s="300"/>
      <c r="E44" s="211"/>
      <c r="F44" s="211"/>
    </row>
    <row r="45" spans="1:6" s="221" customFormat="1" ht="12" customHeight="1" thickBot="1" x14ac:dyDescent="0.25">
      <c r="A45" s="15" t="s">
        <v>481</v>
      </c>
      <c r="B45" s="134" t="s">
        <v>227</v>
      </c>
      <c r="C45" s="364">
        <f t="shared" si="0"/>
        <v>1655250</v>
      </c>
      <c r="D45" s="300">
        <f>60000+1595250</f>
        <v>1655250</v>
      </c>
      <c r="E45" s="211"/>
      <c r="F45" s="211"/>
    </row>
    <row r="46" spans="1:6" s="221" customFormat="1" ht="12" customHeight="1" thickBot="1" x14ac:dyDescent="0.25">
      <c r="A46" s="19" t="s">
        <v>28</v>
      </c>
      <c r="B46" s="20" t="s">
        <v>228</v>
      </c>
      <c r="C46" s="142">
        <f t="shared" si="0"/>
        <v>0</v>
      </c>
      <c r="D46" s="319">
        <f>SUM(D47:D51)</f>
        <v>0</v>
      </c>
      <c r="E46" s="137">
        <f>SUM(E47:E51)</f>
        <v>0</v>
      </c>
      <c r="F46" s="137">
        <f>SUM(F47:F51)</f>
        <v>0</v>
      </c>
    </row>
    <row r="47" spans="1:6" s="221" customFormat="1" ht="12" customHeight="1" x14ac:dyDescent="0.2">
      <c r="A47" s="14" t="s">
        <v>95</v>
      </c>
      <c r="B47" s="222" t="s">
        <v>232</v>
      </c>
      <c r="C47" s="362">
        <f t="shared" si="0"/>
        <v>0</v>
      </c>
      <c r="D47" s="325"/>
      <c r="E47" s="260"/>
      <c r="F47" s="260"/>
    </row>
    <row r="48" spans="1:6" s="221" customFormat="1" ht="12" customHeight="1" x14ac:dyDescent="0.2">
      <c r="A48" s="13" t="s">
        <v>96</v>
      </c>
      <c r="B48" s="223" t="s">
        <v>233</v>
      </c>
      <c r="C48" s="363">
        <f t="shared" si="0"/>
        <v>0</v>
      </c>
      <c r="D48" s="296"/>
      <c r="E48" s="141"/>
      <c r="F48" s="141"/>
    </row>
    <row r="49" spans="1:6" s="221" customFormat="1" ht="12" customHeight="1" x14ac:dyDescent="0.2">
      <c r="A49" s="13" t="s">
        <v>229</v>
      </c>
      <c r="B49" s="223" t="s">
        <v>234</v>
      </c>
      <c r="C49" s="363">
        <f t="shared" si="0"/>
        <v>0</v>
      </c>
      <c r="D49" s="296"/>
      <c r="E49" s="141"/>
      <c r="F49" s="141"/>
    </row>
    <row r="50" spans="1:6" s="221" customFormat="1" ht="12" customHeight="1" x14ac:dyDescent="0.2">
      <c r="A50" s="13" t="s">
        <v>230</v>
      </c>
      <c r="B50" s="223" t="s">
        <v>235</v>
      </c>
      <c r="C50" s="363">
        <f t="shared" si="0"/>
        <v>0</v>
      </c>
      <c r="D50" s="296"/>
      <c r="E50" s="141"/>
      <c r="F50" s="141"/>
    </row>
    <row r="51" spans="1:6" s="221" customFormat="1" ht="12" customHeight="1" thickBot="1" x14ac:dyDescent="0.25">
      <c r="A51" s="15" t="s">
        <v>231</v>
      </c>
      <c r="B51" s="134" t="s">
        <v>236</v>
      </c>
      <c r="C51" s="364">
        <f t="shared" si="0"/>
        <v>0</v>
      </c>
      <c r="D51" s="300"/>
      <c r="E51" s="211"/>
      <c r="F51" s="211"/>
    </row>
    <row r="52" spans="1:6" s="221" customFormat="1" ht="12" customHeight="1" thickBot="1" x14ac:dyDescent="0.25">
      <c r="A52" s="19" t="s">
        <v>145</v>
      </c>
      <c r="B52" s="20" t="s">
        <v>237</v>
      </c>
      <c r="C52" s="142">
        <f t="shared" si="0"/>
        <v>2274000</v>
      </c>
      <c r="D52" s="319">
        <f>SUM(D53:D55)</f>
        <v>2274000</v>
      </c>
      <c r="E52" s="137">
        <f>SUM(E53:E55)</f>
        <v>0</v>
      </c>
      <c r="F52" s="137">
        <f>SUM(F53:F55)</f>
        <v>0</v>
      </c>
    </row>
    <row r="53" spans="1:6" s="221" customFormat="1" ht="12" customHeight="1" x14ac:dyDescent="0.2">
      <c r="A53" s="14" t="s">
        <v>97</v>
      </c>
      <c r="B53" s="222" t="s">
        <v>238</v>
      </c>
      <c r="C53" s="362">
        <f t="shared" si="0"/>
        <v>0</v>
      </c>
      <c r="D53" s="321"/>
      <c r="E53" s="139"/>
      <c r="F53" s="139"/>
    </row>
    <row r="54" spans="1:6" s="221" customFormat="1" ht="12" customHeight="1" x14ac:dyDescent="0.2">
      <c r="A54" s="13" t="s">
        <v>98</v>
      </c>
      <c r="B54" s="223" t="s">
        <v>369</v>
      </c>
      <c r="C54" s="363">
        <f t="shared" si="0"/>
        <v>1866000</v>
      </c>
      <c r="D54" s="296">
        <f>300000+1566000</f>
        <v>1866000</v>
      </c>
      <c r="E54" s="141"/>
      <c r="F54" s="141"/>
    </row>
    <row r="55" spans="1:6" s="221" customFormat="1" ht="12" customHeight="1" x14ac:dyDescent="0.2">
      <c r="A55" s="13" t="s">
        <v>241</v>
      </c>
      <c r="B55" s="223" t="s">
        <v>239</v>
      </c>
      <c r="C55" s="499">
        <f t="shared" si="0"/>
        <v>408000</v>
      </c>
      <c r="D55" s="296">
        <v>408000</v>
      </c>
      <c r="E55" s="141"/>
      <c r="F55" s="141"/>
    </row>
    <row r="56" spans="1:6" s="221" customFormat="1" ht="12" customHeight="1" thickBot="1" x14ac:dyDescent="0.25">
      <c r="A56" s="15" t="s">
        <v>242</v>
      </c>
      <c r="B56" s="134" t="s">
        <v>240</v>
      </c>
      <c r="C56" s="364">
        <f t="shared" si="0"/>
        <v>0</v>
      </c>
      <c r="D56" s="126"/>
      <c r="E56" s="140"/>
      <c r="F56" s="140"/>
    </row>
    <row r="57" spans="1:6" s="221" customFormat="1" ht="12" customHeight="1" thickBot="1" x14ac:dyDescent="0.25">
      <c r="A57" s="19" t="s">
        <v>30</v>
      </c>
      <c r="B57" s="132" t="s">
        <v>243</v>
      </c>
      <c r="C57" s="142">
        <f t="shared" si="0"/>
        <v>0</v>
      </c>
      <c r="D57" s="319">
        <f>SUM(D58:D60)</f>
        <v>0</v>
      </c>
      <c r="E57" s="137">
        <f>SUM(E58:E60)</f>
        <v>0</v>
      </c>
      <c r="F57" s="137">
        <f>SUM(F58:F60)</f>
        <v>0</v>
      </c>
    </row>
    <row r="58" spans="1:6" s="221" customFormat="1" ht="12" customHeight="1" x14ac:dyDescent="0.2">
      <c r="A58" s="14" t="s">
        <v>146</v>
      </c>
      <c r="B58" s="222" t="s">
        <v>245</v>
      </c>
      <c r="C58" s="362">
        <f t="shared" si="0"/>
        <v>0</v>
      </c>
      <c r="D58" s="296"/>
      <c r="E58" s="141"/>
      <c r="F58" s="141"/>
    </row>
    <row r="59" spans="1:6" s="221" customFormat="1" ht="12" customHeight="1" x14ac:dyDescent="0.2">
      <c r="A59" s="13" t="s">
        <v>147</v>
      </c>
      <c r="B59" s="223" t="s">
        <v>370</v>
      </c>
      <c r="C59" s="363">
        <f t="shared" si="0"/>
        <v>0</v>
      </c>
      <c r="D59" s="296"/>
      <c r="E59" s="141"/>
      <c r="F59" s="141"/>
    </row>
    <row r="60" spans="1:6" s="221" customFormat="1" ht="12" customHeight="1" x14ac:dyDescent="0.2">
      <c r="A60" s="13" t="s">
        <v>169</v>
      </c>
      <c r="B60" s="223" t="s">
        <v>246</v>
      </c>
      <c r="C60" s="363">
        <f t="shared" si="0"/>
        <v>0</v>
      </c>
      <c r="D60" s="296"/>
      <c r="E60" s="141"/>
      <c r="F60" s="141"/>
    </row>
    <row r="61" spans="1:6" s="221" customFormat="1" ht="12" customHeight="1" thickBot="1" x14ac:dyDescent="0.25">
      <c r="A61" s="15" t="s">
        <v>244</v>
      </c>
      <c r="B61" s="134" t="s">
        <v>247</v>
      </c>
      <c r="C61" s="364">
        <f t="shared" si="0"/>
        <v>0</v>
      </c>
      <c r="D61" s="296"/>
      <c r="E61" s="141"/>
      <c r="F61" s="141"/>
    </row>
    <row r="62" spans="1:6" s="221" customFormat="1" ht="12" customHeight="1" thickBot="1" x14ac:dyDescent="0.25">
      <c r="A62" s="279" t="s">
        <v>482</v>
      </c>
      <c r="B62" s="20" t="s">
        <v>248</v>
      </c>
      <c r="C62" s="142">
        <f t="shared" si="0"/>
        <v>545859358</v>
      </c>
      <c r="D62" s="322">
        <f>+D5+D12+D19+D26+D34+D46+D52+D57</f>
        <v>347776187</v>
      </c>
      <c r="E62" s="142">
        <f>+E5+E12+E19+E26+E34+E46+E52+E57</f>
        <v>3646250</v>
      </c>
      <c r="F62" s="142">
        <f>+F5+F12+F19+F26+F34+F46+F52+F57</f>
        <v>194436921</v>
      </c>
    </row>
    <row r="63" spans="1:6" s="221" customFormat="1" ht="12" customHeight="1" thickBot="1" x14ac:dyDescent="0.25">
      <c r="A63" s="280" t="s">
        <v>249</v>
      </c>
      <c r="B63" s="132" t="s">
        <v>250</v>
      </c>
      <c r="C63" s="142">
        <f t="shared" si="0"/>
        <v>0</v>
      </c>
      <c r="D63" s="319">
        <f>SUM(D64:D66)</f>
        <v>0</v>
      </c>
      <c r="E63" s="137">
        <f>SUM(E64:E66)</f>
        <v>0</v>
      </c>
      <c r="F63" s="297">
        <f>SUM(F64:F66)</f>
        <v>0</v>
      </c>
    </row>
    <row r="64" spans="1:6" s="221" customFormat="1" ht="12" customHeight="1" x14ac:dyDescent="0.2">
      <c r="A64" s="14" t="s">
        <v>281</v>
      </c>
      <c r="B64" s="222" t="s">
        <v>251</v>
      </c>
      <c r="C64" s="362">
        <f t="shared" si="0"/>
        <v>0</v>
      </c>
      <c r="D64" s="301"/>
      <c r="E64" s="141"/>
      <c r="F64" s="141">
        <v>0</v>
      </c>
    </row>
    <row r="65" spans="1:6" s="221" customFormat="1" ht="12" customHeight="1" x14ac:dyDescent="0.2">
      <c r="A65" s="13" t="s">
        <v>290</v>
      </c>
      <c r="B65" s="223" t="s">
        <v>252</v>
      </c>
      <c r="C65" s="363">
        <f t="shared" si="0"/>
        <v>0</v>
      </c>
      <c r="D65" s="296"/>
      <c r="E65" s="141"/>
      <c r="F65" s="141"/>
    </row>
    <row r="66" spans="1:6" s="221" customFormat="1" ht="12" customHeight="1" thickBot="1" x14ac:dyDescent="0.25">
      <c r="A66" s="15" t="s">
        <v>291</v>
      </c>
      <c r="B66" s="281" t="s">
        <v>483</v>
      </c>
      <c r="C66" s="364">
        <f t="shared" si="0"/>
        <v>0</v>
      </c>
      <c r="D66" s="296"/>
      <c r="E66" s="141"/>
      <c r="F66" s="141"/>
    </row>
    <row r="67" spans="1:6" s="221" customFormat="1" ht="12" customHeight="1" thickBot="1" x14ac:dyDescent="0.25">
      <c r="A67" s="280" t="s">
        <v>254</v>
      </c>
      <c r="B67" s="132" t="s">
        <v>255</v>
      </c>
      <c r="C67" s="297">
        <f t="shared" si="0"/>
        <v>0</v>
      </c>
      <c r="D67" s="319">
        <f>SUM(D68:D71)</f>
        <v>0</v>
      </c>
      <c r="E67" s="137">
        <f>SUM(E68:E71)</f>
        <v>0</v>
      </c>
      <c r="F67" s="137">
        <f>SUM(F68:F71)</f>
        <v>0</v>
      </c>
    </row>
    <row r="68" spans="1:6" s="221" customFormat="1" ht="12" customHeight="1" x14ac:dyDescent="0.2">
      <c r="A68" s="14" t="s">
        <v>126</v>
      </c>
      <c r="B68" s="222" t="s">
        <v>256</v>
      </c>
      <c r="C68" s="362">
        <f t="shared" si="0"/>
        <v>0</v>
      </c>
      <c r="D68" s="296"/>
      <c r="E68" s="141"/>
      <c r="F68" s="141"/>
    </row>
    <row r="69" spans="1:6" s="221" customFormat="1" ht="12" customHeight="1" x14ac:dyDescent="0.2">
      <c r="A69" s="13" t="s">
        <v>127</v>
      </c>
      <c r="B69" s="223" t="s">
        <v>257</v>
      </c>
      <c r="C69" s="363">
        <f t="shared" ref="C69:C87" si="1">SUM(D69:F69)</f>
        <v>0</v>
      </c>
      <c r="D69" s="296"/>
      <c r="E69" s="141"/>
      <c r="F69" s="141"/>
    </row>
    <row r="70" spans="1:6" s="221" customFormat="1" ht="12" customHeight="1" x14ac:dyDescent="0.2">
      <c r="A70" s="13" t="s">
        <v>282</v>
      </c>
      <c r="B70" s="223" t="s">
        <v>258</v>
      </c>
      <c r="C70" s="363">
        <f t="shared" si="1"/>
        <v>0</v>
      </c>
      <c r="D70" s="296"/>
      <c r="E70" s="141"/>
      <c r="F70" s="141"/>
    </row>
    <row r="71" spans="1:6" s="221" customFormat="1" ht="12" customHeight="1" thickBot="1" x14ac:dyDescent="0.25">
      <c r="A71" s="15" t="s">
        <v>283</v>
      </c>
      <c r="B71" s="134" t="s">
        <v>259</v>
      </c>
      <c r="C71" s="364">
        <f t="shared" si="1"/>
        <v>0</v>
      </c>
      <c r="D71" s="296"/>
      <c r="E71" s="141"/>
      <c r="F71" s="141"/>
    </row>
    <row r="72" spans="1:6" s="221" customFormat="1" ht="12" customHeight="1" thickBot="1" x14ac:dyDescent="0.25">
      <c r="A72" s="280" t="s">
        <v>260</v>
      </c>
      <c r="B72" s="132" t="s">
        <v>261</v>
      </c>
      <c r="C72" s="142">
        <f t="shared" si="1"/>
        <v>18026960</v>
      </c>
      <c r="D72" s="319">
        <f>SUM(D73:D74)</f>
        <v>0</v>
      </c>
      <c r="E72" s="137">
        <f>SUM(E73:E74)</f>
        <v>0</v>
      </c>
      <c r="F72" s="137">
        <f>SUM(F73:F74)</f>
        <v>18026960</v>
      </c>
    </row>
    <row r="73" spans="1:6" s="221" customFormat="1" ht="12" customHeight="1" x14ac:dyDescent="0.2">
      <c r="A73" s="14" t="s">
        <v>284</v>
      </c>
      <c r="B73" s="222" t="s">
        <v>262</v>
      </c>
      <c r="C73" s="362">
        <f t="shared" si="1"/>
        <v>18026960</v>
      </c>
      <c r="D73" s="296"/>
      <c r="E73" s="141"/>
      <c r="F73" s="141">
        <v>18026960</v>
      </c>
    </row>
    <row r="74" spans="1:6" s="221" customFormat="1" ht="12" customHeight="1" thickBot="1" x14ac:dyDescent="0.25">
      <c r="A74" s="15" t="s">
        <v>285</v>
      </c>
      <c r="B74" s="134" t="s">
        <v>263</v>
      </c>
      <c r="C74" s="364">
        <f t="shared" si="1"/>
        <v>0</v>
      </c>
      <c r="D74" s="296"/>
      <c r="E74" s="141"/>
      <c r="F74" s="141"/>
    </row>
    <row r="75" spans="1:6" s="221" customFormat="1" ht="12" customHeight="1" thickBot="1" x14ac:dyDescent="0.25">
      <c r="A75" s="280" t="s">
        <v>264</v>
      </c>
      <c r="B75" s="132" t="s">
        <v>265</v>
      </c>
      <c r="C75" s="142">
        <f t="shared" si="1"/>
        <v>0</v>
      </c>
      <c r="D75" s="319">
        <f>SUM(D76:D78)</f>
        <v>0</v>
      </c>
      <c r="E75" s="137">
        <f>SUM(E76:E78)</f>
        <v>0</v>
      </c>
      <c r="F75" s="137">
        <f>SUM(F76:F78)</f>
        <v>0</v>
      </c>
    </row>
    <row r="76" spans="1:6" s="221" customFormat="1" ht="12" customHeight="1" x14ac:dyDescent="0.2">
      <c r="A76" s="14" t="s">
        <v>286</v>
      </c>
      <c r="B76" s="222" t="s">
        <v>266</v>
      </c>
      <c r="C76" s="362">
        <f t="shared" si="1"/>
        <v>0</v>
      </c>
      <c r="D76" s="296"/>
      <c r="E76" s="141"/>
      <c r="F76" s="141"/>
    </row>
    <row r="77" spans="1:6" s="221" customFormat="1" ht="12" customHeight="1" x14ac:dyDescent="0.2">
      <c r="A77" s="13" t="s">
        <v>287</v>
      </c>
      <c r="B77" s="223" t="s">
        <v>267</v>
      </c>
      <c r="C77" s="363">
        <f t="shared" si="1"/>
        <v>0</v>
      </c>
      <c r="D77" s="296"/>
      <c r="E77" s="141"/>
      <c r="F77" s="141"/>
    </row>
    <row r="78" spans="1:6" s="221" customFormat="1" ht="12" customHeight="1" thickBot="1" x14ac:dyDescent="0.25">
      <c r="A78" s="15" t="s">
        <v>288</v>
      </c>
      <c r="B78" s="134" t="s">
        <v>268</v>
      </c>
      <c r="C78" s="364">
        <f t="shared" si="1"/>
        <v>0</v>
      </c>
      <c r="D78" s="296"/>
      <c r="E78" s="141"/>
      <c r="F78" s="141"/>
    </row>
    <row r="79" spans="1:6" s="221" customFormat="1" ht="12" customHeight="1" thickBot="1" x14ac:dyDescent="0.25">
      <c r="A79" s="280" t="s">
        <v>269</v>
      </c>
      <c r="B79" s="132" t="s">
        <v>289</v>
      </c>
      <c r="C79" s="142">
        <f t="shared" si="1"/>
        <v>0</v>
      </c>
      <c r="D79" s="319">
        <f>SUM(D80:D83)</f>
        <v>0</v>
      </c>
      <c r="E79" s="137">
        <f>SUM(E80:E83)</f>
        <v>0</v>
      </c>
      <c r="F79" s="137">
        <f>SUM(F80:F83)</f>
        <v>0</v>
      </c>
    </row>
    <row r="80" spans="1:6" s="221" customFormat="1" ht="12" customHeight="1" x14ac:dyDescent="0.2">
      <c r="A80" s="226" t="s">
        <v>270</v>
      </c>
      <c r="B80" s="222" t="s">
        <v>271</v>
      </c>
      <c r="C80" s="362">
        <f t="shared" si="1"/>
        <v>0</v>
      </c>
      <c r="D80" s="296"/>
      <c r="E80" s="141"/>
      <c r="F80" s="141"/>
    </row>
    <row r="81" spans="1:6" s="221" customFormat="1" ht="12" customHeight="1" x14ac:dyDescent="0.2">
      <c r="A81" s="227" t="s">
        <v>272</v>
      </c>
      <c r="B81" s="223" t="s">
        <v>273</v>
      </c>
      <c r="C81" s="363">
        <f t="shared" si="1"/>
        <v>0</v>
      </c>
      <c r="D81" s="296"/>
      <c r="E81" s="141"/>
      <c r="F81" s="141"/>
    </row>
    <row r="82" spans="1:6" s="221" customFormat="1" ht="12" customHeight="1" x14ac:dyDescent="0.2">
      <c r="A82" s="227" t="s">
        <v>274</v>
      </c>
      <c r="B82" s="223" t="s">
        <v>275</v>
      </c>
      <c r="C82" s="363">
        <f t="shared" si="1"/>
        <v>0</v>
      </c>
      <c r="D82" s="296"/>
      <c r="E82" s="141"/>
      <c r="F82" s="141"/>
    </row>
    <row r="83" spans="1:6" s="221" customFormat="1" ht="12" customHeight="1" thickBot="1" x14ac:dyDescent="0.25">
      <c r="A83" s="228" t="s">
        <v>276</v>
      </c>
      <c r="B83" s="134" t="s">
        <v>277</v>
      </c>
      <c r="C83" s="364">
        <f t="shared" si="1"/>
        <v>0</v>
      </c>
      <c r="D83" s="296"/>
      <c r="E83" s="141"/>
      <c r="F83" s="141"/>
    </row>
    <row r="84" spans="1:6" s="221" customFormat="1" ht="12" customHeight="1" thickBot="1" x14ac:dyDescent="0.25">
      <c r="A84" s="280" t="s">
        <v>278</v>
      </c>
      <c r="B84" s="132" t="s">
        <v>484</v>
      </c>
      <c r="C84" s="137">
        <f t="shared" si="1"/>
        <v>0</v>
      </c>
      <c r="D84" s="326"/>
      <c r="E84" s="261"/>
      <c r="F84" s="261"/>
    </row>
    <row r="85" spans="1:6" s="221" customFormat="1" ht="13.5" customHeight="1" thickBot="1" x14ac:dyDescent="0.25">
      <c r="A85" s="280" t="s">
        <v>280</v>
      </c>
      <c r="B85" s="132" t="s">
        <v>279</v>
      </c>
      <c r="C85" s="137">
        <f t="shared" si="1"/>
        <v>0</v>
      </c>
      <c r="D85" s="326"/>
      <c r="E85" s="261"/>
      <c r="F85" s="261"/>
    </row>
    <row r="86" spans="1:6" s="221" customFormat="1" ht="15.75" customHeight="1" thickBot="1" x14ac:dyDescent="0.25">
      <c r="A86" s="280" t="s">
        <v>292</v>
      </c>
      <c r="B86" s="229" t="s">
        <v>485</v>
      </c>
      <c r="C86" s="137">
        <f t="shared" si="1"/>
        <v>18026960</v>
      </c>
      <c r="D86" s="322">
        <f>+D63+D67+D72+D75+D79+D85+D84</f>
        <v>0</v>
      </c>
      <c r="E86" s="142">
        <f>+E63+E67+E72+E75+E79+E85+E84</f>
        <v>0</v>
      </c>
      <c r="F86" s="142">
        <f>+F63+F67+F72+F75+F79+F85+F84</f>
        <v>18026960</v>
      </c>
    </row>
    <row r="87" spans="1:6" s="221" customFormat="1" ht="16.5" customHeight="1" thickBot="1" x14ac:dyDescent="0.25">
      <c r="A87" s="282" t="s">
        <v>486</v>
      </c>
      <c r="B87" s="230" t="s">
        <v>487</v>
      </c>
      <c r="C87" s="137">
        <f t="shared" si="1"/>
        <v>563886318</v>
      </c>
      <c r="D87" s="322">
        <f>+D62+D86</f>
        <v>347776187</v>
      </c>
      <c r="E87" s="142">
        <f>+E62+E86</f>
        <v>3646250</v>
      </c>
      <c r="F87" s="142">
        <f>+F62+F86</f>
        <v>212463881</v>
      </c>
    </row>
    <row r="88" spans="1:6" s="221" customFormat="1" ht="83.25" customHeight="1" x14ac:dyDescent="0.2">
      <c r="A88" s="4"/>
      <c r="B88" s="5"/>
      <c r="C88" s="143"/>
    </row>
    <row r="89" spans="1:6" ht="16.5" customHeight="1" x14ac:dyDescent="0.25">
      <c r="A89" s="1003" t="s">
        <v>52</v>
      </c>
      <c r="B89" s="1003"/>
      <c r="C89" s="1003"/>
    </row>
    <row r="90" spans="1:6" s="231" customFormat="1" ht="16.5" customHeight="1" thickBot="1" x14ac:dyDescent="0.3">
      <c r="A90" s="1004" t="s">
        <v>129</v>
      </c>
      <c r="B90" s="1004"/>
      <c r="C90" s="79" t="s">
        <v>598</v>
      </c>
    </row>
    <row r="91" spans="1:6" ht="38.1" customHeight="1" thickBot="1" x14ac:dyDescent="0.3">
      <c r="A91" s="22" t="s">
        <v>74</v>
      </c>
      <c r="B91" s="23" t="s">
        <v>53</v>
      </c>
      <c r="C91" s="35" t="str">
        <f>+C3</f>
        <v>2018. évi előirányzat</v>
      </c>
    </row>
    <row r="92" spans="1:6" s="220" customFormat="1" ht="12" customHeight="1" thickBot="1" x14ac:dyDescent="0.25">
      <c r="A92" s="31" t="s">
        <v>471</v>
      </c>
      <c r="B92" s="32" t="s">
        <v>472</v>
      </c>
      <c r="C92" s="33" t="s">
        <v>473</v>
      </c>
    </row>
    <row r="93" spans="1:6" ht="12" customHeight="1" thickBot="1" x14ac:dyDescent="0.3">
      <c r="A93" s="21" t="s">
        <v>23</v>
      </c>
      <c r="B93" s="25" t="s">
        <v>525</v>
      </c>
      <c r="C93" s="137">
        <f t="shared" ref="C93:C154" si="2">SUM(D93:F93)</f>
        <v>676439786</v>
      </c>
      <c r="D93" s="329">
        <f>+D94+D95+D96+D97+D98+D111</f>
        <v>90203062</v>
      </c>
      <c r="E93" s="136">
        <f>+E94+E95+E96+E97+E98+E111</f>
        <v>7067754</v>
      </c>
      <c r="F93" s="137">
        <f>F94+F95+F96+F97+F98+F111</f>
        <v>579168970</v>
      </c>
    </row>
    <row r="94" spans="1:6" ht="12" customHeight="1" x14ac:dyDescent="0.25">
      <c r="A94" s="16" t="s">
        <v>99</v>
      </c>
      <c r="B94" s="9" t="s">
        <v>54</v>
      </c>
      <c r="C94" s="500">
        <f t="shared" si="2"/>
        <v>349788557</v>
      </c>
      <c r="D94" s="353">
        <f>75000+4401892+2491000+258000+550000+1656000+862563</f>
        <v>10294455</v>
      </c>
      <c r="E94" s="305">
        <v>2528076</v>
      </c>
      <c r="F94" s="305">
        <f>330210986+1473383+4907657+374000</f>
        <v>336966026</v>
      </c>
    </row>
    <row r="95" spans="1:6" ht="12" customHeight="1" x14ac:dyDescent="0.25">
      <c r="A95" s="13" t="s">
        <v>100</v>
      </c>
      <c r="B95" s="7" t="s">
        <v>148</v>
      </c>
      <c r="C95" s="499">
        <f t="shared" si="2"/>
        <v>73182591</v>
      </c>
      <c r="D95" s="296">
        <f>13275+17258+773000+1015000+281135+50310+96525+322928+168200</f>
        <v>2737631</v>
      </c>
      <c r="E95" s="141">
        <v>443678</v>
      </c>
      <c r="F95" s="141">
        <f>68706522+272442+949388+72930</f>
        <v>70001282</v>
      </c>
    </row>
    <row r="96" spans="1:6" ht="12" customHeight="1" x14ac:dyDescent="0.25">
      <c r="A96" s="13" t="s">
        <v>101</v>
      </c>
      <c r="B96" s="7" t="s">
        <v>124</v>
      </c>
      <c r="C96" s="499">
        <f t="shared" si="2"/>
        <v>226064459</v>
      </c>
      <c r="D96" s="300">
        <f>16099000+3082677+397000+194467+34200000+156511+2681000+3300000+44100-8245+192293+77000-179000+955814+64000+1462000-15200000+724180+1524000</f>
        <v>49766797</v>
      </c>
      <c r="E96" s="211">
        <v>4096000</v>
      </c>
      <c r="F96" s="141">
        <f>170312254+1606688+282720</f>
        <v>172201662</v>
      </c>
    </row>
    <row r="97" spans="1:6" ht="12" customHeight="1" x14ac:dyDescent="0.25">
      <c r="A97" s="13" t="s">
        <v>102</v>
      </c>
      <c r="B97" s="7" t="s">
        <v>149</v>
      </c>
      <c r="C97" s="363">
        <f t="shared" si="2"/>
        <v>0</v>
      </c>
      <c r="D97" s="300"/>
      <c r="E97" s="211"/>
      <c r="F97" s="141"/>
    </row>
    <row r="98" spans="1:6" ht="12" customHeight="1" x14ac:dyDescent="0.25">
      <c r="A98" s="13" t="s">
        <v>113</v>
      </c>
      <c r="B98" s="6" t="s">
        <v>150</v>
      </c>
      <c r="C98" s="499">
        <f t="shared" si="2"/>
        <v>27404179</v>
      </c>
      <c r="D98" s="300">
        <f>5950000+16000000+4093000+1202179+159000</f>
        <v>27404179</v>
      </c>
      <c r="E98" s="211"/>
      <c r="F98" s="211"/>
    </row>
    <row r="99" spans="1:6" ht="12" customHeight="1" x14ac:dyDescent="0.25">
      <c r="A99" s="13" t="s">
        <v>103</v>
      </c>
      <c r="B99" s="7" t="s">
        <v>488</v>
      </c>
      <c r="C99" s="499">
        <f t="shared" si="2"/>
        <v>1202179</v>
      </c>
      <c r="D99" s="300">
        <v>1202179</v>
      </c>
      <c r="E99" s="211"/>
      <c r="F99" s="211"/>
    </row>
    <row r="100" spans="1:6" ht="12" customHeight="1" x14ac:dyDescent="0.25">
      <c r="A100" s="13" t="s">
        <v>104</v>
      </c>
      <c r="B100" s="83" t="s">
        <v>489</v>
      </c>
      <c r="C100" s="363">
        <f t="shared" si="2"/>
        <v>0</v>
      </c>
      <c r="D100" s="300"/>
      <c r="E100" s="211"/>
      <c r="F100" s="211"/>
    </row>
    <row r="101" spans="1:6" ht="12" customHeight="1" x14ac:dyDescent="0.25">
      <c r="A101" s="13" t="s">
        <v>114</v>
      </c>
      <c r="B101" s="83" t="s">
        <v>490</v>
      </c>
      <c r="C101" s="499">
        <f t="shared" si="2"/>
        <v>159000</v>
      </c>
      <c r="D101" s="300">
        <v>159000</v>
      </c>
      <c r="E101" s="211"/>
      <c r="F101" s="211"/>
    </row>
    <row r="102" spans="1:6" ht="12" customHeight="1" x14ac:dyDescent="0.25">
      <c r="A102" s="13" t="s">
        <v>115</v>
      </c>
      <c r="B102" s="81" t="s">
        <v>295</v>
      </c>
      <c r="C102" s="363">
        <f t="shared" si="2"/>
        <v>0</v>
      </c>
      <c r="D102" s="300"/>
      <c r="E102" s="211"/>
      <c r="F102" s="211"/>
    </row>
    <row r="103" spans="1:6" ht="12" customHeight="1" x14ac:dyDescent="0.25">
      <c r="A103" s="13" t="s">
        <v>116</v>
      </c>
      <c r="B103" s="82" t="s">
        <v>296</v>
      </c>
      <c r="C103" s="363">
        <f t="shared" si="2"/>
        <v>0</v>
      </c>
      <c r="D103" s="300"/>
      <c r="E103" s="211"/>
      <c r="F103" s="211"/>
    </row>
    <row r="104" spans="1:6" ht="12" customHeight="1" x14ac:dyDescent="0.25">
      <c r="A104" s="13" t="s">
        <v>117</v>
      </c>
      <c r="B104" s="82" t="s">
        <v>297</v>
      </c>
      <c r="C104" s="363">
        <f t="shared" si="2"/>
        <v>0</v>
      </c>
      <c r="D104" s="300"/>
      <c r="E104" s="211"/>
      <c r="F104" s="211"/>
    </row>
    <row r="105" spans="1:6" ht="12" customHeight="1" x14ac:dyDescent="0.25">
      <c r="A105" s="13" t="s">
        <v>119</v>
      </c>
      <c r="B105" s="81" t="s">
        <v>298</v>
      </c>
      <c r="C105" s="363">
        <f t="shared" si="2"/>
        <v>0</v>
      </c>
      <c r="D105" s="300"/>
      <c r="E105" s="211"/>
      <c r="F105" s="211"/>
    </row>
    <row r="106" spans="1:6" ht="12" customHeight="1" x14ac:dyDescent="0.25">
      <c r="A106" s="13" t="s">
        <v>151</v>
      </c>
      <c r="B106" s="81" t="s">
        <v>299</v>
      </c>
      <c r="C106" s="363">
        <f t="shared" si="2"/>
        <v>0</v>
      </c>
      <c r="D106" s="300"/>
      <c r="E106" s="211"/>
      <c r="F106" s="211"/>
    </row>
    <row r="107" spans="1:6" ht="12" customHeight="1" x14ac:dyDescent="0.25">
      <c r="A107" s="13" t="s">
        <v>293</v>
      </c>
      <c r="B107" s="82" t="s">
        <v>300</v>
      </c>
      <c r="C107" s="363">
        <f t="shared" si="2"/>
        <v>0</v>
      </c>
      <c r="D107" s="300"/>
      <c r="E107" s="211"/>
      <c r="F107" s="211"/>
    </row>
    <row r="108" spans="1:6" ht="12" customHeight="1" x14ac:dyDescent="0.25">
      <c r="A108" s="12" t="s">
        <v>294</v>
      </c>
      <c r="B108" s="83" t="s">
        <v>301</v>
      </c>
      <c r="C108" s="363">
        <f t="shared" si="2"/>
        <v>0</v>
      </c>
      <c r="D108" s="300"/>
      <c r="E108" s="211"/>
      <c r="F108" s="211"/>
    </row>
    <row r="109" spans="1:6" ht="12" customHeight="1" x14ac:dyDescent="0.25">
      <c r="A109" s="13" t="s">
        <v>491</v>
      </c>
      <c r="B109" s="83" t="s">
        <v>302</v>
      </c>
      <c r="C109" s="363">
        <f t="shared" si="2"/>
        <v>0</v>
      </c>
      <c r="D109" s="300"/>
      <c r="E109" s="211"/>
      <c r="F109" s="211"/>
    </row>
    <row r="110" spans="1:6" ht="12" customHeight="1" x14ac:dyDescent="0.25">
      <c r="A110" s="15" t="s">
        <v>492</v>
      </c>
      <c r="B110" s="83" t="s">
        <v>303</v>
      </c>
      <c r="C110" s="363">
        <f t="shared" si="2"/>
        <v>26043000</v>
      </c>
      <c r="D110" s="296">
        <f>5950000+16000000+4093000</f>
        <v>26043000</v>
      </c>
      <c r="E110" s="141"/>
      <c r="F110" s="309"/>
    </row>
    <row r="111" spans="1:6" ht="12" customHeight="1" x14ac:dyDescent="0.25">
      <c r="A111" s="13" t="s">
        <v>493</v>
      </c>
      <c r="B111" s="7" t="s">
        <v>55</v>
      </c>
      <c r="C111" s="363">
        <f t="shared" si="2"/>
        <v>0</v>
      </c>
      <c r="D111" s="125"/>
      <c r="E111" s="141"/>
      <c r="F111" s="138"/>
    </row>
    <row r="112" spans="1:6" ht="12" customHeight="1" x14ac:dyDescent="0.25">
      <c r="A112" s="13" t="s">
        <v>494</v>
      </c>
      <c r="B112" s="7" t="s">
        <v>495</v>
      </c>
      <c r="C112" s="363">
        <f t="shared" si="2"/>
        <v>0</v>
      </c>
      <c r="D112" s="126"/>
      <c r="E112" s="211"/>
      <c r="F112" s="138"/>
    </row>
    <row r="113" spans="1:6" ht="12" customHeight="1" thickBot="1" x14ac:dyDescent="0.3">
      <c r="A113" s="17" t="s">
        <v>496</v>
      </c>
      <c r="B113" s="283" t="s">
        <v>497</v>
      </c>
      <c r="C113" s="364">
        <f t="shared" si="2"/>
        <v>0</v>
      </c>
      <c r="D113" s="330"/>
      <c r="E113" s="315"/>
      <c r="F113" s="144"/>
    </row>
    <row r="114" spans="1:6" ht="12" customHeight="1" thickBot="1" x14ac:dyDescent="0.3">
      <c r="A114" s="284" t="s">
        <v>24</v>
      </c>
      <c r="B114" s="285" t="s">
        <v>304</v>
      </c>
      <c r="C114" s="142">
        <f t="shared" si="2"/>
        <v>31565247</v>
      </c>
      <c r="D114" s="319">
        <f>+D115+D117+D119</f>
        <v>19212878</v>
      </c>
      <c r="E114" s="137">
        <f>+E115+E117+E119</f>
        <v>0</v>
      </c>
      <c r="F114" s="286">
        <f>+F115+F117+F119</f>
        <v>12352369</v>
      </c>
    </row>
    <row r="115" spans="1:6" ht="12" customHeight="1" x14ac:dyDescent="0.25">
      <c r="A115" s="14" t="s">
        <v>105</v>
      </c>
      <c r="B115" s="7" t="s">
        <v>168</v>
      </c>
      <c r="C115" s="500">
        <f t="shared" si="2"/>
        <v>31055247</v>
      </c>
      <c r="D115" s="325">
        <f>12873483+377190+3000+1422400-467525-316180+4969510-159000</f>
        <v>18702878</v>
      </c>
      <c r="E115" s="260"/>
      <c r="F115" s="260">
        <f>11730618+621751</f>
        <v>12352369</v>
      </c>
    </row>
    <row r="116" spans="1:6" ht="12" customHeight="1" x14ac:dyDescent="0.25">
      <c r="A116" s="14" t="s">
        <v>106</v>
      </c>
      <c r="B116" s="11" t="s">
        <v>308</v>
      </c>
      <c r="C116" s="363">
        <f t="shared" si="2"/>
        <v>14946401</v>
      </c>
      <c r="D116" s="325">
        <v>12873483</v>
      </c>
      <c r="E116" s="260"/>
      <c r="F116" s="260">
        <v>2072918</v>
      </c>
    </row>
    <row r="117" spans="1:6" ht="12" customHeight="1" x14ac:dyDescent="0.25">
      <c r="A117" s="14" t="s">
        <v>107</v>
      </c>
      <c r="B117" s="11" t="s">
        <v>152</v>
      </c>
      <c r="C117" s="363">
        <f t="shared" si="2"/>
        <v>0</v>
      </c>
      <c r="D117" s="125"/>
      <c r="E117" s="141"/>
      <c r="F117" s="141"/>
    </row>
    <row r="118" spans="1:6" ht="12" customHeight="1" x14ac:dyDescent="0.25">
      <c r="A118" s="14" t="s">
        <v>108</v>
      </c>
      <c r="B118" s="11" t="s">
        <v>309</v>
      </c>
      <c r="C118" s="363">
        <f t="shared" si="2"/>
        <v>0</v>
      </c>
      <c r="D118" s="125"/>
      <c r="E118" s="308"/>
      <c r="F118" s="296"/>
    </row>
    <row r="119" spans="1:6" ht="12" customHeight="1" x14ac:dyDescent="0.25">
      <c r="A119" s="14" t="s">
        <v>109</v>
      </c>
      <c r="B119" s="134" t="s">
        <v>170</v>
      </c>
      <c r="C119" s="363">
        <f t="shared" si="2"/>
        <v>510000</v>
      </c>
      <c r="D119" s="301">
        <v>510000</v>
      </c>
      <c r="E119" s="296"/>
      <c r="F119" s="296"/>
    </row>
    <row r="120" spans="1:6" ht="12" customHeight="1" x14ac:dyDescent="0.25">
      <c r="A120" s="14" t="s">
        <v>118</v>
      </c>
      <c r="B120" s="133" t="s">
        <v>371</v>
      </c>
      <c r="C120" s="363">
        <f t="shared" si="2"/>
        <v>0</v>
      </c>
      <c r="D120" s="301"/>
      <c r="E120" s="125"/>
      <c r="F120" s="125"/>
    </row>
    <row r="121" spans="1:6" ht="12" customHeight="1" x14ac:dyDescent="0.25">
      <c r="A121" s="14" t="s">
        <v>120</v>
      </c>
      <c r="B121" s="218" t="s">
        <v>314</v>
      </c>
      <c r="C121" s="363">
        <f t="shared" si="2"/>
        <v>0</v>
      </c>
      <c r="D121" s="301"/>
      <c r="E121" s="125"/>
      <c r="F121" s="125"/>
    </row>
    <row r="122" spans="1:6" x14ac:dyDescent="0.25">
      <c r="A122" s="14" t="s">
        <v>153</v>
      </c>
      <c r="B122" s="82" t="s">
        <v>297</v>
      </c>
      <c r="C122" s="363">
        <f t="shared" si="2"/>
        <v>0</v>
      </c>
      <c r="D122" s="301"/>
      <c r="E122" s="125"/>
      <c r="F122" s="125"/>
    </row>
    <row r="123" spans="1:6" ht="12" customHeight="1" x14ac:dyDescent="0.25">
      <c r="A123" s="14" t="s">
        <v>154</v>
      </c>
      <c r="B123" s="82" t="s">
        <v>313</v>
      </c>
      <c r="C123" s="363">
        <f t="shared" si="2"/>
        <v>0</v>
      </c>
      <c r="D123" s="301"/>
      <c r="E123" s="125"/>
      <c r="F123" s="125"/>
    </row>
    <row r="124" spans="1:6" ht="12" customHeight="1" x14ac:dyDescent="0.25">
      <c r="A124" s="14" t="s">
        <v>155</v>
      </c>
      <c r="B124" s="82" t="s">
        <v>312</v>
      </c>
      <c r="C124" s="363">
        <f t="shared" si="2"/>
        <v>0</v>
      </c>
      <c r="D124" s="301"/>
      <c r="E124" s="125"/>
      <c r="F124" s="125"/>
    </row>
    <row r="125" spans="1:6" ht="12" customHeight="1" x14ac:dyDescent="0.25">
      <c r="A125" s="14" t="s">
        <v>305</v>
      </c>
      <c r="B125" s="82" t="s">
        <v>300</v>
      </c>
      <c r="C125" s="363">
        <f t="shared" si="2"/>
        <v>0</v>
      </c>
      <c r="D125" s="301"/>
      <c r="E125" s="125"/>
      <c r="F125" s="125"/>
    </row>
    <row r="126" spans="1:6" ht="12" customHeight="1" x14ac:dyDescent="0.25">
      <c r="A126" s="14" t="s">
        <v>306</v>
      </c>
      <c r="B126" s="82" t="s">
        <v>311</v>
      </c>
      <c r="C126" s="363">
        <f t="shared" si="2"/>
        <v>0</v>
      </c>
      <c r="D126" s="301"/>
      <c r="E126" s="125"/>
      <c r="F126" s="125"/>
    </row>
    <row r="127" spans="1:6" ht="16.5" thickBot="1" x14ac:dyDescent="0.3">
      <c r="A127" s="12" t="s">
        <v>307</v>
      </c>
      <c r="B127" s="82" t="s">
        <v>310</v>
      </c>
      <c r="C127" s="364">
        <f t="shared" si="2"/>
        <v>510000</v>
      </c>
      <c r="D127" s="302">
        <v>510000</v>
      </c>
      <c r="E127" s="300"/>
      <c r="F127" s="300"/>
    </row>
    <row r="128" spans="1:6" ht="12" customHeight="1" thickBot="1" x14ac:dyDescent="0.3">
      <c r="A128" s="19" t="s">
        <v>25</v>
      </c>
      <c r="B128" s="77" t="s">
        <v>498</v>
      </c>
      <c r="C128" s="142">
        <f t="shared" si="2"/>
        <v>708005033</v>
      </c>
      <c r="D128" s="319">
        <f>+D93+D114</f>
        <v>109415940</v>
      </c>
      <c r="E128" s="137">
        <f>+E93+E114</f>
        <v>7067754</v>
      </c>
      <c r="F128" s="137">
        <f>+F93+F114</f>
        <v>591521339</v>
      </c>
    </row>
    <row r="129" spans="1:6" ht="12" customHeight="1" thickBot="1" x14ac:dyDescent="0.3">
      <c r="A129" s="19" t="s">
        <v>26</v>
      </c>
      <c r="B129" s="77" t="s">
        <v>499</v>
      </c>
      <c r="C129" s="142">
        <f t="shared" si="2"/>
        <v>4444000</v>
      </c>
      <c r="D129" s="319">
        <f>+D130+D131+D132</f>
        <v>4444000</v>
      </c>
      <c r="E129" s="137">
        <f>+E130+E131+E132</f>
        <v>0</v>
      </c>
      <c r="F129" s="137">
        <f>+F130+F131+F132</f>
        <v>0</v>
      </c>
    </row>
    <row r="130" spans="1:6" ht="12" customHeight="1" x14ac:dyDescent="0.25">
      <c r="A130" s="14" t="s">
        <v>205</v>
      </c>
      <c r="B130" s="11" t="s">
        <v>500</v>
      </c>
      <c r="C130" s="362">
        <f t="shared" si="2"/>
        <v>4444000</v>
      </c>
      <c r="D130" s="296">
        <v>4444000</v>
      </c>
      <c r="E130" s="296"/>
      <c r="F130" s="296"/>
    </row>
    <row r="131" spans="1:6" ht="12" customHeight="1" x14ac:dyDescent="0.25">
      <c r="A131" s="14" t="s">
        <v>208</v>
      </c>
      <c r="B131" s="11" t="s">
        <v>501</v>
      </c>
      <c r="C131" s="363">
        <f t="shared" si="2"/>
        <v>0</v>
      </c>
      <c r="D131" s="125"/>
      <c r="E131" s="125"/>
      <c r="F131" s="125"/>
    </row>
    <row r="132" spans="1:6" ht="12" customHeight="1" thickBot="1" x14ac:dyDescent="0.3">
      <c r="A132" s="12" t="s">
        <v>209</v>
      </c>
      <c r="B132" s="11" t="s">
        <v>502</v>
      </c>
      <c r="C132" s="364">
        <f t="shared" si="2"/>
        <v>0</v>
      </c>
      <c r="D132" s="125"/>
      <c r="E132" s="125"/>
      <c r="F132" s="125"/>
    </row>
    <row r="133" spans="1:6" ht="12" customHeight="1" thickBot="1" x14ac:dyDescent="0.3">
      <c r="A133" s="19" t="s">
        <v>27</v>
      </c>
      <c r="B133" s="77" t="s">
        <v>503</v>
      </c>
      <c r="C133" s="297">
        <f t="shared" si="2"/>
        <v>0</v>
      </c>
      <c r="D133" s="319">
        <f>+D134+D135+D136+D137+D138+D139</f>
        <v>0</v>
      </c>
      <c r="E133" s="137">
        <f>+E134+E135+E136+E137+E138+E139</f>
        <v>0</v>
      </c>
      <c r="F133" s="137">
        <f>SUM(F134:F139)</f>
        <v>0</v>
      </c>
    </row>
    <row r="134" spans="1:6" ht="12" customHeight="1" x14ac:dyDescent="0.25">
      <c r="A134" s="14" t="s">
        <v>92</v>
      </c>
      <c r="B134" s="8" t="s">
        <v>504</v>
      </c>
      <c r="C134" s="362">
        <f t="shared" si="2"/>
        <v>0</v>
      </c>
      <c r="D134" s="125"/>
      <c r="E134" s="125"/>
      <c r="F134" s="125"/>
    </row>
    <row r="135" spans="1:6" ht="12" customHeight="1" x14ac:dyDescent="0.25">
      <c r="A135" s="14" t="s">
        <v>93</v>
      </c>
      <c r="B135" s="8" t="s">
        <v>505</v>
      </c>
      <c r="C135" s="363">
        <f t="shared" si="2"/>
        <v>0</v>
      </c>
      <c r="D135" s="125"/>
      <c r="E135" s="125"/>
      <c r="F135" s="125"/>
    </row>
    <row r="136" spans="1:6" ht="12" customHeight="1" x14ac:dyDescent="0.25">
      <c r="A136" s="14" t="s">
        <v>94</v>
      </c>
      <c r="B136" s="8" t="s">
        <v>506</v>
      </c>
      <c r="C136" s="363">
        <f t="shared" si="2"/>
        <v>0</v>
      </c>
      <c r="D136" s="125"/>
      <c r="E136" s="125"/>
      <c r="F136" s="125"/>
    </row>
    <row r="137" spans="1:6" ht="12" customHeight="1" x14ac:dyDescent="0.25">
      <c r="A137" s="14" t="s">
        <v>140</v>
      </c>
      <c r="B137" s="8" t="s">
        <v>507</v>
      </c>
      <c r="C137" s="363">
        <f t="shared" si="2"/>
        <v>0</v>
      </c>
      <c r="D137" s="125"/>
      <c r="E137" s="125"/>
      <c r="F137" s="125"/>
    </row>
    <row r="138" spans="1:6" ht="12" customHeight="1" x14ac:dyDescent="0.25">
      <c r="A138" s="14" t="s">
        <v>141</v>
      </c>
      <c r="B138" s="8" t="s">
        <v>508</v>
      </c>
      <c r="C138" s="363">
        <f t="shared" si="2"/>
        <v>0</v>
      </c>
      <c r="D138" s="125"/>
      <c r="E138" s="125"/>
      <c r="F138" s="125"/>
    </row>
    <row r="139" spans="1:6" ht="12" customHeight="1" thickBot="1" x14ac:dyDescent="0.3">
      <c r="A139" s="12" t="s">
        <v>142</v>
      </c>
      <c r="B139" s="8" t="s">
        <v>509</v>
      </c>
      <c r="C139" s="364">
        <f t="shared" si="2"/>
        <v>0</v>
      </c>
      <c r="D139" s="125"/>
      <c r="E139" s="125"/>
      <c r="F139" s="125"/>
    </row>
    <row r="140" spans="1:6" ht="12" customHeight="1" thickBot="1" x14ac:dyDescent="0.3">
      <c r="A140" s="19" t="s">
        <v>28</v>
      </c>
      <c r="B140" s="77" t="s">
        <v>510</v>
      </c>
      <c r="C140" s="142">
        <f t="shared" si="2"/>
        <v>0</v>
      </c>
      <c r="D140" s="322">
        <f>+D141+D142+D143+D144</f>
        <v>0</v>
      </c>
      <c r="E140" s="142">
        <f>+E141+E142+E143+E144</f>
        <v>0</v>
      </c>
      <c r="F140" s="142">
        <f>+F141+F142+F143+F144</f>
        <v>0</v>
      </c>
    </row>
    <row r="141" spans="1:6" ht="12" customHeight="1" x14ac:dyDescent="0.25">
      <c r="A141" s="14" t="s">
        <v>95</v>
      </c>
      <c r="B141" s="8" t="s">
        <v>315</v>
      </c>
      <c r="C141" s="362">
        <f t="shared" si="2"/>
        <v>0</v>
      </c>
      <c r="D141" s="125"/>
      <c r="E141" s="125"/>
      <c r="F141" s="125"/>
    </row>
    <row r="142" spans="1:6" ht="12" customHeight="1" x14ac:dyDescent="0.25">
      <c r="A142" s="14" t="s">
        <v>96</v>
      </c>
      <c r="B142" s="8" t="s">
        <v>316</v>
      </c>
      <c r="C142" s="363">
        <f t="shared" si="2"/>
        <v>0</v>
      </c>
      <c r="D142" s="125"/>
      <c r="E142" s="125"/>
      <c r="F142" s="125"/>
    </row>
    <row r="143" spans="1:6" ht="12" customHeight="1" x14ac:dyDescent="0.25">
      <c r="A143" s="14" t="s">
        <v>229</v>
      </c>
      <c r="B143" s="8" t="s">
        <v>511</v>
      </c>
      <c r="C143" s="363">
        <f t="shared" si="2"/>
        <v>0</v>
      </c>
      <c r="D143" s="125"/>
      <c r="E143" s="125"/>
      <c r="F143" s="125"/>
    </row>
    <row r="144" spans="1:6" ht="12" customHeight="1" thickBot="1" x14ac:dyDescent="0.3">
      <c r="A144" s="12" t="s">
        <v>230</v>
      </c>
      <c r="B144" s="6" t="s">
        <v>334</v>
      </c>
      <c r="C144" s="364">
        <f t="shared" si="2"/>
        <v>0</v>
      </c>
      <c r="D144" s="125"/>
      <c r="E144" s="125"/>
      <c r="F144" s="125"/>
    </row>
    <row r="145" spans="1:9" ht="12" customHeight="1" thickBot="1" x14ac:dyDescent="0.3">
      <c r="A145" s="19" t="s">
        <v>29</v>
      </c>
      <c r="B145" s="77" t="s">
        <v>512</v>
      </c>
      <c r="C145" s="142">
        <f t="shared" si="2"/>
        <v>0</v>
      </c>
      <c r="D145" s="331">
        <f>+D146+D147+D148+D149+D150</f>
        <v>0</v>
      </c>
      <c r="E145" s="145">
        <f>+E146+E147+E148+E149+E150</f>
        <v>0</v>
      </c>
      <c r="F145" s="145">
        <f>SUM(F146:F150)</f>
        <v>0</v>
      </c>
    </row>
    <row r="146" spans="1:9" ht="12" customHeight="1" x14ac:dyDescent="0.25">
      <c r="A146" s="14" t="s">
        <v>97</v>
      </c>
      <c r="B146" s="8" t="s">
        <v>513</v>
      </c>
      <c r="C146" s="362">
        <f t="shared" si="2"/>
        <v>0</v>
      </c>
      <c r="D146" s="125"/>
      <c r="E146" s="125"/>
      <c r="F146" s="125"/>
    </row>
    <row r="147" spans="1:9" ht="12" customHeight="1" x14ac:dyDescent="0.25">
      <c r="A147" s="14" t="s">
        <v>98</v>
      </c>
      <c r="B147" s="8" t="s">
        <v>514</v>
      </c>
      <c r="C147" s="363">
        <f t="shared" si="2"/>
        <v>0</v>
      </c>
      <c r="D147" s="125"/>
      <c r="E147" s="125"/>
      <c r="F147" s="125"/>
    </row>
    <row r="148" spans="1:9" ht="12" customHeight="1" x14ac:dyDescent="0.25">
      <c r="A148" s="14" t="s">
        <v>241</v>
      </c>
      <c r="B148" s="8" t="s">
        <v>515</v>
      </c>
      <c r="C148" s="363">
        <f t="shared" si="2"/>
        <v>0</v>
      </c>
      <c r="D148" s="125"/>
      <c r="E148" s="125"/>
      <c r="F148" s="125"/>
    </row>
    <row r="149" spans="1:9" ht="12" customHeight="1" x14ac:dyDescent="0.25">
      <c r="A149" s="14" t="s">
        <v>242</v>
      </c>
      <c r="B149" s="8" t="s">
        <v>516</v>
      </c>
      <c r="C149" s="363">
        <f t="shared" si="2"/>
        <v>0</v>
      </c>
      <c r="D149" s="125"/>
      <c r="E149" s="125"/>
      <c r="F149" s="125"/>
    </row>
    <row r="150" spans="1:9" ht="12" customHeight="1" thickBot="1" x14ac:dyDescent="0.3">
      <c r="A150" s="14" t="s">
        <v>517</v>
      </c>
      <c r="B150" s="8" t="s">
        <v>518</v>
      </c>
      <c r="C150" s="364">
        <f t="shared" si="2"/>
        <v>0</v>
      </c>
      <c r="D150" s="126"/>
      <c r="E150" s="126"/>
      <c r="F150" s="125"/>
    </row>
    <row r="151" spans="1:9" ht="12" customHeight="1" thickBot="1" x14ac:dyDescent="0.3">
      <c r="A151" s="19" t="s">
        <v>30</v>
      </c>
      <c r="B151" s="77" t="s">
        <v>519</v>
      </c>
      <c r="C151" s="137">
        <f t="shared" si="2"/>
        <v>0</v>
      </c>
      <c r="D151" s="331"/>
      <c r="E151" s="145"/>
      <c r="F151" s="287"/>
    </row>
    <row r="152" spans="1:9" ht="12" customHeight="1" thickBot="1" x14ac:dyDescent="0.3">
      <c r="A152" s="19" t="s">
        <v>31</v>
      </c>
      <c r="B152" s="77" t="s">
        <v>520</v>
      </c>
      <c r="C152" s="137">
        <f t="shared" si="2"/>
        <v>0</v>
      </c>
      <c r="D152" s="331"/>
      <c r="E152" s="145"/>
      <c r="F152" s="287"/>
    </row>
    <row r="153" spans="1:9" ht="15" customHeight="1" thickBot="1" x14ac:dyDescent="0.3">
      <c r="A153" s="19" t="s">
        <v>32</v>
      </c>
      <c r="B153" s="77" t="s">
        <v>521</v>
      </c>
      <c r="C153" s="137">
        <f t="shared" si="2"/>
        <v>4444000</v>
      </c>
      <c r="D153" s="332">
        <f>+D129+D133+D140+D145+D151+D152</f>
        <v>4444000</v>
      </c>
      <c r="E153" s="232">
        <f>+E129+E133+E140+E145+E151+E152</f>
        <v>0</v>
      </c>
      <c r="F153" s="232">
        <f>+F129+F133+F140+F145+F151+F152</f>
        <v>0</v>
      </c>
      <c r="G153" s="233"/>
      <c r="H153" s="233"/>
      <c r="I153" s="233"/>
    </row>
    <row r="154" spans="1:9" s="221" customFormat="1" ht="12.95" customHeight="1" thickBot="1" x14ac:dyDescent="0.25">
      <c r="A154" s="135" t="s">
        <v>33</v>
      </c>
      <c r="B154" s="207" t="s">
        <v>522</v>
      </c>
      <c r="C154" s="137">
        <f t="shared" si="2"/>
        <v>712449033</v>
      </c>
      <c r="D154" s="332">
        <f>+D128+D153</f>
        <v>113859940</v>
      </c>
      <c r="E154" s="232">
        <f>+E128+E153</f>
        <v>7067754</v>
      </c>
      <c r="F154" s="232">
        <f>+F128+F153</f>
        <v>591521339</v>
      </c>
    </row>
    <row r="155" spans="1:9" ht="7.5" customHeight="1" x14ac:dyDescent="0.25"/>
    <row r="156" spans="1:9" x14ac:dyDescent="0.25">
      <c r="A156" s="1005" t="s">
        <v>317</v>
      </c>
      <c r="B156" s="1005"/>
      <c r="C156" s="1005"/>
    </row>
    <row r="157" spans="1:9" ht="15" customHeight="1" thickBot="1" x14ac:dyDescent="0.3">
      <c r="A157" s="1002" t="s">
        <v>130</v>
      </c>
      <c r="B157" s="1002"/>
      <c r="C157" s="146" t="s">
        <v>598</v>
      </c>
    </row>
    <row r="158" spans="1:9" ht="13.5" customHeight="1" thickBot="1" x14ac:dyDescent="0.3">
      <c r="A158" s="19">
        <v>1</v>
      </c>
      <c r="B158" s="24" t="s">
        <v>523</v>
      </c>
      <c r="C158" s="137">
        <f>+C62-C128</f>
        <v>-162145675</v>
      </c>
    </row>
    <row r="159" spans="1:9" ht="27.75" customHeight="1" thickBot="1" x14ac:dyDescent="0.3">
      <c r="A159" s="19" t="s">
        <v>24</v>
      </c>
      <c r="B159" s="24" t="s">
        <v>524</v>
      </c>
      <c r="C159" s="137">
        <f>+C86-C153</f>
        <v>13582960</v>
      </c>
    </row>
    <row r="162" spans="4:4" x14ac:dyDescent="0.25">
      <c r="D162" s="23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17/2018.(VII.27.)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view="pageLayout" zoomScale="85" zoomScaleNormal="85" zoomScalePageLayoutView="85" workbookViewId="0">
      <selection activeCell="J3" sqref="J3"/>
    </sheetView>
  </sheetViews>
  <sheetFormatPr defaultColWidth="10.6640625" defaultRowHeight="12.75" x14ac:dyDescent="0.2"/>
  <cols>
    <col min="1" max="1" width="60.1640625" style="264" customWidth="1"/>
    <col min="2" max="2" width="48.83203125" style="268" customWidth="1"/>
    <col min="3" max="3" width="16.5" style="264" bestFit="1" customWidth="1"/>
    <col min="4" max="4" width="15" style="264" customWidth="1"/>
    <col min="5" max="256" width="10.6640625" style="264"/>
    <col min="257" max="257" width="60.1640625" style="264" customWidth="1"/>
    <col min="258" max="258" width="48.83203125" style="264" customWidth="1"/>
    <col min="259" max="259" width="16.5" style="264" bestFit="1" customWidth="1"/>
    <col min="260" max="260" width="15" style="264" customWidth="1"/>
    <col min="261" max="512" width="10.6640625" style="264"/>
    <col min="513" max="513" width="60.1640625" style="264" customWidth="1"/>
    <col min="514" max="514" width="48.83203125" style="264" customWidth="1"/>
    <col min="515" max="515" width="16.5" style="264" bestFit="1" customWidth="1"/>
    <col min="516" max="516" width="15" style="264" customWidth="1"/>
    <col min="517" max="768" width="10.6640625" style="264"/>
    <col min="769" max="769" width="60.1640625" style="264" customWidth="1"/>
    <col min="770" max="770" width="48.83203125" style="264" customWidth="1"/>
    <col min="771" max="771" width="16.5" style="264" bestFit="1" customWidth="1"/>
    <col min="772" max="772" width="15" style="264" customWidth="1"/>
    <col min="773" max="1024" width="10.6640625" style="264"/>
    <col min="1025" max="1025" width="60.1640625" style="264" customWidth="1"/>
    <col min="1026" max="1026" width="48.83203125" style="264" customWidth="1"/>
    <col min="1027" max="1027" width="16.5" style="264" bestFit="1" customWidth="1"/>
    <col min="1028" max="1028" width="15" style="264" customWidth="1"/>
    <col min="1029" max="1280" width="10.6640625" style="264"/>
    <col min="1281" max="1281" width="60.1640625" style="264" customWidth="1"/>
    <col min="1282" max="1282" width="48.83203125" style="264" customWidth="1"/>
    <col min="1283" max="1283" width="16.5" style="264" bestFit="1" customWidth="1"/>
    <col min="1284" max="1284" width="15" style="264" customWidth="1"/>
    <col min="1285" max="1536" width="10.6640625" style="264"/>
    <col min="1537" max="1537" width="60.1640625" style="264" customWidth="1"/>
    <col min="1538" max="1538" width="48.83203125" style="264" customWidth="1"/>
    <col min="1539" max="1539" width="16.5" style="264" bestFit="1" customWidth="1"/>
    <col min="1540" max="1540" width="15" style="264" customWidth="1"/>
    <col min="1541" max="1792" width="10.6640625" style="264"/>
    <col min="1793" max="1793" width="60.1640625" style="264" customWidth="1"/>
    <col min="1794" max="1794" width="48.83203125" style="264" customWidth="1"/>
    <col min="1795" max="1795" width="16.5" style="264" bestFit="1" customWidth="1"/>
    <col min="1796" max="1796" width="15" style="264" customWidth="1"/>
    <col min="1797" max="2048" width="10.6640625" style="264"/>
    <col min="2049" max="2049" width="60.1640625" style="264" customWidth="1"/>
    <col min="2050" max="2050" width="48.83203125" style="264" customWidth="1"/>
    <col min="2051" max="2051" width="16.5" style="264" bestFit="1" customWidth="1"/>
    <col min="2052" max="2052" width="15" style="264" customWidth="1"/>
    <col min="2053" max="2304" width="10.6640625" style="264"/>
    <col min="2305" max="2305" width="60.1640625" style="264" customWidth="1"/>
    <col min="2306" max="2306" width="48.83203125" style="264" customWidth="1"/>
    <col min="2307" max="2307" width="16.5" style="264" bestFit="1" customWidth="1"/>
    <col min="2308" max="2308" width="15" style="264" customWidth="1"/>
    <col min="2309" max="2560" width="10.6640625" style="264"/>
    <col min="2561" max="2561" width="60.1640625" style="264" customWidth="1"/>
    <col min="2562" max="2562" width="48.83203125" style="264" customWidth="1"/>
    <col min="2563" max="2563" width="16.5" style="264" bestFit="1" customWidth="1"/>
    <col min="2564" max="2564" width="15" style="264" customWidth="1"/>
    <col min="2565" max="2816" width="10.6640625" style="264"/>
    <col min="2817" max="2817" width="60.1640625" style="264" customWidth="1"/>
    <col min="2818" max="2818" width="48.83203125" style="264" customWidth="1"/>
    <col min="2819" max="2819" width="16.5" style="264" bestFit="1" customWidth="1"/>
    <col min="2820" max="2820" width="15" style="264" customWidth="1"/>
    <col min="2821" max="3072" width="10.6640625" style="264"/>
    <col min="3073" max="3073" width="60.1640625" style="264" customWidth="1"/>
    <col min="3074" max="3074" width="48.83203125" style="264" customWidth="1"/>
    <col min="3075" max="3075" width="16.5" style="264" bestFit="1" customWidth="1"/>
    <col min="3076" max="3076" width="15" style="264" customWidth="1"/>
    <col min="3077" max="3328" width="10.6640625" style="264"/>
    <col min="3329" max="3329" width="60.1640625" style="264" customWidth="1"/>
    <col min="3330" max="3330" width="48.83203125" style="264" customWidth="1"/>
    <col min="3331" max="3331" width="16.5" style="264" bestFit="1" customWidth="1"/>
    <col min="3332" max="3332" width="15" style="264" customWidth="1"/>
    <col min="3333" max="3584" width="10.6640625" style="264"/>
    <col min="3585" max="3585" width="60.1640625" style="264" customWidth="1"/>
    <col min="3586" max="3586" width="48.83203125" style="264" customWidth="1"/>
    <col min="3587" max="3587" width="16.5" style="264" bestFit="1" customWidth="1"/>
    <col min="3588" max="3588" width="15" style="264" customWidth="1"/>
    <col min="3589" max="3840" width="10.6640625" style="264"/>
    <col min="3841" max="3841" width="60.1640625" style="264" customWidth="1"/>
    <col min="3842" max="3842" width="48.83203125" style="264" customWidth="1"/>
    <col min="3843" max="3843" width="16.5" style="264" bestFit="1" customWidth="1"/>
    <col min="3844" max="3844" width="15" style="264" customWidth="1"/>
    <col min="3845" max="4096" width="10.6640625" style="264"/>
    <col min="4097" max="4097" width="60.1640625" style="264" customWidth="1"/>
    <col min="4098" max="4098" width="48.83203125" style="264" customWidth="1"/>
    <col min="4099" max="4099" width="16.5" style="264" bestFit="1" customWidth="1"/>
    <col min="4100" max="4100" width="15" style="264" customWidth="1"/>
    <col min="4101" max="4352" width="10.6640625" style="264"/>
    <col min="4353" max="4353" width="60.1640625" style="264" customWidth="1"/>
    <col min="4354" max="4354" width="48.83203125" style="264" customWidth="1"/>
    <col min="4355" max="4355" width="16.5" style="264" bestFit="1" customWidth="1"/>
    <col min="4356" max="4356" width="15" style="264" customWidth="1"/>
    <col min="4357" max="4608" width="10.6640625" style="264"/>
    <col min="4609" max="4609" width="60.1640625" style="264" customWidth="1"/>
    <col min="4610" max="4610" width="48.83203125" style="264" customWidth="1"/>
    <col min="4611" max="4611" width="16.5" style="264" bestFit="1" customWidth="1"/>
    <col min="4612" max="4612" width="15" style="264" customWidth="1"/>
    <col min="4613" max="4864" width="10.6640625" style="264"/>
    <col min="4865" max="4865" width="60.1640625" style="264" customWidth="1"/>
    <col min="4866" max="4866" width="48.83203125" style="264" customWidth="1"/>
    <col min="4867" max="4867" width="16.5" style="264" bestFit="1" customWidth="1"/>
    <col min="4868" max="4868" width="15" style="264" customWidth="1"/>
    <col min="4869" max="5120" width="10.6640625" style="264"/>
    <col min="5121" max="5121" width="60.1640625" style="264" customWidth="1"/>
    <col min="5122" max="5122" width="48.83203125" style="264" customWidth="1"/>
    <col min="5123" max="5123" width="16.5" style="264" bestFit="1" customWidth="1"/>
    <col min="5124" max="5124" width="15" style="264" customWidth="1"/>
    <col min="5125" max="5376" width="10.6640625" style="264"/>
    <col min="5377" max="5377" width="60.1640625" style="264" customWidth="1"/>
    <col min="5378" max="5378" width="48.83203125" style="264" customWidth="1"/>
    <col min="5379" max="5379" width="16.5" style="264" bestFit="1" customWidth="1"/>
    <col min="5380" max="5380" width="15" style="264" customWidth="1"/>
    <col min="5381" max="5632" width="10.6640625" style="264"/>
    <col min="5633" max="5633" width="60.1640625" style="264" customWidth="1"/>
    <col min="5634" max="5634" width="48.83203125" style="264" customWidth="1"/>
    <col min="5635" max="5635" width="16.5" style="264" bestFit="1" customWidth="1"/>
    <col min="5636" max="5636" width="15" style="264" customWidth="1"/>
    <col min="5637" max="5888" width="10.6640625" style="264"/>
    <col min="5889" max="5889" width="60.1640625" style="264" customWidth="1"/>
    <col min="5890" max="5890" width="48.83203125" style="264" customWidth="1"/>
    <col min="5891" max="5891" width="16.5" style="264" bestFit="1" customWidth="1"/>
    <col min="5892" max="5892" width="15" style="264" customWidth="1"/>
    <col min="5893" max="6144" width="10.6640625" style="264"/>
    <col min="6145" max="6145" width="60.1640625" style="264" customWidth="1"/>
    <col min="6146" max="6146" width="48.83203125" style="264" customWidth="1"/>
    <col min="6147" max="6147" width="16.5" style="264" bestFit="1" customWidth="1"/>
    <col min="6148" max="6148" width="15" style="264" customWidth="1"/>
    <col min="6149" max="6400" width="10.6640625" style="264"/>
    <col min="6401" max="6401" width="60.1640625" style="264" customWidth="1"/>
    <col min="6402" max="6402" width="48.83203125" style="264" customWidth="1"/>
    <col min="6403" max="6403" width="16.5" style="264" bestFit="1" customWidth="1"/>
    <col min="6404" max="6404" width="15" style="264" customWidth="1"/>
    <col min="6405" max="6656" width="10.6640625" style="264"/>
    <col min="6657" max="6657" width="60.1640625" style="264" customWidth="1"/>
    <col min="6658" max="6658" width="48.83203125" style="264" customWidth="1"/>
    <col min="6659" max="6659" width="16.5" style="264" bestFit="1" customWidth="1"/>
    <col min="6660" max="6660" width="15" style="264" customWidth="1"/>
    <col min="6661" max="6912" width="10.6640625" style="264"/>
    <col min="6913" max="6913" width="60.1640625" style="264" customWidth="1"/>
    <col min="6914" max="6914" width="48.83203125" style="264" customWidth="1"/>
    <col min="6915" max="6915" width="16.5" style="264" bestFit="1" customWidth="1"/>
    <col min="6916" max="6916" width="15" style="264" customWidth="1"/>
    <col min="6917" max="7168" width="10.6640625" style="264"/>
    <col min="7169" max="7169" width="60.1640625" style="264" customWidth="1"/>
    <col min="7170" max="7170" width="48.83203125" style="264" customWidth="1"/>
    <col min="7171" max="7171" width="16.5" style="264" bestFit="1" customWidth="1"/>
    <col min="7172" max="7172" width="15" style="264" customWidth="1"/>
    <col min="7173" max="7424" width="10.6640625" style="264"/>
    <col min="7425" max="7425" width="60.1640625" style="264" customWidth="1"/>
    <col min="7426" max="7426" width="48.83203125" style="264" customWidth="1"/>
    <col min="7427" max="7427" width="16.5" style="264" bestFit="1" customWidth="1"/>
    <col min="7428" max="7428" width="15" style="264" customWidth="1"/>
    <col min="7429" max="7680" width="10.6640625" style="264"/>
    <col min="7681" max="7681" width="60.1640625" style="264" customWidth="1"/>
    <col min="7682" max="7682" width="48.83203125" style="264" customWidth="1"/>
    <col min="7683" max="7683" width="16.5" style="264" bestFit="1" customWidth="1"/>
    <col min="7684" max="7684" width="15" style="264" customWidth="1"/>
    <col min="7685" max="7936" width="10.6640625" style="264"/>
    <col min="7937" max="7937" width="60.1640625" style="264" customWidth="1"/>
    <col min="7938" max="7938" width="48.83203125" style="264" customWidth="1"/>
    <col min="7939" max="7939" width="16.5" style="264" bestFit="1" customWidth="1"/>
    <col min="7940" max="7940" width="15" style="264" customWidth="1"/>
    <col min="7941" max="8192" width="10.6640625" style="264"/>
    <col min="8193" max="8193" width="60.1640625" style="264" customWidth="1"/>
    <col min="8194" max="8194" width="48.83203125" style="264" customWidth="1"/>
    <col min="8195" max="8195" width="16.5" style="264" bestFit="1" customWidth="1"/>
    <col min="8196" max="8196" width="15" style="264" customWidth="1"/>
    <col min="8197" max="8448" width="10.6640625" style="264"/>
    <col min="8449" max="8449" width="60.1640625" style="264" customWidth="1"/>
    <col min="8450" max="8450" width="48.83203125" style="264" customWidth="1"/>
    <col min="8451" max="8451" width="16.5" style="264" bestFit="1" customWidth="1"/>
    <col min="8452" max="8452" width="15" style="264" customWidth="1"/>
    <col min="8453" max="8704" width="10.6640625" style="264"/>
    <col min="8705" max="8705" width="60.1640625" style="264" customWidth="1"/>
    <col min="8706" max="8706" width="48.83203125" style="264" customWidth="1"/>
    <col min="8707" max="8707" width="16.5" style="264" bestFit="1" customWidth="1"/>
    <col min="8708" max="8708" width="15" style="264" customWidth="1"/>
    <col min="8709" max="8960" width="10.6640625" style="264"/>
    <col min="8961" max="8961" width="60.1640625" style="264" customWidth="1"/>
    <col min="8962" max="8962" width="48.83203125" style="264" customWidth="1"/>
    <col min="8963" max="8963" width="16.5" style="264" bestFit="1" customWidth="1"/>
    <col min="8964" max="8964" width="15" style="264" customWidth="1"/>
    <col min="8965" max="9216" width="10.6640625" style="264"/>
    <col min="9217" max="9217" width="60.1640625" style="264" customWidth="1"/>
    <col min="9218" max="9218" width="48.83203125" style="264" customWidth="1"/>
    <col min="9219" max="9219" width="16.5" style="264" bestFit="1" customWidth="1"/>
    <col min="9220" max="9220" width="15" style="264" customWidth="1"/>
    <col min="9221" max="9472" width="10.6640625" style="264"/>
    <col min="9473" max="9473" width="60.1640625" style="264" customWidth="1"/>
    <col min="9474" max="9474" width="48.83203125" style="264" customWidth="1"/>
    <col min="9475" max="9475" width="16.5" style="264" bestFit="1" customWidth="1"/>
    <col min="9476" max="9476" width="15" style="264" customWidth="1"/>
    <col min="9477" max="9728" width="10.6640625" style="264"/>
    <col min="9729" max="9729" width="60.1640625" style="264" customWidth="1"/>
    <col min="9730" max="9730" width="48.83203125" style="264" customWidth="1"/>
    <col min="9731" max="9731" width="16.5" style="264" bestFit="1" customWidth="1"/>
    <col min="9732" max="9732" width="15" style="264" customWidth="1"/>
    <col min="9733" max="9984" width="10.6640625" style="264"/>
    <col min="9985" max="9985" width="60.1640625" style="264" customWidth="1"/>
    <col min="9986" max="9986" width="48.83203125" style="264" customWidth="1"/>
    <col min="9987" max="9987" width="16.5" style="264" bestFit="1" customWidth="1"/>
    <col min="9988" max="9988" width="15" style="264" customWidth="1"/>
    <col min="9989" max="10240" width="10.6640625" style="264"/>
    <col min="10241" max="10241" width="60.1640625" style="264" customWidth="1"/>
    <col min="10242" max="10242" width="48.83203125" style="264" customWidth="1"/>
    <col min="10243" max="10243" width="16.5" style="264" bestFit="1" customWidth="1"/>
    <col min="10244" max="10244" width="15" style="264" customWidth="1"/>
    <col min="10245" max="10496" width="10.6640625" style="264"/>
    <col min="10497" max="10497" width="60.1640625" style="264" customWidth="1"/>
    <col min="10498" max="10498" width="48.83203125" style="264" customWidth="1"/>
    <col min="10499" max="10499" width="16.5" style="264" bestFit="1" customWidth="1"/>
    <col min="10500" max="10500" width="15" style="264" customWidth="1"/>
    <col min="10501" max="10752" width="10.6640625" style="264"/>
    <col min="10753" max="10753" width="60.1640625" style="264" customWidth="1"/>
    <col min="10754" max="10754" width="48.83203125" style="264" customWidth="1"/>
    <col min="10755" max="10755" width="16.5" style="264" bestFit="1" customWidth="1"/>
    <col min="10756" max="10756" width="15" style="264" customWidth="1"/>
    <col min="10757" max="11008" width="10.6640625" style="264"/>
    <col min="11009" max="11009" width="60.1640625" style="264" customWidth="1"/>
    <col min="11010" max="11010" width="48.83203125" style="264" customWidth="1"/>
    <col min="11011" max="11011" width="16.5" style="264" bestFit="1" customWidth="1"/>
    <col min="11012" max="11012" width="15" style="264" customWidth="1"/>
    <col min="11013" max="11264" width="10.6640625" style="264"/>
    <col min="11265" max="11265" width="60.1640625" style="264" customWidth="1"/>
    <col min="11266" max="11266" width="48.83203125" style="264" customWidth="1"/>
    <col min="11267" max="11267" width="16.5" style="264" bestFit="1" customWidth="1"/>
    <col min="11268" max="11268" width="15" style="264" customWidth="1"/>
    <col min="11269" max="11520" width="10.6640625" style="264"/>
    <col min="11521" max="11521" width="60.1640625" style="264" customWidth="1"/>
    <col min="11522" max="11522" width="48.83203125" style="264" customWidth="1"/>
    <col min="11523" max="11523" width="16.5" style="264" bestFit="1" customWidth="1"/>
    <col min="11524" max="11524" width="15" style="264" customWidth="1"/>
    <col min="11525" max="11776" width="10.6640625" style="264"/>
    <col min="11777" max="11777" width="60.1640625" style="264" customWidth="1"/>
    <col min="11778" max="11778" width="48.83203125" style="264" customWidth="1"/>
    <col min="11779" max="11779" width="16.5" style="264" bestFit="1" customWidth="1"/>
    <col min="11780" max="11780" width="15" style="264" customWidth="1"/>
    <col min="11781" max="12032" width="10.6640625" style="264"/>
    <col min="12033" max="12033" width="60.1640625" style="264" customWidth="1"/>
    <col min="12034" max="12034" width="48.83203125" style="264" customWidth="1"/>
    <col min="12035" max="12035" width="16.5" style="264" bestFit="1" customWidth="1"/>
    <col min="12036" max="12036" width="15" style="264" customWidth="1"/>
    <col min="12037" max="12288" width="10.6640625" style="264"/>
    <col min="12289" max="12289" width="60.1640625" style="264" customWidth="1"/>
    <col min="12290" max="12290" width="48.83203125" style="264" customWidth="1"/>
    <col min="12291" max="12291" width="16.5" style="264" bestFit="1" customWidth="1"/>
    <col min="12292" max="12292" width="15" style="264" customWidth="1"/>
    <col min="12293" max="12544" width="10.6640625" style="264"/>
    <col min="12545" max="12545" width="60.1640625" style="264" customWidth="1"/>
    <col min="12546" max="12546" width="48.83203125" style="264" customWidth="1"/>
    <col min="12547" max="12547" width="16.5" style="264" bestFit="1" customWidth="1"/>
    <col min="12548" max="12548" width="15" style="264" customWidth="1"/>
    <col min="12549" max="12800" width="10.6640625" style="264"/>
    <col min="12801" max="12801" width="60.1640625" style="264" customWidth="1"/>
    <col min="12802" max="12802" width="48.83203125" style="264" customWidth="1"/>
    <col min="12803" max="12803" width="16.5" style="264" bestFit="1" customWidth="1"/>
    <col min="12804" max="12804" width="15" style="264" customWidth="1"/>
    <col min="12805" max="13056" width="10.6640625" style="264"/>
    <col min="13057" max="13057" width="60.1640625" style="264" customWidth="1"/>
    <col min="13058" max="13058" width="48.83203125" style="264" customWidth="1"/>
    <col min="13059" max="13059" width="16.5" style="264" bestFit="1" customWidth="1"/>
    <col min="13060" max="13060" width="15" style="264" customWidth="1"/>
    <col min="13061" max="13312" width="10.6640625" style="264"/>
    <col min="13313" max="13313" width="60.1640625" style="264" customWidth="1"/>
    <col min="13314" max="13314" width="48.83203125" style="264" customWidth="1"/>
    <col min="13315" max="13315" width="16.5" style="264" bestFit="1" customWidth="1"/>
    <col min="13316" max="13316" width="15" style="264" customWidth="1"/>
    <col min="13317" max="13568" width="10.6640625" style="264"/>
    <col min="13569" max="13569" width="60.1640625" style="264" customWidth="1"/>
    <col min="13570" max="13570" width="48.83203125" style="264" customWidth="1"/>
    <col min="13571" max="13571" width="16.5" style="264" bestFit="1" customWidth="1"/>
    <col min="13572" max="13572" width="15" style="264" customWidth="1"/>
    <col min="13573" max="13824" width="10.6640625" style="264"/>
    <col min="13825" max="13825" width="60.1640625" style="264" customWidth="1"/>
    <col min="13826" max="13826" width="48.83203125" style="264" customWidth="1"/>
    <col min="13827" max="13827" width="16.5" style="264" bestFit="1" customWidth="1"/>
    <col min="13828" max="13828" width="15" style="264" customWidth="1"/>
    <col min="13829" max="14080" width="10.6640625" style="264"/>
    <col min="14081" max="14081" width="60.1640625" style="264" customWidth="1"/>
    <col min="14082" max="14082" width="48.83203125" style="264" customWidth="1"/>
    <col min="14083" max="14083" width="16.5" style="264" bestFit="1" customWidth="1"/>
    <col min="14084" max="14084" width="15" style="264" customWidth="1"/>
    <col min="14085" max="14336" width="10.6640625" style="264"/>
    <col min="14337" max="14337" width="60.1640625" style="264" customWidth="1"/>
    <col min="14338" max="14338" width="48.83203125" style="264" customWidth="1"/>
    <col min="14339" max="14339" width="16.5" style="264" bestFit="1" customWidth="1"/>
    <col min="14340" max="14340" width="15" style="264" customWidth="1"/>
    <col min="14341" max="14592" width="10.6640625" style="264"/>
    <col min="14593" max="14593" width="60.1640625" style="264" customWidth="1"/>
    <col min="14594" max="14594" width="48.83203125" style="264" customWidth="1"/>
    <col min="14595" max="14595" width="16.5" style="264" bestFit="1" customWidth="1"/>
    <col min="14596" max="14596" width="15" style="264" customWidth="1"/>
    <col min="14597" max="14848" width="10.6640625" style="264"/>
    <col min="14849" max="14849" width="60.1640625" style="264" customWidth="1"/>
    <col min="14850" max="14850" width="48.83203125" style="264" customWidth="1"/>
    <col min="14851" max="14851" width="16.5" style="264" bestFit="1" customWidth="1"/>
    <col min="14852" max="14852" width="15" style="264" customWidth="1"/>
    <col min="14853" max="15104" width="10.6640625" style="264"/>
    <col min="15105" max="15105" width="60.1640625" style="264" customWidth="1"/>
    <col min="15106" max="15106" width="48.83203125" style="264" customWidth="1"/>
    <col min="15107" max="15107" width="16.5" style="264" bestFit="1" customWidth="1"/>
    <col min="15108" max="15108" width="15" style="264" customWidth="1"/>
    <col min="15109" max="15360" width="10.6640625" style="264"/>
    <col min="15361" max="15361" width="60.1640625" style="264" customWidth="1"/>
    <col min="15362" max="15362" width="48.83203125" style="264" customWidth="1"/>
    <col min="15363" max="15363" width="16.5" style="264" bestFit="1" customWidth="1"/>
    <col min="15364" max="15364" width="15" style="264" customWidth="1"/>
    <col min="15365" max="15616" width="10.6640625" style="264"/>
    <col min="15617" max="15617" width="60.1640625" style="264" customWidth="1"/>
    <col min="15618" max="15618" width="48.83203125" style="264" customWidth="1"/>
    <col min="15619" max="15619" width="16.5" style="264" bestFit="1" customWidth="1"/>
    <col min="15620" max="15620" width="15" style="264" customWidth="1"/>
    <col min="15621" max="15872" width="10.6640625" style="264"/>
    <col min="15873" max="15873" width="60.1640625" style="264" customWidth="1"/>
    <col min="15874" max="15874" width="48.83203125" style="264" customWidth="1"/>
    <col min="15875" max="15875" width="16.5" style="264" bestFit="1" customWidth="1"/>
    <col min="15876" max="15876" width="15" style="264" customWidth="1"/>
    <col min="15877" max="16128" width="10.6640625" style="264"/>
    <col min="16129" max="16129" width="60.1640625" style="264" customWidth="1"/>
    <col min="16130" max="16130" width="48.83203125" style="264" customWidth="1"/>
    <col min="16131" max="16131" width="16.5" style="264" bestFit="1" customWidth="1"/>
    <col min="16132" max="16132" width="15" style="264" customWidth="1"/>
    <col min="16133" max="16384" width="10.6640625" style="264"/>
  </cols>
  <sheetData>
    <row r="1" spans="1:2" x14ac:dyDescent="0.2">
      <c r="A1" s="1036"/>
      <c r="B1" s="1036"/>
    </row>
    <row r="2" spans="1:2" ht="17.25" customHeight="1" x14ac:dyDescent="0.2">
      <c r="A2" s="265"/>
      <c r="B2" s="292"/>
    </row>
    <row r="3" spans="1:2" ht="42" customHeight="1" x14ac:dyDescent="0.2">
      <c r="A3" s="1037" t="s">
        <v>632</v>
      </c>
      <c r="B3" s="1037"/>
    </row>
    <row r="4" spans="1:2" ht="33" customHeight="1" thickBot="1" x14ac:dyDescent="0.3">
      <c r="A4" s="266"/>
      <c r="B4" s="203" t="s">
        <v>18</v>
      </c>
    </row>
    <row r="5" spans="1:2" x14ac:dyDescent="0.2">
      <c r="A5" s="1038" t="s">
        <v>67</v>
      </c>
      <c r="B5" s="1038" t="s">
        <v>633</v>
      </c>
    </row>
    <row r="6" spans="1:2" x14ac:dyDescent="0.2">
      <c r="A6" s="1039"/>
      <c r="B6" s="1039"/>
    </row>
    <row r="7" spans="1:2" ht="13.5" thickBot="1" x14ac:dyDescent="0.25">
      <c r="A7" s="1039"/>
      <c r="B7" s="1040"/>
    </row>
    <row r="8" spans="1:2" ht="23.25" customHeight="1" thickBot="1" x14ac:dyDescent="0.25">
      <c r="A8" s="131" t="s">
        <v>56</v>
      </c>
      <c r="B8" s="267"/>
    </row>
    <row r="9" spans="1:2" ht="24" customHeight="1" x14ac:dyDescent="0.2">
      <c r="A9" s="343"/>
      <c r="B9" s="341"/>
    </row>
    <row r="10" spans="1:2" ht="27" customHeight="1" x14ac:dyDescent="0.25">
      <c r="A10" s="683" t="s">
        <v>403</v>
      </c>
      <c r="B10" s="342">
        <v>149537000</v>
      </c>
    </row>
    <row r="11" spans="1:2" ht="39" customHeight="1" x14ac:dyDescent="0.25">
      <c r="A11" s="682" t="s">
        <v>404</v>
      </c>
      <c r="B11" s="623">
        <v>76270223</v>
      </c>
    </row>
    <row r="12" spans="1:2" ht="39" customHeight="1" x14ac:dyDescent="0.25">
      <c r="A12" s="603" t="s">
        <v>405</v>
      </c>
      <c r="B12" s="623">
        <v>17077340</v>
      </c>
    </row>
    <row r="13" spans="1:2" ht="39" customHeight="1" x14ac:dyDescent="0.25">
      <c r="A13" s="603" t="s">
        <v>406</v>
      </c>
      <c r="B13" s="623">
        <v>35400000</v>
      </c>
    </row>
    <row r="14" spans="1:2" ht="39" customHeight="1" x14ac:dyDescent="0.25">
      <c r="A14" s="603" t="s">
        <v>407</v>
      </c>
      <c r="B14" s="623">
        <v>100000</v>
      </c>
    </row>
    <row r="15" spans="1:2" ht="39" customHeight="1" x14ac:dyDescent="0.25">
      <c r="A15" s="603" t="s">
        <v>408</v>
      </c>
      <c r="B15" s="623">
        <v>20759150</v>
      </c>
    </row>
    <row r="16" spans="1:2" ht="39" customHeight="1" x14ac:dyDescent="0.25">
      <c r="A16" s="603" t="s">
        <v>409</v>
      </c>
      <c r="B16" s="623">
        <v>2793483</v>
      </c>
    </row>
    <row r="17" spans="1:3" ht="39" customHeight="1" x14ac:dyDescent="0.25">
      <c r="A17" s="603" t="s">
        <v>418</v>
      </c>
      <c r="B17" s="623">
        <v>140250</v>
      </c>
    </row>
    <row r="18" spans="1:3" ht="39" customHeight="1" x14ac:dyDescent="0.3">
      <c r="A18" s="682" t="s">
        <v>560</v>
      </c>
      <c r="B18" s="624">
        <f>SUM(B10:B11)</f>
        <v>225807223</v>
      </c>
    </row>
    <row r="19" spans="1:3" ht="39" customHeight="1" x14ac:dyDescent="0.3">
      <c r="A19" s="603" t="s">
        <v>634</v>
      </c>
      <c r="B19" s="625">
        <v>0</v>
      </c>
    </row>
    <row r="20" spans="1:3" ht="39" customHeight="1" x14ac:dyDescent="0.25">
      <c r="A20" s="603" t="s">
        <v>635</v>
      </c>
      <c r="B20" s="623">
        <v>2048700</v>
      </c>
    </row>
    <row r="21" spans="1:3" ht="39" customHeight="1" x14ac:dyDescent="0.3">
      <c r="A21" s="344" t="s">
        <v>581</v>
      </c>
      <c r="B21" s="624">
        <f>SUM(B18:B20)</f>
        <v>227855923</v>
      </c>
    </row>
    <row r="22" spans="1:3" ht="36" customHeight="1" x14ac:dyDescent="0.2">
      <c r="A22" s="604" t="s">
        <v>410</v>
      </c>
      <c r="B22" s="996">
        <f>185945400+735168</f>
        <v>186680568</v>
      </c>
    </row>
    <row r="23" spans="1:3" ht="30.75" customHeight="1" x14ac:dyDescent="0.25">
      <c r="A23" s="605" t="s">
        <v>411</v>
      </c>
      <c r="B23" s="623">
        <v>29847734</v>
      </c>
    </row>
    <row r="24" spans="1:3" ht="30.75" customHeight="1" x14ac:dyDescent="0.25">
      <c r="A24" s="604" t="s">
        <v>636</v>
      </c>
      <c r="B24" s="623">
        <v>0</v>
      </c>
    </row>
    <row r="25" spans="1:3" ht="30.75" customHeight="1" x14ac:dyDescent="0.25">
      <c r="A25" s="604" t="s">
        <v>637</v>
      </c>
      <c r="B25" s="623">
        <v>8941000</v>
      </c>
    </row>
    <row r="26" spans="1:3" ht="31.5" customHeight="1" x14ac:dyDescent="0.3">
      <c r="A26" s="310" t="s">
        <v>412</v>
      </c>
      <c r="B26" s="624">
        <f>SUM(B22:B25)</f>
        <v>225469302</v>
      </c>
    </row>
    <row r="27" spans="1:3" ht="31.5" customHeight="1" x14ac:dyDescent="0.25">
      <c r="A27" s="345" t="s">
        <v>561</v>
      </c>
      <c r="B27" s="623">
        <v>126991000</v>
      </c>
    </row>
    <row r="28" spans="1:3" ht="28.5" customHeight="1" x14ac:dyDescent="0.25">
      <c r="A28" s="346" t="s">
        <v>413</v>
      </c>
      <c r="B28" s="623">
        <v>65060600</v>
      </c>
    </row>
    <row r="29" spans="1:3" ht="60" customHeight="1" x14ac:dyDescent="0.25">
      <c r="A29" s="626" t="s">
        <v>580</v>
      </c>
      <c r="B29" s="623">
        <v>119410000</v>
      </c>
      <c r="C29" s="268"/>
    </row>
    <row r="30" spans="1:3" ht="23.25" customHeight="1" x14ac:dyDescent="0.2">
      <c r="A30" s="684" t="s">
        <v>723</v>
      </c>
      <c r="B30" s="996">
        <f>53048000+7543000</f>
        <v>60591000</v>
      </c>
    </row>
    <row r="31" spans="1:3" ht="20.25" customHeight="1" x14ac:dyDescent="0.25">
      <c r="A31" s="346" t="s">
        <v>414</v>
      </c>
      <c r="B31" s="623">
        <v>85612285</v>
      </c>
    </row>
    <row r="32" spans="1:3" ht="26.25" customHeight="1" x14ac:dyDescent="0.25">
      <c r="A32" s="316" t="s">
        <v>9</v>
      </c>
      <c r="B32" s="623">
        <v>53749860</v>
      </c>
    </row>
    <row r="33" spans="1:3" ht="26.25" customHeight="1" x14ac:dyDescent="0.25">
      <c r="A33" s="316" t="s">
        <v>638</v>
      </c>
      <c r="B33" s="623">
        <v>17676000</v>
      </c>
    </row>
    <row r="34" spans="1:3" ht="26.25" customHeight="1" x14ac:dyDescent="0.25">
      <c r="A34" s="316" t="s">
        <v>639</v>
      </c>
      <c r="B34" s="623">
        <v>36514600</v>
      </c>
    </row>
    <row r="35" spans="1:3" ht="26.25" customHeight="1" x14ac:dyDescent="0.25">
      <c r="A35" s="316" t="s">
        <v>640</v>
      </c>
      <c r="B35" s="623">
        <v>7902000</v>
      </c>
    </row>
    <row r="36" spans="1:3" ht="34.5" customHeight="1" x14ac:dyDescent="0.3">
      <c r="A36" s="310" t="s">
        <v>415</v>
      </c>
      <c r="B36" s="624">
        <f>SUM(B27:B35)</f>
        <v>573507345</v>
      </c>
      <c r="C36" s="293"/>
    </row>
    <row r="37" spans="1:3" ht="27.75" customHeight="1" x14ac:dyDescent="0.3">
      <c r="A37" s="681" t="s">
        <v>416</v>
      </c>
      <c r="B37" s="627">
        <f>B38+B39</f>
        <v>28744040</v>
      </c>
    </row>
    <row r="38" spans="1:3" ht="30" customHeight="1" x14ac:dyDescent="0.25">
      <c r="A38" s="316" t="s">
        <v>417</v>
      </c>
      <c r="B38" s="628">
        <v>12622000</v>
      </c>
    </row>
    <row r="39" spans="1:3" ht="30" customHeight="1" x14ac:dyDescent="0.2">
      <c r="A39" s="316" t="s">
        <v>10</v>
      </c>
      <c r="B39" s="847">
        <v>16122040</v>
      </c>
    </row>
    <row r="40" spans="1:3" ht="30" customHeight="1" x14ac:dyDescent="0.2">
      <c r="A40" s="339" t="s">
        <v>747</v>
      </c>
      <c r="B40" s="848">
        <v>1309600</v>
      </c>
    </row>
    <row r="41" spans="1:3" ht="30" customHeight="1" x14ac:dyDescent="0.2">
      <c r="A41" s="339" t="s">
        <v>748</v>
      </c>
      <c r="B41" s="848">
        <f>4545780</f>
        <v>4545780</v>
      </c>
    </row>
    <row r="42" spans="1:3" ht="30" customHeight="1" x14ac:dyDescent="0.2">
      <c r="A42" s="339" t="s">
        <v>724</v>
      </c>
      <c r="B42" s="848">
        <f>4848800+945516+203748</f>
        <v>5998064</v>
      </c>
    </row>
    <row r="43" spans="1:3" ht="30" customHeight="1" x14ac:dyDescent="0.2">
      <c r="A43" s="316" t="s">
        <v>726</v>
      </c>
      <c r="B43" s="847">
        <f>56020415+715086</f>
        <v>56735501</v>
      </c>
    </row>
    <row r="44" spans="1:3" ht="30" customHeight="1" x14ac:dyDescent="0.2">
      <c r="A44" s="816" t="s">
        <v>749</v>
      </c>
      <c r="B44" s="849">
        <v>94274</v>
      </c>
    </row>
    <row r="45" spans="1:3" ht="31.5" customHeight="1" x14ac:dyDescent="0.2">
      <c r="A45" s="340" t="s">
        <v>725</v>
      </c>
      <c r="B45" s="850">
        <f>5914790</f>
        <v>5914790</v>
      </c>
    </row>
    <row r="46" spans="1:3" ht="31.5" customHeight="1" x14ac:dyDescent="0.2">
      <c r="A46" s="851" t="s">
        <v>727</v>
      </c>
      <c r="B46" s="852">
        <v>7776398</v>
      </c>
    </row>
    <row r="47" spans="1:3" ht="31.5" customHeight="1" thickBot="1" x14ac:dyDescent="0.25">
      <c r="A47" s="994" t="s">
        <v>765</v>
      </c>
      <c r="B47" s="995">
        <v>1398336</v>
      </c>
    </row>
    <row r="48" spans="1:3" ht="19.5" thickBot="1" x14ac:dyDescent="0.35">
      <c r="A48" s="629" t="s">
        <v>57</v>
      </c>
      <c r="B48" s="685">
        <f>SUM(B37+B36+B26+B21+B41+B42+B43+B45)+B46+B44+B40+B47</f>
        <v>1139349353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2" orientation="portrait" r:id="rId1"/>
  <headerFooter alignWithMargins="0">
    <oddHeader>&amp;R30. sz. tájékoztató tábla a 17/2018.(VII.27.)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0"/>
  <sheetViews>
    <sheetView view="pageLayout" zoomScaleNormal="130" workbookViewId="0">
      <selection activeCell="J3" sqref="J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041" t="s">
        <v>734</v>
      </c>
      <c r="B1" s="1041"/>
      <c r="C1" s="1041"/>
      <c r="D1" s="1041"/>
    </row>
    <row r="2" spans="1:6" ht="17.25" customHeight="1" x14ac:dyDescent="0.25">
      <c r="A2" s="819"/>
      <c r="B2" s="819"/>
      <c r="C2" s="819"/>
      <c r="D2" s="819"/>
    </row>
    <row r="3" spans="1:6" ht="13.5" thickBot="1" x14ac:dyDescent="0.25">
      <c r="A3" s="94"/>
      <c r="B3" s="94"/>
      <c r="C3" s="1042" t="s">
        <v>600</v>
      </c>
      <c r="D3" s="1042"/>
    </row>
    <row r="4" spans="1:6" ht="42.75" customHeight="1" thickBot="1" x14ac:dyDescent="0.25">
      <c r="A4" s="204" t="s">
        <v>74</v>
      </c>
      <c r="B4" s="205" t="s">
        <v>121</v>
      </c>
      <c r="C4" s="205" t="s">
        <v>122</v>
      </c>
      <c r="D4" s="206" t="s">
        <v>19</v>
      </c>
    </row>
    <row r="5" spans="1:6" ht="15.95" customHeight="1" x14ac:dyDescent="0.2">
      <c r="A5" s="95" t="s">
        <v>23</v>
      </c>
      <c r="B5" s="26" t="s">
        <v>419</v>
      </c>
      <c r="C5" s="269" t="s">
        <v>420</v>
      </c>
      <c r="D5" s="27">
        <v>5000000</v>
      </c>
      <c r="E5" s="40"/>
      <c r="F5" s="40"/>
    </row>
    <row r="6" spans="1:6" ht="15.95" customHeight="1" x14ac:dyDescent="0.2">
      <c r="A6" s="95" t="s">
        <v>24</v>
      </c>
      <c r="B6" s="28" t="s">
        <v>421</v>
      </c>
      <c r="C6" s="30" t="s">
        <v>420</v>
      </c>
      <c r="D6" s="29">
        <v>1500000</v>
      </c>
      <c r="E6" s="40"/>
      <c r="F6" s="40"/>
    </row>
    <row r="7" spans="1:6" ht="15.95" customHeight="1" x14ac:dyDescent="0.2">
      <c r="A7" s="95" t="s">
        <v>25</v>
      </c>
      <c r="B7" s="28" t="s">
        <v>422</v>
      </c>
      <c r="C7" s="30" t="s">
        <v>420</v>
      </c>
      <c r="D7" s="29">
        <v>500000</v>
      </c>
      <c r="E7" s="40"/>
      <c r="F7" s="40"/>
    </row>
    <row r="8" spans="1:6" ht="15.95" customHeight="1" x14ac:dyDescent="0.2">
      <c r="A8" s="95" t="s">
        <v>26</v>
      </c>
      <c r="B8" s="28" t="s">
        <v>423</v>
      </c>
      <c r="C8" s="28" t="s">
        <v>420</v>
      </c>
      <c r="D8" s="997">
        <f>4000000+4500000</f>
        <v>8500000</v>
      </c>
      <c r="E8" s="40"/>
      <c r="F8" s="40"/>
    </row>
    <row r="9" spans="1:6" ht="15.95" customHeight="1" x14ac:dyDescent="0.2">
      <c r="A9" s="95" t="s">
        <v>27</v>
      </c>
      <c r="B9" s="28" t="s">
        <v>424</v>
      </c>
      <c r="C9" s="271" t="s">
        <v>420</v>
      </c>
      <c r="D9" s="29">
        <v>200000</v>
      </c>
      <c r="E9" s="40"/>
      <c r="F9" s="40"/>
    </row>
    <row r="10" spans="1:6" ht="15.95" customHeight="1" x14ac:dyDescent="0.2">
      <c r="A10" s="95" t="s">
        <v>28</v>
      </c>
      <c r="B10" s="28" t="s">
        <v>425</v>
      </c>
      <c r="C10" s="28" t="s">
        <v>420</v>
      </c>
      <c r="D10" s="29">
        <v>800000</v>
      </c>
      <c r="E10" s="40"/>
      <c r="F10" s="40"/>
    </row>
    <row r="11" spans="1:6" ht="15.95" customHeight="1" x14ac:dyDescent="0.2">
      <c r="A11" s="95" t="s">
        <v>29</v>
      </c>
      <c r="B11" s="28" t="s">
        <v>426</v>
      </c>
      <c r="C11" s="270" t="s">
        <v>420</v>
      </c>
      <c r="D11" s="29">
        <v>100000</v>
      </c>
      <c r="E11" s="40"/>
      <c r="F11" s="40"/>
    </row>
    <row r="12" spans="1:6" ht="15.95" customHeight="1" x14ac:dyDescent="0.2">
      <c r="A12" s="95" t="s">
        <v>30</v>
      </c>
      <c r="B12" s="28" t="s">
        <v>427</v>
      </c>
      <c r="C12" s="270" t="s">
        <v>420</v>
      </c>
      <c r="D12" s="29">
        <v>50000</v>
      </c>
      <c r="E12" s="40"/>
      <c r="F12" s="40"/>
    </row>
    <row r="13" spans="1:6" ht="15.95" customHeight="1" x14ac:dyDescent="0.2">
      <c r="A13" s="95" t="s">
        <v>31</v>
      </c>
      <c r="B13" s="28" t="s">
        <v>730</v>
      </c>
      <c r="C13" s="28" t="s">
        <v>428</v>
      </c>
      <c r="D13" s="29">
        <v>34286575</v>
      </c>
      <c r="E13" s="40"/>
      <c r="F13" s="40"/>
    </row>
    <row r="14" spans="1:6" ht="15.95" customHeight="1" x14ac:dyDescent="0.2">
      <c r="A14" s="95" t="s">
        <v>32</v>
      </c>
      <c r="B14" s="28" t="s">
        <v>731</v>
      </c>
      <c r="C14" s="28" t="s">
        <v>428</v>
      </c>
      <c r="D14" s="29">
        <v>3094850</v>
      </c>
      <c r="E14" s="40"/>
      <c r="F14" s="40"/>
    </row>
    <row r="15" spans="1:6" ht="15.95" customHeight="1" x14ac:dyDescent="0.2">
      <c r="A15" s="95"/>
      <c r="B15" s="28" t="s">
        <v>732</v>
      </c>
      <c r="C15" s="28" t="s">
        <v>428</v>
      </c>
      <c r="D15" s="29">
        <v>17119005</v>
      </c>
      <c r="E15" s="40"/>
      <c r="F15" s="40"/>
    </row>
    <row r="16" spans="1:6" ht="15.95" customHeight="1" x14ac:dyDescent="0.2">
      <c r="A16" s="95"/>
      <c r="B16" s="28" t="s">
        <v>731</v>
      </c>
      <c r="C16" s="28" t="s">
        <v>428</v>
      </c>
      <c r="D16" s="29">
        <v>1988342</v>
      </c>
      <c r="E16" s="40"/>
      <c r="F16" s="40"/>
    </row>
    <row r="17" spans="1:6" ht="15.95" customHeight="1" x14ac:dyDescent="0.2">
      <c r="A17" s="95"/>
      <c r="B17" s="28" t="s">
        <v>733</v>
      </c>
      <c r="C17" s="28" t="s">
        <v>428</v>
      </c>
      <c r="D17" s="29">
        <v>9221949</v>
      </c>
      <c r="E17" s="40"/>
      <c r="F17" s="40"/>
    </row>
    <row r="18" spans="1:6" ht="15.95" customHeight="1" x14ac:dyDescent="0.2">
      <c r="A18" s="95" t="s">
        <v>33</v>
      </c>
      <c r="B18" s="28" t="s">
        <v>469</v>
      </c>
      <c r="C18" s="28" t="s">
        <v>420</v>
      </c>
      <c r="D18" s="29">
        <v>10141218</v>
      </c>
      <c r="E18" s="40"/>
      <c r="F18" s="40"/>
    </row>
    <row r="19" spans="1:6" ht="15.95" customHeight="1" x14ac:dyDescent="0.2">
      <c r="A19" s="95" t="s">
        <v>34</v>
      </c>
      <c r="B19" s="28" t="s">
        <v>429</v>
      </c>
      <c r="C19" s="28" t="s">
        <v>420</v>
      </c>
      <c r="D19" s="29">
        <v>19982000</v>
      </c>
      <c r="E19" s="40"/>
      <c r="F19" s="294"/>
    </row>
    <row r="20" spans="1:6" ht="15.95" customHeight="1" x14ac:dyDescent="0.2">
      <c r="A20" s="95" t="s">
        <v>35</v>
      </c>
      <c r="B20" s="28" t="s">
        <v>430</v>
      </c>
      <c r="C20" s="28" t="s">
        <v>420</v>
      </c>
      <c r="D20" s="29"/>
      <c r="E20" s="40"/>
      <c r="F20" s="40"/>
    </row>
    <row r="21" spans="1:6" ht="15.95" customHeight="1" x14ac:dyDescent="0.2">
      <c r="A21" s="95" t="s">
        <v>36</v>
      </c>
      <c r="B21" s="28" t="s">
        <v>602</v>
      </c>
      <c r="C21" s="28" t="s">
        <v>420</v>
      </c>
      <c r="D21" s="29">
        <v>150000</v>
      </c>
    </row>
    <row r="22" spans="1:6" ht="15.95" customHeight="1" x14ac:dyDescent="0.2">
      <c r="A22" s="95" t="s">
        <v>37</v>
      </c>
      <c r="B22" s="28" t="s">
        <v>3</v>
      </c>
      <c r="C22" s="28" t="s">
        <v>420</v>
      </c>
      <c r="D22" s="53">
        <v>13000000</v>
      </c>
    </row>
    <row r="23" spans="1:6" ht="22.5" x14ac:dyDescent="0.2">
      <c r="A23" s="95" t="s">
        <v>41</v>
      </c>
      <c r="B23" s="606" t="s">
        <v>618</v>
      </c>
      <c r="C23" s="28" t="s">
        <v>420</v>
      </c>
      <c r="D23" s="53">
        <v>3000000</v>
      </c>
    </row>
    <row r="24" spans="1:6" ht="15.95" customHeight="1" x14ac:dyDescent="0.2">
      <c r="A24" s="95" t="s">
        <v>44</v>
      </c>
      <c r="B24" s="28" t="s">
        <v>614</v>
      </c>
      <c r="C24" s="28" t="s">
        <v>420</v>
      </c>
      <c r="D24" s="53">
        <v>4093000</v>
      </c>
    </row>
    <row r="25" spans="1:6" ht="15.95" customHeight="1" x14ac:dyDescent="0.2">
      <c r="A25" s="95" t="s">
        <v>45</v>
      </c>
      <c r="B25" s="28" t="s">
        <v>728</v>
      </c>
      <c r="C25" s="28" t="s">
        <v>420</v>
      </c>
      <c r="D25" s="53">
        <v>84924866</v>
      </c>
    </row>
    <row r="26" spans="1:6" ht="15.95" customHeight="1" x14ac:dyDescent="0.2">
      <c r="A26" s="95" t="s">
        <v>47</v>
      </c>
      <c r="B26" s="28" t="s">
        <v>619</v>
      </c>
      <c r="C26" s="28" t="s">
        <v>420</v>
      </c>
      <c r="D26" s="53">
        <v>60000</v>
      </c>
    </row>
    <row r="27" spans="1:6" ht="15.95" customHeight="1" x14ac:dyDescent="0.2">
      <c r="A27" s="95" t="s">
        <v>50</v>
      </c>
      <c r="B27" s="28" t="s">
        <v>729</v>
      </c>
      <c r="C27" s="28" t="s">
        <v>420</v>
      </c>
      <c r="D27" s="53">
        <v>660000</v>
      </c>
    </row>
    <row r="28" spans="1:6" ht="15.95" customHeight="1" x14ac:dyDescent="0.2">
      <c r="A28" s="95" t="s">
        <v>51</v>
      </c>
      <c r="B28" s="28" t="s">
        <v>759</v>
      </c>
      <c r="C28" s="28" t="s">
        <v>428</v>
      </c>
      <c r="D28" s="53">
        <v>100000</v>
      </c>
    </row>
    <row r="29" spans="1:6" ht="15.95" customHeight="1" thickBot="1" x14ac:dyDescent="0.25">
      <c r="A29" s="95" t="s">
        <v>766</v>
      </c>
      <c r="B29" s="28" t="s">
        <v>3</v>
      </c>
      <c r="C29" s="28" t="s">
        <v>428</v>
      </c>
      <c r="D29" s="53">
        <v>510000</v>
      </c>
    </row>
    <row r="30" spans="1:6" ht="15.95" customHeight="1" thickBot="1" x14ac:dyDescent="0.25">
      <c r="A30" s="1043" t="s">
        <v>57</v>
      </c>
      <c r="B30" s="1044"/>
      <c r="C30" s="96"/>
      <c r="D30" s="97">
        <f>SUM(D5:D29)</f>
        <v>218981805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31. melléklet a 17/2018.(VII.27.)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2"/>
  <sheetViews>
    <sheetView view="pageLayout" zoomScale="85" zoomScaleNormal="100" zoomScalePageLayoutView="85" workbookViewId="0">
      <selection activeCell="J3" sqref="J3"/>
    </sheetView>
  </sheetViews>
  <sheetFormatPr defaultColWidth="10.6640625" defaultRowHeight="12.75" x14ac:dyDescent="0.2"/>
  <cols>
    <col min="1" max="1" width="42.33203125" style="396" customWidth="1"/>
    <col min="2" max="2" width="13" style="397" bestFit="1" customWidth="1"/>
    <col min="3" max="4" width="11.1640625" style="397" bestFit="1" customWidth="1"/>
    <col min="5" max="5" width="11.33203125" style="397" bestFit="1" customWidth="1"/>
    <col min="6" max="6" width="11.83203125" style="397" bestFit="1" customWidth="1"/>
    <col min="7" max="7" width="13.6640625" style="398" bestFit="1" customWidth="1"/>
    <col min="8" max="8" width="1.1640625" style="398" customWidth="1"/>
    <col min="9" max="9" width="12.6640625" style="396" bestFit="1" customWidth="1"/>
    <col min="10" max="10" width="11.1640625" style="396" bestFit="1" customWidth="1"/>
    <col min="11" max="11" width="13" style="396" bestFit="1" customWidth="1"/>
    <col min="12" max="13" width="11.1640625" style="396" bestFit="1" customWidth="1"/>
    <col min="14" max="14" width="15.1640625" style="399" bestFit="1" customWidth="1"/>
    <col min="15" max="15" width="15.1640625" style="396" bestFit="1" customWidth="1"/>
    <col min="16" max="16384" width="10.6640625" style="396"/>
  </cols>
  <sheetData>
    <row r="1" spans="1:194" x14ac:dyDescent="0.2">
      <c r="J1" s="1045"/>
      <c r="K1" s="1045"/>
      <c r="L1" s="1045"/>
      <c r="M1" s="1045"/>
    </row>
    <row r="2" spans="1:194" x14ac:dyDescent="0.2">
      <c r="A2" s="400"/>
      <c r="E2" s="401"/>
      <c r="I2" s="400"/>
      <c r="J2" s="1046"/>
      <c r="K2" s="1046"/>
      <c r="L2" s="1046"/>
      <c r="M2" s="1046"/>
      <c r="N2" s="402"/>
    </row>
    <row r="3" spans="1:194" ht="17.25" customHeight="1" x14ac:dyDescent="0.35">
      <c r="A3" s="403" t="s">
        <v>641</v>
      </c>
      <c r="B3" s="404"/>
      <c r="C3" s="404"/>
      <c r="D3" s="404"/>
      <c r="E3" s="404"/>
      <c r="F3" s="404"/>
      <c r="G3" s="405"/>
      <c r="H3" s="405"/>
      <c r="I3" s="406"/>
      <c r="J3" s="406"/>
      <c r="K3" s="406"/>
      <c r="L3" s="406"/>
      <c r="M3" s="406"/>
      <c r="N3" s="407"/>
      <c r="O3" s="853"/>
    </row>
    <row r="4" spans="1:194" ht="19.5" x14ac:dyDescent="0.35">
      <c r="A4" s="408" t="s">
        <v>431</v>
      </c>
      <c r="B4" s="404"/>
      <c r="C4" s="404"/>
      <c r="D4" s="404"/>
      <c r="E4" s="404"/>
      <c r="F4" s="404"/>
      <c r="G4" s="405"/>
      <c r="H4" s="405"/>
      <c r="I4" s="406"/>
      <c r="J4" s="406"/>
      <c r="K4" s="406"/>
      <c r="L4" s="406"/>
      <c r="M4" s="406"/>
      <c r="N4" s="407"/>
      <c r="O4" s="853"/>
    </row>
    <row r="5" spans="1:194" ht="0.75" customHeight="1" thickBot="1" x14ac:dyDescent="0.35">
      <c r="A5" s="409"/>
      <c r="B5" s="404"/>
      <c r="C5" s="404"/>
      <c r="D5" s="404"/>
      <c r="E5" s="404"/>
      <c r="F5" s="404"/>
      <c r="G5" s="405"/>
      <c r="H5" s="405"/>
      <c r="I5" s="406"/>
      <c r="J5" s="406"/>
      <c r="K5" s="406"/>
      <c r="L5" s="406"/>
      <c r="M5" s="406"/>
      <c r="N5" s="402" t="s">
        <v>376</v>
      </c>
      <c r="O5" s="853"/>
    </row>
    <row r="6" spans="1:194" ht="15.75" x14ac:dyDescent="0.25">
      <c r="A6" s="410" t="s">
        <v>161</v>
      </c>
      <c r="B6" s="1047" t="s">
        <v>432</v>
      </c>
      <c r="C6" s="1048"/>
      <c r="D6" s="1048"/>
      <c r="E6" s="1048"/>
      <c r="F6" s="1048"/>
      <c r="G6" s="1049"/>
      <c r="H6" s="411"/>
      <c r="I6" s="1047" t="s">
        <v>433</v>
      </c>
      <c r="J6" s="1048"/>
      <c r="K6" s="1048"/>
      <c r="L6" s="1048"/>
      <c r="M6" s="1048"/>
      <c r="N6" s="1049"/>
      <c r="O6" s="853"/>
    </row>
    <row r="7" spans="1:194" x14ac:dyDescent="0.2">
      <c r="A7" s="412"/>
      <c r="B7" s="413" t="s">
        <v>434</v>
      </c>
      <c r="C7" s="414" t="s">
        <v>390</v>
      </c>
      <c r="D7" s="414" t="s">
        <v>456</v>
      </c>
      <c r="E7" s="414" t="s">
        <v>435</v>
      </c>
      <c r="F7" s="414" t="s">
        <v>579</v>
      </c>
      <c r="G7" s="415" t="s">
        <v>642</v>
      </c>
      <c r="H7" s="416"/>
      <c r="I7" s="413" t="s">
        <v>434</v>
      </c>
      <c r="J7" s="414" t="s">
        <v>390</v>
      </c>
      <c r="K7" s="414" t="s">
        <v>465</v>
      </c>
      <c r="L7" s="414" t="s">
        <v>123</v>
      </c>
      <c r="M7" s="414" t="s">
        <v>457</v>
      </c>
      <c r="N7" s="415" t="s">
        <v>643</v>
      </c>
      <c r="O7" s="853"/>
    </row>
    <row r="8" spans="1:194" ht="13.5" thickBot="1" x14ac:dyDescent="0.25">
      <c r="A8" s="417"/>
      <c r="B8" s="418" t="s">
        <v>436</v>
      </c>
      <c r="C8" s="419" t="s">
        <v>436</v>
      </c>
      <c r="D8" s="419" t="s">
        <v>436</v>
      </c>
      <c r="E8" s="419" t="s">
        <v>437</v>
      </c>
      <c r="F8" s="419"/>
      <c r="G8" s="420" t="s">
        <v>438</v>
      </c>
      <c r="H8" s="421"/>
      <c r="I8" s="493" t="s">
        <v>439</v>
      </c>
      <c r="J8" s="494" t="s">
        <v>396</v>
      </c>
      <c r="K8" s="494" t="s">
        <v>392</v>
      </c>
      <c r="L8" s="494"/>
      <c r="M8" s="494"/>
      <c r="N8" s="495" t="s">
        <v>440</v>
      </c>
      <c r="O8" s="853"/>
    </row>
    <row r="9" spans="1:194" x14ac:dyDescent="0.2">
      <c r="A9" s="496" t="s">
        <v>458</v>
      </c>
      <c r="B9" s="422">
        <v>2900000</v>
      </c>
      <c r="C9" s="423"/>
      <c r="D9" s="424"/>
      <c r="E9" s="423"/>
      <c r="F9" s="423"/>
      <c r="G9" s="425">
        <f>SUM(B9:F9)</f>
        <v>2900000</v>
      </c>
      <c r="H9" s="426"/>
      <c r="I9" s="427"/>
      <c r="J9" s="423">
        <f>359410+592500+159975</f>
        <v>1111885</v>
      </c>
      <c r="K9" s="428"/>
      <c r="L9" s="423"/>
      <c r="M9" s="423"/>
      <c r="N9" s="429">
        <f t="shared" ref="N9:N52" si="0">SUM(I9:M9)</f>
        <v>1111885</v>
      </c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  <c r="CB9" s="430"/>
      <c r="CC9" s="430"/>
      <c r="CD9" s="430"/>
      <c r="CE9" s="430"/>
      <c r="CF9" s="430"/>
      <c r="CG9" s="430"/>
      <c r="CH9" s="430"/>
      <c r="CI9" s="430"/>
      <c r="CJ9" s="430"/>
      <c r="CK9" s="430"/>
      <c r="CL9" s="430"/>
      <c r="CM9" s="430"/>
      <c r="CN9" s="430"/>
      <c r="CO9" s="430"/>
      <c r="CP9" s="430"/>
      <c r="CQ9" s="430"/>
      <c r="CR9" s="430"/>
      <c r="CS9" s="430"/>
      <c r="CT9" s="430"/>
      <c r="CU9" s="430"/>
      <c r="CV9" s="430"/>
      <c r="CW9" s="430"/>
      <c r="CX9" s="430"/>
      <c r="CY9" s="430"/>
      <c r="CZ9" s="430"/>
      <c r="DA9" s="430"/>
      <c r="DB9" s="430"/>
      <c r="DC9" s="430"/>
      <c r="DD9" s="430"/>
      <c r="DE9" s="430"/>
      <c r="DF9" s="430"/>
      <c r="DG9" s="430"/>
      <c r="DH9" s="430"/>
      <c r="DI9" s="430"/>
      <c r="DJ9" s="430"/>
      <c r="DK9" s="430"/>
      <c r="DL9" s="430"/>
      <c r="DM9" s="430"/>
      <c r="DN9" s="430"/>
      <c r="DO9" s="430"/>
      <c r="DP9" s="430"/>
      <c r="DQ9" s="430"/>
      <c r="DR9" s="430"/>
      <c r="DS9" s="430"/>
      <c r="DT9" s="430"/>
      <c r="DU9" s="430"/>
      <c r="DV9" s="430"/>
      <c r="DW9" s="430"/>
      <c r="DX9" s="430"/>
      <c r="DY9" s="430"/>
      <c r="DZ9" s="430"/>
      <c r="EA9" s="430"/>
      <c r="EB9" s="430"/>
      <c r="EC9" s="430"/>
      <c r="ED9" s="430"/>
      <c r="EE9" s="430"/>
      <c r="EF9" s="430"/>
      <c r="EG9" s="430"/>
      <c r="EH9" s="430"/>
      <c r="EI9" s="430"/>
      <c r="EJ9" s="430"/>
      <c r="EK9" s="430"/>
      <c r="EL9" s="430"/>
      <c r="EM9" s="430"/>
      <c r="EN9" s="430"/>
      <c r="EO9" s="430"/>
      <c r="EP9" s="430"/>
      <c r="EQ9" s="430"/>
      <c r="ER9" s="430"/>
      <c r="ES9" s="430"/>
      <c r="ET9" s="430"/>
      <c r="EU9" s="430"/>
      <c r="EV9" s="430"/>
      <c r="EW9" s="430"/>
      <c r="EX9" s="430"/>
      <c r="EY9" s="430"/>
      <c r="EZ9" s="430"/>
      <c r="FA9" s="430"/>
      <c r="FB9" s="430"/>
      <c r="FC9" s="430"/>
      <c r="FD9" s="430"/>
      <c r="FE9" s="430"/>
      <c r="FF9" s="430"/>
      <c r="FG9" s="430"/>
      <c r="FH9" s="430"/>
      <c r="FI9" s="430"/>
      <c r="FJ9" s="430"/>
      <c r="FK9" s="430"/>
      <c r="FL9" s="430"/>
      <c r="FM9" s="430"/>
      <c r="FN9" s="430"/>
      <c r="FO9" s="430"/>
      <c r="FP9" s="430"/>
      <c r="FQ9" s="430"/>
      <c r="FR9" s="430"/>
      <c r="FS9" s="430"/>
      <c r="FT9" s="430"/>
      <c r="FU9" s="430"/>
      <c r="FV9" s="430"/>
      <c r="FW9" s="430"/>
      <c r="FX9" s="430"/>
      <c r="FY9" s="430"/>
      <c r="FZ9" s="430"/>
      <c r="GA9" s="430"/>
      <c r="GB9" s="430"/>
      <c r="GC9" s="430"/>
      <c r="GD9" s="430"/>
      <c r="GE9" s="430"/>
      <c r="GF9" s="430"/>
      <c r="GG9" s="430"/>
      <c r="GH9" s="430"/>
      <c r="GI9" s="430"/>
      <c r="GJ9" s="430"/>
      <c r="GK9" s="430"/>
      <c r="GL9" s="430"/>
    </row>
    <row r="10" spans="1:194" x14ac:dyDescent="0.2">
      <c r="A10" s="437" t="s">
        <v>569</v>
      </c>
      <c r="B10" s="431"/>
      <c r="C10" s="432"/>
      <c r="D10" s="432"/>
      <c r="E10" s="432"/>
      <c r="F10" s="432"/>
      <c r="G10" s="433">
        <f>SUM(B10:F10)</f>
        <v>0</v>
      </c>
      <c r="H10" s="434"/>
      <c r="I10" s="435">
        <v>13447475</v>
      </c>
      <c r="J10" s="432"/>
      <c r="K10" s="432"/>
      <c r="L10" s="432"/>
      <c r="M10" s="432"/>
      <c r="N10" s="436">
        <f t="shared" si="0"/>
        <v>13447475</v>
      </c>
      <c r="O10" s="853"/>
    </row>
    <row r="11" spans="1:194" x14ac:dyDescent="0.2">
      <c r="A11" s="437" t="s">
        <v>582</v>
      </c>
      <c r="B11" s="431"/>
      <c r="C11" s="432"/>
      <c r="D11" s="432"/>
      <c r="E11" s="432"/>
      <c r="F11" s="432"/>
      <c r="G11" s="433">
        <f>SUM(B11:F11)</f>
        <v>0</v>
      </c>
      <c r="H11" s="434"/>
      <c r="I11" s="435">
        <v>835000</v>
      </c>
      <c r="J11" s="432"/>
      <c r="K11" s="432"/>
      <c r="L11" s="432"/>
      <c r="M11" s="432"/>
      <c r="N11" s="436">
        <f t="shared" si="0"/>
        <v>835000</v>
      </c>
      <c r="O11" s="853"/>
    </row>
    <row r="12" spans="1:194" x14ac:dyDescent="0.2">
      <c r="A12" s="437" t="s">
        <v>583</v>
      </c>
      <c r="B12" s="431"/>
      <c r="C12" s="432">
        <f>15690532-15690532</f>
        <v>0</v>
      </c>
      <c r="D12" s="432"/>
      <c r="E12" s="432"/>
      <c r="F12" s="432"/>
      <c r="G12" s="433">
        <f>SUM(B12:F12)</f>
        <v>0</v>
      </c>
      <c r="H12" s="438"/>
      <c r="I12" s="435">
        <v>50000</v>
      </c>
      <c r="J12" s="432">
        <v>2345001</v>
      </c>
      <c r="K12" s="432"/>
      <c r="L12" s="432"/>
      <c r="M12" s="432"/>
      <c r="N12" s="436">
        <f t="shared" si="0"/>
        <v>2395001</v>
      </c>
      <c r="O12" s="853"/>
    </row>
    <row r="13" spans="1:194" x14ac:dyDescent="0.2">
      <c r="A13" s="437" t="s">
        <v>459</v>
      </c>
      <c r="B13" s="431"/>
      <c r="C13" s="439"/>
      <c r="D13" s="432"/>
      <c r="E13" s="432"/>
      <c r="F13" s="432"/>
      <c r="G13" s="433">
        <f t="shared" ref="G13:G19" si="1">SUM(B13:F13)</f>
        <v>0</v>
      </c>
      <c r="H13" s="440" t="e">
        <f>SUM(#REF!)</f>
        <v>#REF!</v>
      </c>
      <c r="I13" s="435"/>
      <c r="J13" s="432"/>
      <c r="K13" s="432"/>
      <c r="L13" s="432"/>
      <c r="M13" s="432"/>
      <c r="N13" s="436">
        <f t="shared" si="0"/>
        <v>0</v>
      </c>
      <c r="O13" s="853"/>
    </row>
    <row r="14" spans="1:194" x14ac:dyDescent="0.2">
      <c r="A14" s="441" t="s">
        <v>570</v>
      </c>
      <c r="B14" s="431">
        <v>19342000</v>
      </c>
      <c r="C14" s="442"/>
      <c r="D14" s="432"/>
      <c r="E14" s="442"/>
      <c r="F14" s="442"/>
      <c r="G14" s="436">
        <f t="shared" si="1"/>
        <v>19342000</v>
      </c>
      <c r="H14" s="434"/>
      <c r="I14" s="998">
        <f>16099000+50000-50000</f>
        <v>16099000</v>
      </c>
      <c r="J14" s="432"/>
      <c r="K14" s="442"/>
      <c r="L14" s="442"/>
      <c r="M14" s="442"/>
      <c r="N14" s="436">
        <f t="shared" si="0"/>
        <v>16099000</v>
      </c>
      <c r="O14" s="853"/>
    </row>
    <row r="15" spans="1:194" x14ac:dyDescent="0.2">
      <c r="A15" s="437" t="s">
        <v>441</v>
      </c>
      <c r="B15" s="431"/>
      <c r="C15" s="432"/>
      <c r="D15" s="432"/>
      <c r="E15" s="432"/>
      <c r="F15" s="432"/>
      <c r="G15" s="433">
        <f t="shared" si="1"/>
        <v>0</v>
      </c>
      <c r="H15" s="434"/>
      <c r="I15" s="998">
        <f>12484218-1724410-465591</f>
        <v>10294217</v>
      </c>
      <c r="J15" s="1001">
        <f>1881000+2678898+723303</f>
        <v>5283201</v>
      </c>
      <c r="K15" s="432"/>
      <c r="L15" s="432"/>
      <c r="M15" s="432"/>
      <c r="N15" s="436">
        <f t="shared" si="0"/>
        <v>15577418</v>
      </c>
      <c r="O15" s="853"/>
    </row>
    <row r="16" spans="1:194" x14ac:dyDescent="0.2">
      <c r="A16" s="437" t="s">
        <v>442</v>
      </c>
      <c r="B16" s="431">
        <v>481000</v>
      </c>
      <c r="C16" s="432"/>
      <c r="D16" s="432"/>
      <c r="E16" s="432"/>
      <c r="F16" s="432"/>
      <c r="G16" s="433">
        <f t="shared" si="1"/>
        <v>481000</v>
      </c>
      <c r="H16" s="434"/>
      <c r="I16" s="435">
        <v>2456000</v>
      </c>
      <c r="J16" s="432"/>
      <c r="K16" s="432"/>
      <c r="L16" s="432"/>
      <c r="M16" s="432"/>
      <c r="N16" s="436">
        <f t="shared" si="0"/>
        <v>2456000</v>
      </c>
      <c r="O16" s="853"/>
    </row>
    <row r="17" spans="1:15" x14ac:dyDescent="0.2">
      <c r="A17" s="437" t="s">
        <v>443</v>
      </c>
      <c r="B17" s="431"/>
      <c r="C17" s="432"/>
      <c r="D17" s="432"/>
      <c r="E17" s="432"/>
      <c r="F17" s="432"/>
      <c r="G17" s="433">
        <f t="shared" si="1"/>
        <v>0</v>
      </c>
      <c r="H17" s="434"/>
      <c r="I17" s="435"/>
      <c r="J17" s="432"/>
      <c r="K17" s="432"/>
      <c r="L17" s="432"/>
      <c r="M17" s="432"/>
      <c r="N17" s="436">
        <f t="shared" si="0"/>
        <v>0</v>
      </c>
      <c r="O17" s="853"/>
    </row>
    <row r="18" spans="1:15" x14ac:dyDescent="0.2">
      <c r="A18" s="437" t="s">
        <v>444</v>
      </c>
      <c r="B18" s="443">
        <f>63500</f>
        <v>63500</v>
      </c>
      <c r="C18" s="442"/>
      <c r="D18" s="442"/>
      <c r="E18" s="442"/>
      <c r="F18" s="442"/>
      <c r="G18" s="436">
        <f t="shared" si="1"/>
        <v>63500</v>
      </c>
      <c r="H18" s="444"/>
      <c r="I18" s="998">
        <f>34373231+1095900+213701-198000-34749+70000+23800+4650-232749+12000+2331-58577-972+59549</f>
        <v>35330115</v>
      </c>
      <c r="J18" s="432"/>
      <c r="K18" s="442"/>
      <c r="L18" s="442"/>
      <c r="M18" s="442"/>
      <c r="N18" s="436">
        <f t="shared" si="0"/>
        <v>35330115</v>
      </c>
      <c r="O18" s="853"/>
    </row>
    <row r="19" spans="1:15" x14ac:dyDescent="0.2">
      <c r="A19" s="441" t="s">
        <v>445</v>
      </c>
      <c r="B19" s="443"/>
      <c r="C19" s="442"/>
      <c r="D19" s="442"/>
      <c r="E19" s="442"/>
      <c r="F19" s="442"/>
      <c r="G19" s="436">
        <f t="shared" si="1"/>
        <v>0</v>
      </c>
      <c r="H19" s="444"/>
      <c r="I19" s="998">
        <f>17856849+1016000+498000-216000</f>
        <v>19154849</v>
      </c>
      <c r="J19" s="442"/>
      <c r="K19" s="442"/>
      <c r="L19" s="442"/>
      <c r="M19" s="442"/>
      <c r="N19" s="436">
        <f t="shared" si="0"/>
        <v>19154849</v>
      </c>
      <c r="O19" s="853"/>
    </row>
    <row r="20" spans="1:15" x14ac:dyDescent="0.2">
      <c r="A20" s="437" t="s">
        <v>446</v>
      </c>
      <c r="B20" s="431">
        <f>SUM(B21:B23)</f>
        <v>0</v>
      </c>
      <c r="C20" s="432">
        <f>SUM(C21:C23)</f>
        <v>0</v>
      </c>
      <c r="D20" s="432">
        <f>SUM(D21:D23)</f>
        <v>345658000</v>
      </c>
      <c r="E20" s="432"/>
      <c r="F20" s="432"/>
      <c r="G20" s="436">
        <f>SUM(G21:G23)</f>
        <v>345658000</v>
      </c>
      <c r="H20" s="444"/>
      <c r="I20" s="445"/>
      <c r="J20" s="442"/>
      <c r="K20" s="442">
        <f>SUM(K21:K23)</f>
        <v>0</v>
      </c>
      <c r="L20" s="442"/>
      <c r="M20" s="442"/>
      <c r="N20" s="436">
        <f t="shared" si="0"/>
        <v>0</v>
      </c>
      <c r="O20" s="853"/>
    </row>
    <row r="21" spans="1:15" x14ac:dyDescent="0.2">
      <c r="A21" s="446" t="s">
        <v>460</v>
      </c>
      <c r="B21" s="431"/>
      <c r="C21" s="442"/>
      <c r="D21" s="431">
        <f>308658000+3500000</f>
        <v>312158000</v>
      </c>
      <c r="E21" s="442"/>
      <c r="F21" s="442"/>
      <c r="G21" s="447">
        <f t="shared" ref="G21:G27" si="2">SUM(B21:F21)</f>
        <v>312158000</v>
      </c>
      <c r="H21" s="444"/>
      <c r="I21" s="445"/>
      <c r="J21" s="442"/>
      <c r="K21" s="442"/>
      <c r="L21" s="442"/>
      <c r="M21" s="442"/>
      <c r="N21" s="448">
        <f t="shared" si="0"/>
        <v>0</v>
      </c>
      <c r="O21" s="853"/>
    </row>
    <row r="22" spans="1:15" x14ac:dyDescent="0.2">
      <c r="A22" s="446" t="s">
        <v>447</v>
      </c>
      <c r="B22" s="431"/>
      <c r="C22" s="442"/>
      <c r="D22" s="431">
        <v>28000000</v>
      </c>
      <c r="E22" s="442"/>
      <c r="F22" s="442"/>
      <c r="G22" s="447">
        <f t="shared" si="2"/>
        <v>28000000</v>
      </c>
      <c r="H22" s="444"/>
      <c r="I22" s="445"/>
      <c r="J22" s="442"/>
      <c r="K22" s="442"/>
      <c r="L22" s="442"/>
      <c r="M22" s="442"/>
      <c r="N22" s="448">
        <f t="shared" si="0"/>
        <v>0</v>
      </c>
      <c r="O22" s="853"/>
    </row>
    <row r="23" spans="1:15" x14ac:dyDescent="0.2">
      <c r="A23" s="446" t="s">
        <v>571</v>
      </c>
      <c r="B23" s="431"/>
      <c r="C23" s="442"/>
      <c r="D23" s="431">
        <v>5500000</v>
      </c>
      <c r="E23" s="442"/>
      <c r="F23" s="442"/>
      <c r="G23" s="447">
        <f t="shared" si="2"/>
        <v>5500000</v>
      </c>
      <c r="H23" s="444"/>
      <c r="I23" s="445"/>
      <c r="J23" s="442"/>
      <c r="K23" s="442"/>
      <c r="L23" s="442"/>
      <c r="M23" s="442"/>
      <c r="N23" s="448">
        <f t="shared" si="0"/>
        <v>0</v>
      </c>
      <c r="O23" s="853"/>
    </row>
    <row r="24" spans="1:15" x14ac:dyDescent="0.2">
      <c r="A24" s="607" t="s">
        <v>1</v>
      </c>
      <c r="B24" s="443"/>
      <c r="C24" s="442"/>
      <c r="D24" s="442"/>
      <c r="E24" s="442"/>
      <c r="F24" s="442"/>
      <c r="G24" s="447">
        <f t="shared" si="2"/>
        <v>0</v>
      </c>
      <c r="H24" s="444"/>
      <c r="I24" s="998">
        <f>34200000-15200000</f>
        <v>19000000</v>
      </c>
      <c r="J24" s="1001">
        <f>1120000+302400+4969510</f>
        <v>6391910</v>
      </c>
      <c r="K24" s="442"/>
      <c r="L24" s="442"/>
      <c r="M24" s="442"/>
      <c r="N24" s="436">
        <f t="shared" si="0"/>
        <v>25391910</v>
      </c>
      <c r="O24" s="853"/>
    </row>
    <row r="25" spans="1:15" x14ac:dyDescent="0.2">
      <c r="A25" s="437" t="s">
        <v>470</v>
      </c>
      <c r="B25" s="443"/>
      <c r="C25" s="442"/>
      <c r="D25" s="442"/>
      <c r="E25" s="442"/>
      <c r="F25" s="442"/>
      <c r="G25" s="436">
        <f t="shared" si="2"/>
        <v>0</v>
      </c>
      <c r="H25" s="444"/>
      <c r="I25" s="435"/>
      <c r="J25" s="442"/>
      <c r="K25" s="442"/>
      <c r="L25" s="442"/>
      <c r="M25" s="442"/>
      <c r="N25" s="436">
        <f t="shared" si="0"/>
        <v>0</v>
      </c>
      <c r="O25" s="853"/>
    </row>
    <row r="26" spans="1:15" x14ac:dyDescent="0.2">
      <c r="A26" s="437" t="s">
        <v>448</v>
      </c>
      <c r="B26" s="443"/>
      <c r="C26" s="442"/>
      <c r="D26" s="442"/>
      <c r="E26" s="442"/>
      <c r="F26" s="442"/>
      <c r="G26" s="436">
        <f t="shared" si="2"/>
        <v>0</v>
      </c>
      <c r="H26" s="444"/>
      <c r="I26" s="435">
        <v>34163000</v>
      </c>
      <c r="J26" s="442">
        <v>1500000</v>
      </c>
      <c r="K26" s="442"/>
      <c r="L26" s="442"/>
      <c r="M26" s="442"/>
      <c r="N26" s="436">
        <f t="shared" si="0"/>
        <v>35663000</v>
      </c>
      <c r="O26" s="853"/>
    </row>
    <row r="27" spans="1:15" ht="13.5" customHeight="1" x14ac:dyDescent="0.2">
      <c r="A27" s="497" t="s">
        <v>449</v>
      </c>
      <c r="B27" s="449">
        <f>4320000+1400000+378000+60000+300000+1978928</f>
        <v>8436928</v>
      </c>
      <c r="C27" s="450"/>
      <c r="D27" s="450">
        <v>7000000</v>
      </c>
      <c r="E27" s="451"/>
      <c r="F27" s="450"/>
      <c r="G27" s="452">
        <f t="shared" si="2"/>
        <v>15436928</v>
      </c>
      <c r="H27" s="444"/>
      <c r="I27" s="454">
        <f>16116992+2940000+50473064+52959801+61811+78740+37949+50000+13500+45720+1656000+322928+64000-277000-74000+277000+54015</f>
        <v>124800520</v>
      </c>
      <c r="J27" s="450">
        <f>3139585+216535+58465+360000+97200+510000</f>
        <v>4381785</v>
      </c>
      <c r="K27" s="450"/>
      <c r="L27" s="451"/>
      <c r="M27" s="451"/>
      <c r="N27" s="452">
        <f t="shared" si="0"/>
        <v>129182305</v>
      </c>
      <c r="O27" s="853"/>
    </row>
    <row r="28" spans="1:15" x14ac:dyDescent="0.2">
      <c r="A28" s="437" t="s">
        <v>461</v>
      </c>
      <c r="B28" s="431">
        <f t="shared" ref="B28:G28" si="3">SUM(B29:B31)</f>
        <v>1479717790</v>
      </c>
      <c r="C28" s="431">
        <f t="shared" si="3"/>
        <v>0</v>
      </c>
      <c r="D28" s="431">
        <f t="shared" si="3"/>
        <v>0</v>
      </c>
      <c r="E28" s="431">
        <f t="shared" si="3"/>
        <v>0</v>
      </c>
      <c r="F28" s="431">
        <f t="shared" si="3"/>
        <v>0</v>
      </c>
      <c r="G28" s="436">
        <f t="shared" si="3"/>
        <v>1479717790</v>
      </c>
      <c r="H28" s="453"/>
      <c r="I28" s="445">
        <f>SUM(I29:I30)</f>
        <v>43498589</v>
      </c>
      <c r="J28" s="445">
        <f>SUM(J29:J30)</f>
        <v>0</v>
      </c>
      <c r="K28" s="445">
        <f>SUM(K29:K30)</f>
        <v>0</v>
      </c>
      <c r="L28" s="445">
        <f>SUM(L29:L30)</f>
        <v>0</v>
      </c>
      <c r="M28" s="445">
        <f>SUM(M29:M30)</f>
        <v>0</v>
      </c>
      <c r="N28" s="436">
        <f t="shared" si="0"/>
        <v>43498589</v>
      </c>
      <c r="O28" s="853"/>
    </row>
    <row r="29" spans="1:15" x14ac:dyDescent="0.2">
      <c r="A29" s="446" t="s">
        <v>462</v>
      </c>
      <c r="B29" s="999">
        <f>227855923+224734134+126991000+65060600+119410000+192410145+62092600+16122040+12622000+735168+7543000</f>
        <v>1055576610</v>
      </c>
      <c r="C29" s="432"/>
      <c r="D29" s="442"/>
      <c r="E29" s="442"/>
      <c r="F29" s="442"/>
      <c r="G29" s="447">
        <f t="shared" ref="G29:G52" si="4">SUM(B29:F29)</f>
        <v>1055576610</v>
      </c>
      <c r="H29" s="444"/>
      <c r="I29" s="435">
        <v>3869819</v>
      </c>
      <c r="J29" s="442"/>
      <c r="K29" s="442"/>
      <c r="L29" s="442"/>
      <c r="M29" s="442"/>
      <c r="N29" s="448">
        <f t="shared" si="0"/>
        <v>3869819</v>
      </c>
      <c r="O29" s="853"/>
    </row>
    <row r="30" spans="1:15" x14ac:dyDescent="0.2">
      <c r="A30" s="446" t="s">
        <v>463</v>
      </c>
      <c r="B30" s="854">
        <f>16254886+63796813+190231327+125887110+24250000+1309600+1013108+1398336+534048-534048</f>
        <v>424141180</v>
      </c>
      <c r="C30" s="432"/>
      <c r="D30" s="432"/>
      <c r="E30" s="442"/>
      <c r="F30" s="442"/>
      <c r="G30" s="447">
        <f t="shared" si="4"/>
        <v>424141180</v>
      </c>
      <c r="H30" s="444"/>
      <c r="I30" s="998">
        <f>38267591+1202179+159000</f>
        <v>39628770</v>
      </c>
      <c r="J30" s="442"/>
      <c r="K30" s="442"/>
      <c r="L30" s="442"/>
      <c r="M30" s="442"/>
      <c r="N30" s="436">
        <f t="shared" si="0"/>
        <v>39628770</v>
      </c>
      <c r="O30" s="853"/>
    </row>
    <row r="31" spans="1:15" x14ac:dyDescent="0.2">
      <c r="A31" s="446" t="s">
        <v>616</v>
      </c>
      <c r="B31" s="543"/>
      <c r="C31" s="432"/>
      <c r="D31" s="432"/>
      <c r="E31" s="442"/>
      <c r="F31" s="442"/>
      <c r="G31" s="447">
        <f t="shared" si="4"/>
        <v>0</v>
      </c>
      <c r="H31" s="444"/>
      <c r="I31" s="435"/>
      <c r="J31" s="442"/>
      <c r="K31" s="442"/>
      <c r="L31" s="442"/>
      <c r="M31" s="442"/>
      <c r="N31" s="436"/>
      <c r="O31" s="853"/>
    </row>
    <row r="32" spans="1:15" x14ac:dyDescent="0.2">
      <c r="A32" s="437" t="s">
        <v>450</v>
      </c>
      <c r="B32" s="431">
        <v>30000</v>
      </c>
      <c r="C32" s="432"/>
      <c r="D32" s="432"/>
      <c r="E32" s="432">
        <v>193478462</v>
      </c>
      <c r="F32" s="432"/>
      <c r="G32" s="433">
        <f t="shared" si="4"/>
        <v>193508462</v>
      </c>
      <c r="H32" s="434"/>
      <c r="I32" s="435">
        <f>3285067+156511+9000000</f>
        <v>12441578</v>
      </c>
      <c r="J32" s="432"/>
      <c r="K32" s="432"/>
      <c r="L32" s="432">
        <f>104042704+4444000</f>
        <v>108486704</v>
      </c>
      <c r="M32" s="432">
        <v>56822974</v>
      </c>
      <c r="N32" s="436">
        <f t="shared" si="0"/>
        <v>177751256</v>
      </c>
      <c r="O32" s="853"/>
    </row>
    <row r="33" spans="1:15" x14ac:dyDescent="0.2">
      <c r="A33" s="437" t="s">
        <v>464</v>
      </c>
      <c r="B33" s="443"/>
      <c r="C33" s="442"/>
      <c r="D33" s="442"/>
      <c r="E33" s="442"/>
      <c r="F33" s="432">
        <f>569119704+25384054</f>
        <v>594503758</v>
      </c>
      <c r="G33" s="436">
        <f t="shared" si="4"/>
        <v>594503758</v>
      </c>
      <c r="H33" s="444"/>
      <c r="I33" s="435"/>
      <c r="J33" s="432"/>
      <c r="K33" s="432">
        <v>1351358545</v>
      </c>
      <c r="L33" s="432"/>
      <c r="M33" s="432"/>
      <c r="N33" s="436">
        <f t="shared" si="0"/>
        <v>1351358545</v>
      </c>
      <c r="O33" s="853"/>
    </row>
    <row r="34" spans="1:15" x14ac:dyDescent="0.2">
      <c r="A34" s="437" t="s">
        <v>451</v>
      </c>
      <c r="B34" s="431"/>
      <c r="C34" s="432"/>
      <c r="D34" s="432"/>
      <c r="E34" s="432"/>
      <c r="F34" s="432"/>
      <c r="G34" s="436">
        <f t="shared" si="4"/>
        <v>0</v>
      </c>
      <c r="H34" s="444"/>
      <c r="I34" s="435">
        <v>577000</v>
      </c>
      <c r="J34" s="432"/>
      <c r="K34" s="432"/>
      <c r="L34" s="432"/>
      <c r="M34" s="432"/>
      <c r="N34" s="436">
        <f t="shared" si="0"/>
        <v>577000</v>
      </c>
      <c r="O34" s="853"/>
    </row>
    <row r="35" spans="1:15" x14ac:dyDescent="0.2">
      <c r="A35" s="497" t="s">
        <v>452</v>
      </c>
      <c r="B35" s="449"/>
      <c r="C35" s="450">
        <v>3779393</v>
      </c>
      <c r="D35" s="450"/>
      <c r="E35" s="450"/>
      <c r="F35" s="450"/>
      <c r="G35" s="436">
        <f t="shared" si="4"/>
        <v>3779393</v>
      </c>
      <c r="H35" s="444"/>
      <c r="I35" s="454">
        <f>1182990+207615+350000+1874803+200000+655000+14128085</f>
        <v>18598493</v>
      </c>
      <c r="J35" s="817">
        <f>33894811+20930495+628000+169560</f>
        <v>55622866</v>
      </c>
      <c r="K35" s="450"/>
      <c r="L35" s="450"/>
      <c r="M35" s="450"/>
      <c r="N35" s="436">
        <f t="shared" si="0"/>
        <v>74221359</v>
      </c>
      <c r="O35" s="853"/>
    </row>
    <row r="36" spans="1:15" x14ac:dyDescent="0.2">
      <c r="A36" s="497" t="s">
        <v>773</v>
      </c>
      <c r="B36" s="818">
        <v>11367000</v>
      </c>
      <c r="C36" s="450"/>
      <c r="D36" s="450"/>
      <c r="E36" s="450"/>
      <c r="F36" s="450"/>
      <c r="G36" s="436">
        <f t="shared" si="4"/>
        <v>11367000</v>
      </c>
      <c r="H36" s="444"/>
      <c r="I36" s="794">
        <f>9691353+305233+1949335+140000+110236+59844+44883+375591+532000+97636+185810</f>
        <v>13491921</v>
      </c>
      <c r="J36" s="450"/>
      <c r="K36" s="450"/>
      <c r="L36" s="450"/>
      <c r="M36" s="450"/>
      <c r="N36" s="436">
        <f t="shared" si="0"/>
        <v>13491921</v>
      </c>
      <c r="O36" s="853"/>
    </row>
    <row r="37" spans="1:15" x14ac:dyDescent="0.2">
      <c r="A37" s="497" t="s">
        <v>774</v>
      </c>
      <c r="B37" s="818">
        <v>15000</v>
      </c>
      <c r="C37" s="450"/>
      <c r="D37" s="450"/>
      <c r="E37" s="450"/>
      <c r="F37" s="450"/>
      <c r="G37" s="436">
        <f t="shared" si="4"/>
        <v>15000</v>
      </c>
      <c r="H37" s="444"/>
      <c r="I37" s="794">
        <f>862563+168200</f>
        <v>1030763</v>
      </c>
      <c r="J37" s="450"/>
      <c r="K37" s="450"/>
      <c r="L37" s="450"/>
      <c r="M37" s="450"/>
      <c r="N37" s="436">
        <f t="shared" si="0"/>
        <v>1030763</v>
      </c>
      <c r="O37" s="853"/>
    </row>
    <row r="38" spans="1:15" x14ac:dyDescent="0.2">
      <c r="A38" s="497" t="s">
        <v>466</v>
      </c>
      <c r="B38" s="449"/>
      <c r="C38" s="450"/>
      <c r="D38" s="450"/>
      <c r="E38" s="450"/>
      <c r="F38" s="450"/>
      <c r="G38" s="436">
        <f t="shared" si="4"/>
        <v>0</v>
      </c>
      <c r="H38" s="444"/>
      <c r="I38" s="454">
        <f>6187000+118952+153938</f>
        <v>6459890</v>
      </c>
      <c r="J38" s="450">
        <v>377190</v>
      </c>
      <c r="K38" s="450"/>
      <c r="L38" s="450"/>
      <c r="M38" s="450"/>
      <c r="N38" s="436">
        <f t="shared" si="0"/>
        <v>6837080</v>
      </c>
      <c r="O38" s="853"/>
    </row>
    <row r="39" spans="1:15" x14ac:dyDescent="0.2">
      <c r="A39" s="497" t="s">
        <v>467</v>
      </c>
      <c r="B39" s="449">
        <v>947000</v>
      </c>
      <c r="C39" s="450"/>
      <c r="D39" s="450"/>
      <c r="E39" s="450"/>
      <c r="F39" s="450"/>
      <c r="G39" s="436">
        <f t="shared" si="4"/>
        <v>947000</v>
      </c>
      <c r="H39" s="444"/>
      <c r="I39" s="454">
        <v>17042731</v>
      </c>
      <c r="J39" s="817">
        <f>2338070-354488-95712</f>
        <v>1887870</v>
      </c>
      <c r="K39" s="450"/>
      <c r="L39" s="450"/>
      <c r="M39" s="450"/>
      <c r="N39" s="436">
        <f t="shared" si="0"/>
        <v>18930601</v>
      </c>
      <c r="O39" s="853"/>
    </row>
    <row r="40" spans="1:15" x14ac:dyDescent="0.2">
      <c r="A40" s="497" t="s">
        <v>573</v>
      </c>
      <c r="B40" s="449">
        <v>600000</v>
      </c>
      <c r="C40" s="450"/>
      <c r="D40" s="450"/>
      <c r="E40" s="450"/>
      <c r="F40" s="450"/>
      <c r="G40" s="436">
        <f t="shared" si="4"/>
        <v>600000</v>
      </c>
      <c r="H40" s="444"/>
      <c r="I40" s="1000">
        <f>73660000+660000-660000+69312000-2000000-1016000-282000</f>
        <v>139674000</v>
      </c>
      <c r="J40" s="450"/>
      <c r="K40" s="450"/>
      <c r="L40" s="450"/>
      <c r="M40" s="450"/>
      <c r="N40" s="436">
        <f t="shared" si="0"/>
        <v>139674000</v>
      </c>
      <c r="O40" s="853"/>
    </row>
    <row r="41" spans="1:15" s="839" customFormat="1" x14ac:dyDescent="0.2">
      <c r="A41" s="497" t="s">
        <v>760</v>
      </c>
      <c r="B41" s="449">
        <v>85531256</v>
      </c>
      <c r="C41" s="450">
        <v>55505576</v>
      </c>
      <c r="D41" s="450"/>
      <c r="E41" s="450"/>
      <c r="F41" s="450"/>
      <c r="G41" s="436">
        <f t="shared" si="4"/>
        <v>141036832</v>
      </c>
      <c r="H41" s="444"/>
      <c r="I41" s="454">
        <f>7285433+1278567+6274800+1380456+237552-237552</f>
        <v>16219256</v>
      </c>
      <c r="J41" s="450">
        <f>38042908+10123085+5279199+1425384</f>
        <v>54870576</v>
      </c>
      <c r="K41" s="450"/>
      <c r="L41" s="450"/>
      <c r="M41" s="450"/>
      <c r="N41" s="436">
        <f t="shared" si="0"/>
        <v>71089832</v>
      </c>
      <c r="O41" s="399"/>
    </row>
    <row r="42" spans="1:15" x14ac:dyDescent="0.2">
      <c r="A42" s="497" t="s">
        <v>4</v>
      </c>
      <c r="B42" s="449"/>
      <c r="C42" s="450"/>
      <c r="D42" s="450"/>
      <c r="E42" s="450"/>
      <c r="F42" s="450"/>
      <c r="G42" s="436">
        <f t="shared" si="4"/>
        <v>0</v>
      </c>
      <c r="H42" s="444"/>
      <c r="I42" s="454">
        <v>3300000</v>
      </c>
      <c r="J42" s="450"/>
      <c r="K42" s="450"/>
      <c r="L42" s="450"/>
      <c r="M42" s="450"/>
      <c r="N42" s="436">
        <f t="shared" si="0"/>
        <v>3300000</v>
      </c>
      <c r="O42" s="853"/>
    </row>
    <row r="43" spans="1:15" x14ac:dyDescent="0.2">
      <c r="A43" s="497" t="s">
        <v>617</v>
      </c>
      <c r="B43" s="449"/>
      <c r="C43" s="450"/>
      <c r="D43" s="450"/>
      <c r="E43" s="450"/>
      <c r="F43" s="450"/>
      <c r="G43" s="436">
        <f t="shared" si="4"/>
        <v>0</v>
      </c>
      <c r="H43" s="444"/>
      <c r="I43" s="454"/>
      <c r="J43" s="450"/>
      <c r="K43" s="450"/>
      <c r="L43" s="450"/>
      <c r="M43" s="450"/>
      <c r="N43" s="436">
        <f t="shared" si="0"/>
        <v>0</v>
      </c>
      <c r="O43" s="853"/>
    </row>
    <row r="44" spans="1:15" x14ac:dyDescent="0.2">
      <c r="A44" s="437" t="s">
        <v>453</v>
      </c>
      <c r="B44" s="455">
        <f>1566000+1577143</f>
        <v>3143143</v>
      </c>
      <c r="C44" s="450"/>
      <c r="D44" s="450"/>
      <c r="E44" s="450"/>
      <c r="F44" s="450"/>
      <c r="G44" s="436">
        <f t="shared" si="4"/>
        <v>3143143</v>
      </c>
      <c r="H44" s="444"/>
      <c r="I44" s="794">
        <f>22501218+397000+44100-60000+4500000</f>
        <v>27382318</v>
      </c>
      <c r="J44" s="450">
        <f>65710721+100000-100000</f>
        <v>65710721</v>
      </c>
      <c r="K44" s="456"/>
      <c r="L44" s="450"/>
      <c r="M44" s="450"/>
      <c r="N44" s="436">
        <f t="shared" si="0"/>
        <v>93093039</v>
      </c>
      <c r="O44" s="853"/>
    </row>
    <row r="45" spans="1:15" x14ac:dyDescent="0.2">
      <c r="A45" s="498" t="s">
        <v>603</v>
      </c>
      <c r="B45" s="455"/>
      <c r="C45" s="450">
        <f>5866130+3796748</f>
        <v>9662878</v>
      </c>
      <c r="D45" s="450"/>
      <c r="E45" s="450"/>
      <c r="F45" s="450"/>
      <c r="G45" s="436">
        <f t="shared" si="4"/>
        <v>9662878</v>
      </c>
      <c r="H45" s="444"/>
      <c r="I45" s="454">
        <f>2854500+500965</f>
        <v>3355465</v>
      </c>
      <c r="J45" s="450">
        <f>218246101+144021480+2376540+60000+16200+1111793+36509260+1097083+296212+3150920+850748</f>
        <v>407736337</v>
      </c>
      <c r="K45" s="456"/>
      <c r="L45" s="450"/>
      <c r="M45" s="450"/>
      <c r="N45" s="436">
        <f t="shared" si="0"/>
        <v>411091802</v>
      </c>
      <c r="O45" s="853"/>
    </row>
    <row r="46" spans="1:15" x14ac:dyDescent="0.2">
      <c r="A46" s="437" t="s">
        <v>454</v>
      </c>
      <c r="B46" s="455">
        <f>15340169+5162000+682000+7239600+1954692</f>
        <v>30378461</v>
      </c>
      <c r="C46" s="450">
        <v>30332500</v>
      </c>
      <c r="D46" s="450"/>
      <c r="E46" s="450"/>
      <c r="F46" s="450"/>
      <c r="G46" s="436">
        <f t="shared" si="4"/>
        <v>60710961</v>
      </c>
      <c r="H46" s="444"/>
      <c r="I46" s="454">
        <f>52909601-37621053</f>
        <v>15288548</v>
      </c>
      <c r="J46" s="817">
        <f>762000+27010505+7292837+7239600+1954692-600000-162000+377443+101910</f>
        <v>43976987</v>
      </c>
      <c r="K46" s="450"/>
      <c r="L46" s="450"/>
      <c r="M46" s="450"/>
      <c r="N46" s="436">
        <f t="shared" si="0"/>
        <v>59265535</v>
      </c>
      <c r="O46" s="853"/>
    </row>
    <row r="47" spans="1:15" x14ac:dyDescent="0.2">
      <c r="A47" s="437" t="s">
        <v>767</v>
      </c>
      <c r="B47" s="449"/>
      <c r="C47" s="450"/>
      <c r="D47" s="450"/>
      <c r="E47" s="450"/>
      <c r="F47" s="450"/>
      <c r="G47" s="436">
        <f t="shared" si="4"/>
        <v>0</v>
      </c>
      <c r="H47" s="444"/>
      <c r="I47" s="454">
        <v>60000</v>
      </c>
      <c r="J47" s="450">
        <v>100000</v>
      </c>
      <c r="K47" s="450"/>
      <c r="L47" s="450"/>
      <c r="M47" s="450"/>
      <c r="N47" s="436">
        <f t="shared" si="0"/>
        <v>160000</v>
      </c>
      <c r="O47" s="853"/>
    </row>
    <row r="48" spans="1:15" x14ac:dyDescent="0.2">
      <c r="A48" s="498" t="s">
        <v>605</v>
      </c>
      <c r="B48" s="449">
        <v>381000</v>
      </c>
      <c r="C48" s="450"/>
      <c r="D48" s="450"/>
      <c r="E48" s="450"/>
      <c r="F48" s="450"/>
      <c r="G48" s="436">
        <f t="shared" si="4"/>
        <v>381000</v>
      </c>
      <c r="H48" s="444"/>
      <c r="I48" s="794">
        <f>49357310+381000+1407675</f>
        <v>51145985</v>
      </c>
      <c r="J48" s="450">
        <v>4950460</v>
      </c>
      <c r="K48" s="450"/>
      <c r="L48" s="450"/>
      <c r="M48" s="450"/>
      <c r="N48" s="436">
        <f t="shared" si="0"/>
        <v>56096445</v>
      </c>
      <c r="O48" s="853"/>
    </row>
    <row r="49" spans="1:15" x14ac:dyDescent="0.2">
      <c r="A49" s="437" t="s">
        <v>613</v>
      </c>
      <c r="B49" s="449"/>
      <c r="C49" s="450"/>
      <c r="D49" s="450"/>
      <c r="E49" s="450"/>
      <c r="F49" s="450"/>
      <c r="G49" s="436">
        <f t="shared" si="4"/>
        <v>0</v>
      </c>
      <c r="H49" s="444"/>
      <c r="I49" s="454">
        <v>3082677</v>
      </c>
      <c r="J49" s="817">
        <f>12873483-159000</f>
        <v>12714483</v>
      </c>
      <c r="K49" s="450"/>
      <c r="L49" s="450"/>
      <c r="M49" s="450"/>
      <c r="N49" s="436">
        <f t="shared" si="0"/>
        <v>15797160</v>
      </c>
      <c r="O49" s="853"/>
    </row>
    <row r="50" spans="1:15" x14ac:dyDescent="0.2">
      <c r="A50" s="497" t="s">
        <v>584</v>
      </c>
      <c r="B50" s="449"/>
      <c r="C50" s="450"/>
      <c r="D50" s="450"/>
      <c r="E50" s="450"/>
      <c r="F50" s="450"/>
      <c r="G50" s="452">
        <f t="shared" si="4"/>
        <v>0</v>
      </c>
      <c r="H50" s="444"/>
      <c r="I50" s="454">
        <v>48545760</v>
      </c>
      <c r="J50" s="450"/>
      <c r="K50" s="450"/>
      <c r="L50" s="450"/>
      <c r="M50" s="450"/>
      <c r="N50" s="436">
        <f t="shared" si="0"/>
        <v>48545760</v>
      </c>
      <c r="O50" s="853"/>
    </row>
    <row r="51" spans="1:15" x14ac:dyDescent="0.2">
      <c r="A51" s="497" t="s">
        <v>572</v>
      </c>
      <c r="B51" s="449">
        <v>80000</v>
      </c>
      <c r="C51" s="450"/>
      <c r="D51" s="450"/>
      <c r="E51" s="450"/>
      <c r="F51" s="450"/>
      <c r="G51" s="452">
        <f t="shared" si="4"/>
        <v>80000</v>
      </c>
      <c r="H51" s="444"/>
      <c r="I51" s="454">
        <f>300000+3585+4660-6492-1753+17008+47238+12754</f>
        <v>377000</v>
      </c>
      <c r="J51" s="450">
        <v>3000</v>
      </c>
      <c r="K51" s="450"/>
      <c r="L51" s="450"/>
      <c r="M51" s="450"/>
      <c r="N51" s="452">
        <f t="shared" si="0"/>
        <v>380000</v>
      </c>
      <c r="O51" s="853"/>
    </row>
    <row r="52" spans="1:15" ht="13.5" thickBot="1" x14ac:dyDescent="0.25">
      <c r="A52" s="437" t="s">
        <v>604</v>
      </c>
      <c r="B52" s="449"/>
      <c r="C52" s="450"/>
      <c r="D52" s="450"/>
      <c r="E52" s="450"/>
      <c r="F52" s="450"/>
      <c r="G52" s="452">
        <f t="shared" si="4"/>
        <v>0</v>
      </c>
      <c r="H52" s="444"/>
      <c r="I52" s="454">
        <v>500000</v>
      </c>
      <c r="J52" s="450"/>
      <c r="K52" s="450"/>
      <c r="L52" s="450"/>
      <c r="M52" s="450"/>
      <c r="N52" s="452">
        <f t="shared" si="0"/>
        <v>500000</v>
      </c>
      <c r="O52" s="853"/>
    </row>
    <row r="53" spans="1:15" x14ac:dyDescent="0.2">
      <c r="A53" s="457" t="s">
        <v>57</v>
      </c>
      <c r="B53" s="458">
        <f>SUM(B9:B13,B14:B20,B25:B28,B32:B52,B24)</f>
        <v>1643414078</v>
      </c>
      <c r="C53" s="459">
        <f>SUM(C9:C13,C14:C20,C25:C28,C32:C52,C24)</f>
        <v>99280347</v>
      </c>
      <c r="D53" s="459">
        <f>SUM(D9:D13,D14:D20,D25:D28,D32:D52,D24)</f>
        <v>352658000</v>
      </c>
      <c r="E53" s="459">
        <f>SUM(E9:E13,E14:E20,E25:E28,E32:E52,E24)</f>
        <v>193478462</v>
      </c>
      <c r="F53" s="459">
        <f>SUM(F9:F13,F14:F20,F25:F28,F32:F52,F24)</f>
        <v>594503758</v>
      </c>
      <c r="G53" s="459">
        <f>SUM(G9:G13,G14:G20,G24:G28,G32:G39,G40:G52,)</f>
        <v>2883334645</v>
      </c>
      <c r="H53" s="459" t="e">
        <f>SUM(H9:H13,H15:H20,H25:H28,H32:H39,H40:H52)</f>
        <v>#REF!</v>
      </c>
      <c r="I53" s="459">
        <f t="shared" ref="I53:M53" si="5">SUM(I9:I13,I14:I20,I25:I28,I32:I52,I24)</f>
        <v>697702150</v>
      </c>
      <c r="J53" s="459">
        <f t="shared" si="5"/>
        <v>668964272</v>
      </c>
      <c r="K53" s="459">
        <f t="shared" si="5"/>
        <v>1351358545</v>
      </c>
      <c r="L53" s="459">
        <f t="shared" si="5"/>
        <v>108486704</v>
      </c>
      <c r="M53" s="459">
        <f t="shared" si="5"/>
        <v>56822974</v>
      </c>
      <c r="N53" s="460">
        <f>SUM(N9:N13,N14:N20,N25:N28,N32:N52,N24,N23)</f>
        <v>2883334645</v>
      </c>
      <c r="O53" s="855">
        <f>N53-G53</f>
        <v>0</v>
      </c>
    </row>
    <row r="54" spans="1:15" x14ac:dyDescent="0.2">
      <c r="A54" s="461" t="s">
        <v>455</v>
      </c>
      <c r="B54" s="462"/>
      <c r="C54" s="463"/>
      <c r="D54" s="463"/>
      <c r="E54" s="463"/>
      <c r="F54" s="463"/>
      <c r="G54" s="433"/>
      <c r="H54" s="438"/>
      <c r="I54" s="464"/>
      <c r="J54" s="432"/>
      <c r="K54" s="465">
        <v>1351358545</v>
      </c>
      <c r="L54" s="463"/>
      <c r="M54" s="463"/>
      <c r="N54" s="466">
        <f>SUM(I54:M54)</f>
        <v>1351358545</v>
      </c>
      <c r="O54" s="855"/>
    </row>
    <row r="55" spans="1:15" ht="13.5" thickBot="1" x14ac:dyDescent="0.25">
      <c r="A55" s="467" t="s">
        <v>69</v>
      </c>
      <c r="B55" s="468">
        <f t="shared" ref="B55:N55" si="6">B53-B54</f>
        <v>1643414078</v>
      </c>
      <c r="C55" s="469">
        <f t="shared" si="6"/>
        <v>99280347</v>
      </c>
      <c r="D55" s="469">
        <f t="shared" si="6"/>
        <v>352658000</v>
      </c>
      <c r="E55" s="469">
        <f t="shared" si="6"/>
        <v>193478462</v>
      </c>
      <c r="F55" s="469">
        <f t="shared" si="6"/>
        <v>594503758</v>
      </c>
      <c r="G55" s="469">
        <f t="shared" si="6"/>
        <v>2883334645</v>
      </c>
      <c r="H55" s="470" t="e">
        <f t="shared" si="6"/>
        <v>#REF!</v>
      </c>
      <c r="I55" s="468">
        <f t="shared" si="6"/>
        <v>697702150</v>
      </c>
      <c r="J55" s="469">
        <f t="shared" si="6"/>
        <v>668964272</v>
      </c>
      <c r="K55" s="469">
        <f t="shared" si="6"/>
        <v>0</v>
      </c>
      <c r="L55" s="469">
        <f t="shared" si="6"/>
        <v>108486704</v>
      </c>
      <c r="M55" s="469">
        <f t="shared" si="6"/>
        <v>56822974</v>
      </c>
      <c r="N55" s="471">
        <f t="shared" si="6"/>
        <v>1531976100</v>
      </c>
      <c r="O55" s="855"/>
    </row>
    <row r="56" spans="1:15" x14ac:dyDescent="0.2">
      <c r="A56" s="472"/>
      <c r="B56" s="473"/>
      <c r="C56" s="473"/>
      <c r="D56" s="473"/>
      <c r="E56" s="473"/>
      <c r="F56" s="473"/>
      <c r="G56" s="474"/>
      <c r="H56" s="474"/>
      <c r="I56" s="475"/>
      <c r="J56" s="473"/>
      <c r="K56" s="476"/>
      <c r="L56" s="475"/>
      <c r="M56" s="475"/>
      <c r="N56" s="477"/>
    </row>
    <row r="57" spans="1:15" x14ac:dyDescent="0.2">
      <c r="A57" s="472"/>
      <c r="B57" s="473"/>
      <c r="C57" s="473"/>
      <c r="D57" s="473"/>
      <c r="E57" s="473"/>
      <c r="F57" s="473"/>
      <c r="G57" s="474"/>
      <c r="H57" s="474"/>
      <c r="I57" s="473"/>
      <c r="J57" s="473"/>
      <c r="K57" s="476"/>
      <c r="L57" s="475"/>
      <c r="M57" s="475"/>
      <c r="N57" s="477"/>
    </row>
    <row r="58" spans="1:15" x14ac:dyDescent="0.2">
      <c r="A58" s="472"/>
      <c r="B58" s="473"/>
      <c r="C58" s="473"/>
      <c r="D58" s="473"/>
      <c r="E58" s="473"/>
      <c r="F58" s="473"/>
      <c r="G58" s="474"/>
      <c r="H58" s="474"/>
      <c r="I58" s="478"/>
      <c r="J58" s="473"/>
      <c r="K58" s="477"/>
      <c r="L58" s="473"/>
      <c r="M58" s="473"/>
      <c r="N58" s="477"/>
    </row>
    <row r="59" spans="1:15" x14ac:dyDescent="0.2">
      <c r="A59" s="472"/>
      <c r="B59" s="473"/>
      <c r="C59" s="473"/>
      <c r="D59" s="473"/>
      <c r="E59" s="473"/>
      <c r="F59" s="473"/>
      <c r="G59" s="474"/>
      <c r="H59" s="474"/>
      <c r="I59" s="473"/>
      <c r="J59" s="473"/>
      <c r="K59" s="477"/>
      <c r="L59" s="473"/>
      <c r="M59" s="473"/>
      <c r="N59" s="477"/>
    </row>
    <row r="60" spans="1:15" x14ac:dyDescent="0.2">
      <c r="A60" s="472"/>
      <c r="B60" s="473"/>
      <c r="C60" s="473"/>
      <c r="D60" s="473"/>
      <c r="E60" s="473"/>
      <c r="F60" s="473"/>
      <c r="G60" s="474"/>
      <c r="H60" s="474"/>
      <c r="I60" s="473"/>
      <c r="J60" s="473"/>
      <c r="K60" s="477"/>
      <c r="L60" s="473"/>
      <c r="M60" s="473"/>
      <c r="N60" s="477"/>
    </row>
    <row r="61" spans="1:15" x14ac:dyDescent="0.2">
      <c r="A61" s="472"/>
      <c r="B61" s="473"/>
      <c r="C61" s="473"/>
      <c r="D61" s="473"/>
      <c r="E61" s="473"/>
      <c r="F61" s="473"/>
      <c r="G61" s="474"/>
      <c r="H61" s="474"/>
      <c r="I61" s="473"/>
      <c r="J61" s="473"/>
      <c r="K61" s="477"/>
      <c r="L61" s="473"/>
      <c r="M61" s="473"/>
      <c r="N61" s="477"/>
    </row>
    <row r="62" spans="1:15" x14ac:dyDescent="0.2">
      <c r="A62" s="472"/>
      <c r="B62" s="473"/>
      <c r="C62" s="473"/>
      <c r="D62" s="473"/>
      <c r="E62" s="473"/>
      <c r="F62" s="473"/>
      <c r="G62" s="474"/>
      <c r="H62" s="474"/>
      <c r="I62" s="473"/>
      <c r="J62" s="473"/>
      <c r="K62" s="477"/>
      <c r="L62" s="473"/>
      <c r="M62" s="473"/>
      <c r="N62" s="477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&amp;R32. melléklet a 17/2018.(VII.27.)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00" zoomScaleSheetLayoutView="100" workbookViewId="0">
      <selection activeCell="J3" sqref="J3"/>
    </sheetView>
  </sheetViews>
  <sheetFormatPr defaultRowHeight="15.75" x14ac:dyDescent="0.25"/>
  <cols>
    <col min="1" max="1" width="9.5" style="208" customWidth="1"/>
    <col min="2" max="2" width="91.6640625" style="208" customWidth="1"/>
    <col min="3" max="3" width="21.6640625" style="209" customWidth="1"/>
    <col min="4" max="16384" width="9.33203125" style="219"/>
  </cols>
  <sheetData>
    <row r="1" spans="1:3" ht="15.95" customHeight="1" x14ac:dyDescent="0.25">
      <c r="A1" s="1003" t="s">
        <v>20</v>
      </c>
      <c r="B1" s="1003"/>
      <c r="C1" s="1003"/>
    </row>
    <row r="2" spans="1:3" ht="15.95" customHeight="1" thickBot="1" x14ac:dyDescent="0.3">
      <c r="A2" s="1002" t="s">
        <v>128</v>
      </c>
      <c r="B2" s="1002"/>
      <c r="C2" s="146" t="s">
        <v>598</v>
      </c>
    </row>
    <row r="3" spans="1:3" ht="38.1" customHeight="1" thickBot="1" x14ac:dyDescent="0.3">
      <c r="A3" s="22" t="s">
        <v>74</v>
      </c>
      <c r="B3" s="23" t="s">
        <v>22</v>
      </c>
      <c r="C3" s="35" t="s">
        <v>622</v>
      </c>
    </row>
    <row r="4" spans="1:3" s="220" customFormat="1" ht="12" customHeight="1" thickBot="1" x14ac:dyDescent="0.25">
      <c r="A4" s="214" t="s">
        <v>471</v>
      </c>
      <c r="B4" s="215" t="s">
        <v>472</v>
      </c>
      <c r="C4" s="216" t="s">
        <v>473</v>
      </c>
    </row>
    <row r="5" spans="1:3" s="221" customFormat="1" ht="12" customHeight="1" thickBot="1" x14ac:dyDescent="0.25">
      <c r="A5" s="19" t="s">
        <v>23</v>
      </c>
      <c r="B5" s="20" t="s">
        <v>189</v>
      </c>
      <c r="C5" s="137">
        <f>+C6+C7+C8+C9+C10+C11</f>
        <v>0</v>
      </c>
    </row>
    <row r="6" spans="1:3" s="221" customFormat="1" ht="12" customHeight="1" x14ac:dyDescent="0.2">
      <c r="A6" s="14" t="s">
        <v>99</v>
      </c>
      <c r="B6" s="222" t="s">
        <v>190</v>
      </c>
      <c r="C6" s="139"/>
    </row>
    <row r="7" spans="1:3" s="221" customFormat="1" ht="12" customHeight="1" x14ac:dyDescent="0.2">
      <c r="A7" s="13" t="s">
        <v>100</v>
      </c>
      <c r="B7" s="223" t="s">
        <v>191</v>
      </c>
      <c r="C7" s="138"/>
    </row>
    <row r="8" spans="1:3" s="221" customFormat="1" ht="12" customHeight="1" x14ac:dyDescent="0.2">
      <c r="A8" s="13" t="s">
        <v>101</v>
      </c>
      <c r="B8" s="223" t="s">
        <v>588</v>
      </c>
      <c r="C8" s="138"/>
    </row>
    <row r="9" spans="1:3" s="221" customFormat="1" ht="12" customHeight="1" x14ac:dyDescent="0.2">
      <c r="A9" s="13" t="s">
        <v>102</v>
      </c>
      <c r="B9" s="223" t="s">
        <v>193</v>
      </c>
      <c r="C9" s="138"/>
    </row>
    <row r="10" spans="1:3" s="221" customFormat="1" ht="12" customHeight="1" x14ac:dyDescent="0.2">
      <c r="A10" s="13" t="s">
        <v>125</v>
      </c>
      <c r="B10" s="133" t="s">
        <v>474</v>
      </c>
      <c r="C10" s="138"/>
    </row>
    <row r="11" spans="1:3" s="221" customFormat="1" ht="12" customHeight="1" thickBot="1" x14ac:dyDescent="0.25">
      <c r="A11" s="15" t="s">
        <v>103</v>
      </c>
      <c r="B11" s="134" t="s">
        <v>475</v>
      </c>
      <c r="C11" s="138"/>
    </row>
    <row r="12" spans="1:3" s="221" customFormat="1" ht="12" customHeight="1" thickBot="1" x14ac:dyDescent="0.25">
      <c r="A12" s="19" t="s">
        <v>24</v>
      </c>
      <c r="B12" s="132" t="s">
        <v>194</v>
      </c>
      <c r="C12" s="137">
        <f>+C13+C14+C15+C16+C17</f>
        <v>0</v>
      </c>
    </row>
    <row r="13" spans="1:3" s="221" customFormat="1" ht="12" customHeight="1" x14ac:dyDescent="0.2">
      <c r="A13" s="14" t="s">
        <v>105</v>
      </c>
      <c r="B13" s="222" t="s">
        <v>195</v>
      </c>
      <c r="C13" s="139"/>
    </row>
    <row r="14" spans="1:3" s="221" customFormat="1" ht="12" customHeight="1" x14ac:dyDescent="0.2">
      <c r="A14" s="13" t="s">
        <v>106</v>
      </c>
      <c r="B14" s="223" t="s">
        <v>196</v>
      </c>
      <c r="C14" s="138"/>
    </row>
    <row r="15" spans="1:3" s="221" customFormat="1" ht="12" customHeight="1" x14ac:dyDescent="0.2">
      <c r="A15" s="13" t="s">
        <v>107</v>
      </c>
      <c r="B15" s="223" t="s">
        <v>365</v>
      </c>
      <c r="C15" s="138"/>
    </row>
    <row r="16" spans="1:3" s="221" customFormat="1" ht="12" customHeight="1" x14ac:dyDescent="0.2">
      <c r="A16" s="13" t="s">
        <v>108</v>
      </c>
      <c r="B16" s="223" t="s">
        <v>366</v>
      </c>
      <c r="C16" s="138"/>
    </row>
    <row r="17" spans="1:3" s="221" customFormat="1" ht="12" customHeight="1" x14ac:dyDescent="0.2">
      <c r="A17" s="13" t="s">
        <v>109</v>
      </c>
      <c r="B17" s="223" t="s">
        <v>197</v>
      </c>
      <c r="C17" s="138"/>
    </row>
    <row r="18" spans="1:3" s="221" customFormat="1" ht="12" customHeight="1" thickBot="1" x14ac:dyDescent="0.25">
      <c r="A18" s="15" t="s">
        <v>118</v>
      </c>
      <c r="B18" s="134" t="s">
        <v>198</v>
      </c>
      <c r="C18" s="140"/>
    </row>
    <row r="19" spans="1:3" s="221" customFormat="1" ht="12" customHeight="1" thickBot="1" x14ac:dyDescent="0.25">
      <c r="A19" s="19" t="s">
        <v>25</v>
      </c>
      <c r="B19" s="20" t="s">
        <v>199</v>
      </c>
      <c r="C19" s="137">
        <f>+C20+C21+C22+C23+C24</f>
        <v>0</v>
      </c>
    </row>
    <row r="20" spans="1:3" s="221" customFormat="1" ht="12" customHeight="1" x14ac:dyDescent="0.2">
      <c r="A20" s="14" t="s">
        <v>88</v>
      </c>
      <c r="B20" s="222" t="s">
        <v>200</v>
      </c>
      <c r="C20" s="139"/>
    </row>
    <row r="21" spans="1:3" s="221" customFormat="1" ht="12" customHeight="1" x14ac:dyDescent="0.2">
      <c r="A21" s="13" t="s">
        <v>89</v>
      </c>
      <c r="B21" s="223" t="s">
        <v>201</v>
      </c>
      <c r="C21" s="138"/>
    </row>
    <row r="22" spans="1:3" s="221" customFormat="1" ht="12" customHeight="1" x14ac:dyDescent="0.2">
      <c r="A22" s="13" t="s">
        <v>90</v>
      </c>
      <c r="B22" s="223" t="s">
        <v>367</v>
      </c>
      <c r="C22" s="138"/>
    </row>
    <row r="23" spans="1:3" s="221" customFormat="1" ht="12" customHeight="1" x14ac:dyDescent="0.2">
      <c r="A23" s="13" t="s">
        <v>91</v>
      </c>
      <c r="B23" s="223" t="s">
        <v>368</v>
      </c>
      <c r="C23" s="138"/>
    </row>
    <row r="24" spans="1:3" s="221" customFormat="1" ht="12" customHeight="1" x14ac:dyDescent="0.2">
      <c r="A24" s="13" t="s">
        <v>136</v>
      </c>
      <c r="B24" s="223" t="s">
        <v>202</v>
      </c>
      <c r="C24" s="138"/>
    </row>
    <row r="25" spans="1:3" s="221" customFormat="1" ht="12" customHeight="1" thickBot="1" x14ac:dyDescent="0.25">
      <c r="A25" s="15" t="s">
        <v>137</v>
      </c>
      <c r="B25" s="224" t="s">
        <v>203</v>
      </c>
      <c r="C25" s="140"/>
    </row>
    <row r="26" spans="1:3" s="221" customFormat="1" ht="12" customHeight="1" thickBot="1" x14ac:dyDescent="0.25">
      <c r="A26" s="19" t="s">
        <v>138</v>
      </c>
      <c r="B26" s="20" t="s">
        <v>204</v>
      </c>
      <c r="C26" s="142">
        <f>+C27+C31+C32+C33</f>
        <v>0</v>
      </c>
    </row>
    <row r="27" spans="1:3" s="221" customFormat="1" ht="12" customHeight="1" x14ac:dyDescent="0.2">
      <c r="A27" s="14" t="s">
        <v>205</v>
      </c>
      <c r="B27" s="222" t="s">
        <v>476</v>
      </c>
      <c r="C27" s="217">
        <f>+C28+C29+C30</f>
        <v>0</v>
      </c>
    </row>
    <row r="28" spans="1:3" s="221" customFormat="1" ht="12" customHeight="1" x14ac:dyDescent="0.2">
      <c r="A28" s="13" t="s">
        <v>206</v>
      </c>
      <c r="B28" s="223" t="s">
        <v>211</v>
      </c>
      <c r="C28" s="138"/>
    </row>
    <row r="29" spans="1:3" s="221" customFormat="1" ht="12" customHeight="1" x14ac:dyDescent="0.2">
      <c r="A29" s="13" t="s">
        <v>207</v>
      </c>
      <c r="B29" s="223" t="s">
        <v>212</v>
      </c>
      <c r="C29" s="138"/>
    </row>
    <row r="30" spans="1:3" s="221" customFormat="1" ht="12" customHeight="1" x14ac:dyDescent="0.2">
      <c r="A30" s="13" t="s">
        <v>477</v>
      </c>
      <c r="B30" s="278" t="s">
        <v>478</v>
      </c>
      <c r="C30" s="138"/>
    </row>
    <row r="31" spans="1:3" s="221" customFormat="1" ht="12" customHeight="1" x14ac:dyDescent="0.2">
      <c r="A31" s="13" t="s">
        <v>208</v>
      </c>
      <c r="B31" s="223" t="s">
        <v>213</v>
      </c>
      <c r="C31" s="138"/>
    </row>
    <row r="32" spans="1:3" s="221" customFormat="1" ht="12" customHeight="1" x14ac:dyDescent="0.2">
      <c r="A32" s="13" t="s">
        <v>209</v>
      </c>
      <c r="B32" s="223" t="s">
        <v>214</v>
      </c>
      <c r="C32" s="138"/>
    </row>
    <row r="33" spans="1:3" s="221" customFormat="1" ht="12" customHeight="1" thickBot="1" x14ac:dyDescent="0.25">
      <c r="A33" s="15" t="s">
        <v>210</v>
      </c>
      <c r="B33" s="224" t="s">
        <v>215</v>
      </c>
      <c r="C33" s="140"/>
    </row>
    <row r="34" spans="1:3" s="221" customFormat="1" ht="12" customHeight="1" thickBot="1" x14ac:dyDescent="0.25">
      <c r="A34" s="19" t="s">
        <v>27</v>
      </c>
      <c r="B34" s="20" t="s">
        <v>479</v>
      </c>
      <c r="C34" s="137">
        <f>SUM(C35:C45)</f>
        <v>6280164</v>
      </c>
    </row>
    <row r="35" spans="1:3" s="221" customFormat="1" ht="12" customHeight="1" x14ac:dyDescent="0.2">
      <c r="A35" s="14" t="s">
        <v>92</v>
      </c>
      <c r="B35" s="222" t="s">
        <v>218</v>
      </c>
      <c r="C35" s="139"/>
    </row>
    <row r="36" spans="1:3" s="221" customFormat="1" ht="12" customHeight="1" x14ac:dyDescent="0.2">
      <c r="A36" s="13" t="s">
        <v>93</v>
      </c>
      <c r="B36" s="223" t="s">
        <v>219</v>
      </c>
      <c r="C36" s="141">
        <v>4150000</v>
      </c>
    </row>
    <row r="37" spans="1:3" s="221" customFormat="1" ht="12" customHeight="1" x14ac:dyDescent="0.2">
      <c r="A37" s="13" t="s">
        <v>94</v>
      </c>
      <c r="B37" s="223" t="s">
        <v>220</v>
      </c>
      <c r="C37" s="141">
        <v>300000</v>
      </c>
    </row>
    <row r="38" spans="1:3" s="221" customFormat="1" ht="12" customHeight="1" x14ac:dyDescent="0.2">
      <c r="A38" s="13" t="s">
        <v>140</v>
      </c>
      <c r="B38" s="223" t="s">
        <v>221</v>
      </c>
      <c r="C38" s="141"/>
    </row>
    <row r="39" spans="1:3" s="221" customFormat="1" ht="12" customHeight="1" x14ac:dyDescent="0.2">
      <c r="A39" s="13" t="s">
        <v>141</v>
      </c>
      <c r="B39" s="223" t="s">
        <v>222</v>
      </c>
      <c r="C39" s="141"/>
    </row>
    <row r="40" spans="1:3" s="221" customFormat="1" ht="12" customHeight="1" x14ac:dyDescent="0.2">
      <c r="A40" s="13" t="s">
        <v>142</v>
      </c>
      <c r="B40" s="223" t="s">
        <v>223</v>
      </c>
      <c r="C40" s="141">
        <v>1229000</v>
      </c>
    </row>
    <row r="41" spans="1:3" s="221" customFormat="1" ht="12" customHeight="1" x14ac:dyDescent="0.2">
      <c r="A41" s="13" t="s">
        <v>143</v>
      </c>
      <c r="B41" s="223" t="s">
        <v>224</v>
      </c>
      <c r="C41" s="141"/>
    </row>
    <row r="42" spans="1:3" s="221" customFormat="1" ht="12" customHeight="1" x14ac:dyDescent="0.2">
      <c r="A42" s="13" t="s">
        <v>144</v>
      </c>
      <c r="B42" s="223" t="s">
        <v>585</v>
      </c>
      <c r="C42" s="141"/>
    </row>
    <row r="43" spans="1:3" s="221" customFormat="1" ht="12" customHeight="1" x14ac:dyDescent="0.2">
      <c r="A43" s="13" t="s">
        <v>216</v>
      </c>
      <c r="B43" s="223" t="s">
        <v>226</v>
      </c>
      <c r="C43" s="141"/>
    </row>
    <row r="44" spans="1:3" s="221" customFormat="1" ht="12" customHeight="1" x14ac:dyDescent="0.2">
      <c r="A44" s="15" t="s">
        <v>217</v>
      </c>
      <c r="B44" s="224" t="s">
        <v>480</v>
      </c>
      <c r="C44" s="211"/>
    </row>
    <row r="45" spans="1:3" s="221" customFormat="1" ht="12" customHeight="1" thickBot="1" x14ac:dyDescent="0.25">
      <c r="A45" s="15" t="s">
        <v>481</v>
      </c>
      <c r="B45" s="134" t="s">
        <v>227</v>
      </c>
      <c r="C45" s="211">
        <f>100000+501164</f>
        <v>601164</v>
      </c>
    </row>
    <row r="46" spans="1:3" s="221" customFormat="1" ht="12" customHeight="1" thickBot="1" x14ac:dyDescent="0.25">
      <c r="A46" s="19" t="s">
        <v>28</v>
      </c>
      <c r="B46" s="20" t="s">
        <v>228</v>
      </c>
      <c r="C46" s="137">
        <f>SUM(C47:C51)</f>
        <v>0</v>
      </c>
    </row>
    <row r="47" spans="1:3" s="221" customFormat="1" ht="12" customHeight="1" x14ac:dyDescent="0.2">
      <c r="A47" s="14" t="s">
        <v>95</v>
      </c>
      <c r="B47" s="222" t="s">
        <v>232</v>
      </c>
      <c r="C47" s="260"/>
    </row>
    <row r="48" spans="1:3" s="221" customFormat="1" ht="12" customHeight="1" x14ac:dyDescent="0.2">
      <c r="A48" s="13" t="s">
        <v>96</v>
      </c>
      <c r="B48" s="223" t="s">
        <v>233</v>
      </c>
      <c r="C48" s="141"/>
    </row>
    <row r="49" spans="1:3" s="221" customFormat="1" ht="12" customHeight="1" x14ac:dyDescent="0.2">
      <c r="A49" s="13" t="s">
        <v>229</v>
      </c>
      <c r="B49" s="223" t="s">
        <v>234</v>
      </c>
      <c r="C49" s="141"/>
    </row>
    <row r="50" spans="1:3" s="221" customFormat="1" ht="12" customHeight="1" x14ac:dyDescent="0.2">
      <c r="A50" s="13" t="s">
        <v>230</v>
      </c>
      <c r="B50" s="223" t="s">
        <v>235</v>
      </c>
      <c r="C50" s="141"/>
    </row>
    <row r="51" spans="1:3" s="221" customFormat="1" ht="12" customHeight="1" thickBot="1" x14ac:dyDescent="0.25">
      <c r="A51" s="15" t="s">
        <v>231</v>
      </c>
      <c r="B51" s="134" t="s">
        <v>236</v>
      </c>
      <c r="C51" s="211"/>
    </row>
    <row r="52" spans="1:3" s="221" customFormat="1" ht="12" customHeight="1" thickBot="1" x14ac:dyDescent="0.25">
      <c r="A52" s="19" t="s">
        <v>145</v>
      </c>
      <c r="B52" s="20" t="s">
        <v>237</v>
      </c>
      <c r="C52" s="137">
        <f>SUM(C53:C55)</f>
        <v>0</v>
      </c>
    </row>
    <row r="53" spans="1:3" s="221" customFormat="1" ht="12" customHeight="1" x14ac:dyDescent="0.2">
      <c r="A53" s="14" t="s">
        <v>97</v>
      </c>
      <c r="B53" s="222" t="s">
        <v>238</v>
      </c>
      <c r="C53" s="139"/>
    </row>
    <row r="54" spans="1:3" s="221" customFormat="1" ht="12" customHeight="1" x14ac:dyDescent="0.2">
      <c r="A54" s="13" t="s">
        <v>98</v>
      </c>
      <c r="B54" s="223" t="s">
        <v>369</v>
      </c>
      <c r="C54" s="138"/>
    </row>
    <row r="55" spans="1:3" s="221" customFormat="1" ht="12" customHeight="1" x14ac:dyDescent="0.2">
      <c r="A55" s="13" t="s">
        <v>241</v>
      </c>
      <c r="B55" s="223" t="s">
        <v>239</v>
      </c>
      <c r="C55" s="138"/>
    </row>
    <row r="56" spans="1:3" s="221" customFormat="1" ht="12" customHeight="1" thickBot="1" x14ac:dyDescent="0.25">
      <c r="A56" s="15" t="s">
        <v>242</v>
      </c>
      <c r="B56" s="134" t="s">
        <v>240</v>
      </c>
      <c r="C56" s="140"/>
    </row>
    <row r="57" spans="1:3" s="221" customFormat="1" ht="12" customHeight="1" thickBot="1" x14ac:dyDescent="0.25">
      <c r="A57" s="19" t="s">
        <v>30</v>
      </c>
      <c r="B57" s="132" t="s">
        <v>243</v>
      </c>
      <c r="C57" s="137">
        <f>SUM(C58:C60)</f>
        <v>0</v>
      </c>
    </row>
    <row r="58" spans="1:3" s="221" customFormat="1" ht="12" customHeight="1" x14ac:dyDescent="0.2">
      <c r="A58" s="14" t="s">
        <v>146</v>
      </c>
      <c r="B58" s="222" t="s">
        <v>245</v>
      </c>
      <c r="C58" s="141"/>
    </row>
    <row r="59" spans="1:3" s="221" customFormat="1" ht="12" customHeight="1" x14ac:dyDescent="0.2">
      <c r="A59" s="13" t="s">
        <v>147</v>
      </c>
      <c r="B59" s="223" t="s">
        <v>370</v>
      </c>
      <c r="C59" s="141"/>
    </row>
    <row r="60" spans="1:3" s="221" customFormat="1" ht="12" customHeight="1" x14ac:dyDescent="0.2">
      <c r="A60" s="13" t="s">
        <v>169</v>
      </c>
      <c r="B60" s="223" t="s">
        <v>246</v>
      </c>
      <c r="C60" s="141"/>
    </row>
    <row r="61" spans="1:3" s="221" customFormat="1" ht="12" customHeight="1" thickBot="1" x14ac:dyDescent="0.25">
      <c r="A61" s="15" t="s">
        <v>244</v>
      </c>
      <c r="B61" s="134" t="s">
        <v>247</v>
      </c>
      <c r="C61" s="141"/>
    </row>
    <row r="62" spans="1:3" s="221" customFormat="1" ht="12" customHeight="1" thickBot="1" x14ac:dyDescent="0.25">
      <c r="A62" s="279" t="s">
        <v>482</v>
      </c>
      <c r="B62" s="20" t="s">
        <v>248</v>
      </c>
      <c r="C62" s="142">
        <f>+C5+C12+C19+C26+C34+C46+C52+C57</f>
        <v>6280164</v>
      </c>
    </row>
    <row r="63" spans="1:3" s="221" customFormat="1" ht="12" customHeight="1" thickBot="1" x14ac:dyDescent="0.25">
      <c r="A63" s="280" t="s">
        <v>249</v>
      </c>
      <c r="B63" s="132" t="s">
        <v>250</v>
      </c>
      <c r="C63" s="137">
        <f>SUM(C64:C66)</f>
        <v>0</v>
      </c>
    </row>
    <row r="64" spans="1:3" s="221" customFormat="1" ht="12" customHeight="1" x14ac:dyDescent="0.2">
      <c r="A64" s="14" t="s">
        <v>281</v>
      </c>
      <c r="B64" s="222" t="s">
        <v>251</v>
      </c>
      <c r="C64" s="141"/>
    </row>
    <row r="65" spans="1:3" s="221" customFormat="1" ht="12" customHeight="1" x14ac:dyDescent="0.2">
      <c r="A65" s="13" t="s">
        <v>290</v>
      </c>
      <c r="B65" s="223" t="s">
        <v>252</v>
      </c>
      <c r="C65" s="141"/>
    </row>
    <row r="66" spans="1:3" s="221" customFormat="1" ht="12" customHeight="1" thickBot="1" x14ac:dyDescent="0.25">
      <c r="A66" s="15" t="s">
        <v>291</v>
      </c>
      <c r="B66" s="281" t="s">
        <v>483</v>
      </c>
      <c r="C66" s="141"/>
    </row>
    <row r="67" spans="1:3" s="221" customFormat="1" ht="12" customHeight="1" thickBot="1" x14ac:dyDescent="0.25">
      <c r="A67" s="280" t="s">
        <v>254</v>
      </c>
      <c r="B67" s="132" t="s">
        <v>255</v>
      </c>
      <c r="C67" s="137">
        <f>SUM(C68:C71)</f>
        <v>0</v>
      </c>
    </row>
    <row r="68" spans="1:3" s="221" customFormat="1" ht="12" customHeight="1" x14ac:dyDescent="0.2">
      <c r="A68" s="14" t="s">
        <v>126</v>
      </c>
      <c r="B68" s="222" t="s">
        <v>256</v>
      </c>
      <c r="C68" s="141"/>
    </row>
    <row r="69" spans="1:3" s="221" customFormat="1" ht="12" customHeight="1" x14ac:dyDescent="0.2">
      <c r="A69" s="13" t="s">
        <v>127</v>
      </c>
      <c r="B69" s="223" t="s">
        <v>257</v>
      </c>
      <c r="C69" s="141"/>
    </row>
    <row r="70" spans="1:3" s="221" customFormat="1" ht="12" customHeight="1" x14ac:dyDescent="0.2">
      <c r="A70" s="13" t="s">
        <v>282</v>
      </c>
      <c r="B70" s="223" t="s">
        <v>258</v>
      </c>
      <c r="C70" s="141"/>
    </row>
    <row r="71" spans="1:3" s="221" customFormat="1" ht="12" customHeight="1" thickBot="1" x14ac:dyDescent="0.25">
      <c r="A71" s="15" t="s">
        <v>283</v>
      </c>
      <c r="B71" s="134" t="s">
        <v>259</v>
      </c>
      <c r="C71" s="141"/>
    </row>
    <row r="72" spans="1:3" s="221" customFormat="1" ht="12" customHeight="1" thickBot="1" x14ac:dyDescent="0.25">
      <c r="A72" s="280" t="s">
        <v>260</v>
      </c>
      <c r="B72" s="132" t="s">
        <v>261</v>
      </c>
      <c r="C72" s="137">
        <f>SUM(C73:C74)</f>
        <v>0</v>
      </c>
    </row>
    <row r="73" spans="1:3" s="221" customFormat="1" ht="12" customHeight="1" x14ac:dyDescent="0.2">
      <c r="A73" s="14" t="s">
        <v>284</v>
      </c>
      <c r="B73" s="222" t="s">
        <v>262</v>
      </c>
      <c r="C73" s="141"/>
    </row>
    <row r="74" spans="1:3" s="221" customFormat="1" ht="12" customHeight="1" thickBot="1" x14ac:dyDescent="0.25">
      <c r="A74" s="15" t="s">
        <v>285</v>
      </c>
      <c r="B74" s="134" t="s">
        <v>263</v>
      </c>
      <c r="C74" s="141"/>
    </row>
    <row r="75" spans="1:3" s="221" customFormat="1" ht="12" customHeight="1" thickBot="1" x14ac:dyDescent="0.25">
      <c r="A75" s="280" t="s">
        <v>264</v>
      </c>
      <c r="B75" s="132" t="s">
        <v>265</v>
      </c>
      <c r="C75" s="137">
        <f>SUM(C76:C78)</f>
        <v>0</v>
      </c>
    </row>
    <row r="76" spans="1:3" s="221" customFormat="1" ht="12" customHeight="1" x14ac:dyDescent="0.2">
      <c r="A76" s="14" t="s">
        <v>286</v>
      </c>
      <c r="B76" s="222" t="s">
        <v>266</v>
      </c>
      <c r="C76" s="141"/>
    </row>
    <row r="77" spans="1:3" s="221" customFormat="1" ht="12" customHeight="1" x14ac:dyDescent="0.2">
      <c r="A77" s="13" t="s">
        <v>287</v>
      </c>
      <c r="B77" s="223" t="s">
        <v>267</v>
      </c>
      <c r="C77" s="141"/>
    </row>
    <row r="78" spans="1:3" s="221" customFormat="1" ht="12" customHeight="1" thickBot="1" x14ac:dyDescent="0.25">
      <c r="A78" s="15" t="s">
        <v>288</v>
      </c>
      <c r="B78" s="134" t="s">
        <v>268</v>
      </c>
      <c r="C78" s="141"/>
    </row>
    <row r="79" spans="1:3" s="221" customFormat="1" ht="12" customHeight="1" thickBot="1" x14ac:dyDescent="0.25">
      <c r="A79" s="280" t="s">
        <v>269</v>
      </c>
      <c r="B79" s="132" t="s">
        <v>289</v>
      </c>
      <c r="C79" s="137">
        <f>SUM(C80:C83)</f>
        <v>0</v>
      </c>
    </row>
    <row r="80" spans="1:3" s="221" customFormat="1" ht="12" customHeight="1" x14ac:dyDescent="0.2">
      <c r="A80" s="226" t="s">
        <v>270</v>
      </c>
      <c r="B80" s="222" t="s">
        <v>271</v>
      </c>
      <c r="C80" s="141"/>
    </row>
    <row r="81" spans="1:3" s="221" customFormat="1" ht="12" customHeight="1" x14ac:dyDescent="0.2">
      <c r="A81" s="227" t="s">
        <v>272</v>
      </c>
      <c r="B81" s="223" t="s">
        <v>273</v>
      </c>
      <c r="C81" s="141"/>
    </row>
    <row r="82" spans="1:3" s="221" customFormat="1" ht="12" customHeight="1" x14ac:dyDescent="0.2">
      <c r="A82" s="227" t="s">
        <v>274</v>
      </c>
      <c r="B82" s="223" t="s">
        <v>275</v>
      </c>
      <c r="C82" s="141"/>
    </row>
    <row r="83" spans="1:3" s="221" customFormat="1" ht="12" customHeight="1" thickBot="1" x14ac:dyDescent="0.25">
      <c r="A83" s="228" t="s">
        <v>276</v>
      </c>
      <c r="B83" s="134" t="s">
        <v>277</v>
      </c>
      <c r="C83" s="141"/>
    </row>
    <row r="84" spans="1:3" s="221" customFormat="1" ht="12" customHeight="1" thickBot="1" x14ac:dyDescent="0.25">
      <c r="A84" s="280" t="s">
        <v>278</v>
      </c>
      <c r="B84" s="132" t="s">
        <v>484</v>
      </c>
      <c r="C84" s="261"/>
    </row>
    <row r="85" spans="1:3" s="221" customFormat="1" ht="13.5" customHeight="1" thickBot="1" x14ac:dyDescent="0.25">
      <c r="A85" s="280" t="s">
        <v>280</v>
      </c>
      <c r="B85" s="132" t="s">
        <v>279</v>
      </c>
      <c r="C85" s="261"/>
    </row>
    <row r="86" spans="1:3" s="221" customFormat="1" ht="15.75" customHeight="1" thickBot="1" x14ac:dyDescent="0.25">
      <c r="A86" s="280" t="s">
        <v>292</v>
      </c>
      <c r="B86" s="229" t="s">
        <v>485</v>
      </c>
      <c r="C86" s="142">
        <f>+C63+C67+C72+C75+C79+C85+C84</f>
        <v>0</v>
      </c>
    </row>
    <row r="87" spans="1:3" s="221" customFormat="1" ht="16.5" customHeight="1" thickBot="1" x14ac:dyDescent="0.25">
      <c r="A87" s="282" t="s">
        <v>486</v>
      </c>
      <c r="B87" s="230" t="s">
        <v>487</v>
      </c>
      <c r="C87" s="142">
        <f>+C62+C86</f>
        <v>6280164</v>
      </c>
    </row>
    <row r="88" spans="1:3" s="221" customFormat="1" ht="83.25" customHeight="1" x14ac:dyDescent="0.2">
      <c r="A88" s="4"/>
      <c r="B88" s="5"/>
      <c r="C88" s="143"/>
    </row>
    <row r="89" spans="1:3" ht="16.5" customHeight="1" x14ac:dyDescent="0.25">
      <c r="A89" s="1003" t="s">
        <v>52</v>
      </c>
      <c r="B89" s="1003"/>
      <c r="C89" s="1003"/>
    </row>
    <row r="90" spans="1:3" s="231" customFormat="1" ht="16.5" customHeight="1" thickBot="1" x14ac:dyDescent="0.3">
      <c r="A90" s="1004" t="s">
        <v>129</v>
      </c>
      <c r="B90" s="1004"/>
      <c r="C90" s="79" t="s">
        <v>598</v>
      </c>
    </row>
    <row r="91" spans="1:3" ht="38.1" customHeight="1" thickBot="1" x14ac:dyDescent="0.3">
      <c r="A91" s="22" t="s">
        <v>74</v>
      </c>
      <c r="B91" s="23" t="s">
        <v>53</v>
      </c>
      <c r="C91" s="35" t="str">
        <f>+C3</f>
        <v>2018. évi előirányzat</v>
      </c>
    </row>
    <row r="92" spans="1:3" s="220" customFormat="1" ht="12" customHeight="1" thickBot="1" x14ac:dyDescent="0.25">
      <c r="A92" s="31" t="s">
        <v>471</v>
      </c>
      <c r="B92" s="32" t="s">
        <v>472</v>
      </c>
      <c r="C92" s="33" t="s">
        <v>473</v>
      </c>
    </row>
    <row r="93" spans="1:3" ht="12" customHeight="1" thickBot="1" x14ac:dyDescent="0.3">
      <c r="A93" s="21" t="s">
        <v>23</v>
      </c>
      <c r="B93" s="25" t="s">
        <v>525</v>
      </c>
      <c r="C93" s="136">
        <f>C94+C95+C96+C97+C98+C111</f>
        <v>201446403</v>
      </c>
    </row>
    <row r="94" spans="1:3" ht="12" customHeight="1" x14ac:dyDescent="0.25">
      <c r="A94" s="16" t="s">
        <v>99</v>
      </c>
      <c r="B94" s="9" t="s">
        <v>54</v>
      </c>
      <c r="C94" s="778">
        <f>134654515-569836+152400+1337422+71400-2500000+36000</f>
        <v>133181901</v>
      </c>
    </row>
    <row r="95" spans="1:3" ht="12" customHeight="1" x14ac:dyDescent="0.25">
      <c r="A95" s="13" t="s">
        <v>100</v>
      </c>
      <c r="B95" s="7" t="s">
        <v>148</v>
      </c>
      <c r="C95" s="779">
        <f>28757160+98926-416745+62043+268072+13930-487500+7013</f>
        <v>28302899</v>
      </c>
    </row>
    <row r="96" spans="1:3" ht="12" customHeight="1" x14ac:dyDescent="0.25">
      <c r="A96" s="13" t="s">
        <v>101</v>
      </c>
      <c r="B96" s="7" t="s">
        <v>124</v>
      </c>
      <c r="C96" s="211">
        <f>40114003-152400</f>
        <v>39961603</v>
      </c>
    </row>
    <row r="97" spans="1:3" ht="12" customHeight="1" x14ac:dyDescent="0.25">
      <c r="A97" s="13" t="s">
        <v>102</v>
      </c>
      <c r="B97" s="10" t="s">
        <v>149</v>
      </c>
      <c r="C97" s="211"/>
    </row>
    <row r="98" spans="1:3" ht="12" customHeight="1" x14ac:dyDescent="0.25">
      <c r="A98" s="13" t="s">
        <v>113</v>
      </c>
      <c r="B98" s="18" t="s">
        <v>150</v>
      </c>
      <c r="C98" s="211"/>
    </row>
    <row r="99" spans="1:3" ht="12" customHeight="1" x14ac:dyDescent="0.25">
      <c r="A99" s="13" t="s">
        <v>103</v>
      </c>
      <c r="B99" s="7" t="s">
        <v>488</v>
      </c>
      <c r="C99" s="211"/>
    </row>
    <row r="100" spans="1:3" ht="12" customHeight="1" x14ac:dyDescent="0.25">
      <c r="A100" s="13" t="s">
        <v>104</v>
      </c>
      <c r="B100" s="83" t="s">
        <v>489</v>
      </c>
      <c r="C100" s="140"/>
    </row>
    <row r="101" spans="1:3" ht="12" customHeight="1" x14ac:dyDescent="0.25">
      <c r="A101" s="13" t="s">
        <v>114</v>
      </c>
      <c r="B101" s="83" t="s">
        <v>490</v>
      </c>
      <c r="C101" s="140"/>
    </row>
    <row r="102" spans="1:3" ht="12" customHeight="1" x14ac:dyDescent="0.25">
      <c r="A102" s="13" t="s">
        <v>115</v>
      </c>
      <c r="B102" s="81" t="s">
        <v>295</v>
      </c>
      <c r="C102" s="140"/>
    </row>
    <row r="103" spans="1:3" ht="12" customHeight="1" x14ac:dyDescent="0.25">
      <c r="A103" s="13" t="s">
        <v>116</v>
      </c>
      <c r="B103" s="82" t="s">
        <v>296</v>
      </c>
      <c r="C103" s="140"/>
    </row>
    <row r="104" spans="1:3" ht="12" customHeight="1" x14ac:dyDescent="0.25">
      <c r="A104" s="13" t="s">
        <v>117</v>
      </c>
      <c r="B104" s="82" t="s">
        <v>297</v>
      </c>
      <c r="C104" s="140"/>
    </row>
    <row r="105" spans="1:3" ht="12" customHeight="1" x14ac:dyDescent="0.25">
      <c r="A105" s="13" t="s">
        <v>119</v>
      </c>
      <c r="B105" s="81" t="s">
        <v>298</v>
      </c>
      <c r="C105" s="140"/>
    </row>
    <row r="106" spans="1:3" ht="12" customHeight="1" x14ac:dyDescent="0.25">
      <c r="A106" s="13" t="s">
        <v>151</v>
      </c>
      <c r="B106" s="81" t="s">
        <v>299</v>
      </c>
      <c r="C106" s="140"/>
    </row>
    <row r="107" spans="1:3" ht="12" customHeight="1" x14ac:dyDescent="0.25">
      <c r="A107" s="13" t="s">
        <v>293</v>
      </c>
      <c r="B107" s="82" t="s">
        <v>300</v>
      </c>
      <c r="C107" s="140"/>
    </row>
    <row r="108" spans="1:3" ht="12" customHeight="1" x14ac:dyDescent="0.25">
      <c r="A108" s="12" t="s">
        <v>294</v>
      </c>
      <c r="B108" s="83" t="s">
        <v>301</v>
      </c>
      <c r="C108" s="140"/>
    </row>
    <row r="109" spans="1:3" ht="12" customHeight="1" x14ac:dyDescent="0.25">
      <c r="A109" s="13" t="s">
        <v>491</v>
      </c>
      <c r="B109" s="83" t="s">
        <v>302</v>
      </c>
      <c r="C109" s="140"/>
    </row>
    <row r="110" spans="1:3" ht="12" customHeight="1" x14ac:dyDescent="0.25">
      <c r="A110" s="15" t="s">
        <v>492</v>
      </c>
      <c r="B110" s="83" t="s">
        <v>303</v>
      </c>
      <c r="C110" s="140"/>
    </row>
    <row r="111" spans="1:3" ht="12" customHeight="1" x14ac:dyDescent="0.25">
      <c r="A111" s="13" t="s">
        <v>493</v>
      </c>
      <c r="B111" s="10" t="s">
        <v>55</v>
      </c>
      <c r="C111" s="138"/>
    </row>
    <row r="112" spans="1:3" ht="12" customHeight="1" x14ac:dyDescent="0.25">
      <c r="A112" s="13" t="s">
        <v>494</v>
      </c>
      <c r="B112" s="7" t="s">
        <v>495</v>
      </c>
      <c r="C112" s="138"/>
    </row>
    <row r="113" spans="1:3" ht="12" customHeight="1" thickBot="1" x14ac:dyDescent="0.3">
      <c r="A113" s="17" t="s">
        <v>496</v>
      </c>
      <c r="B113" s="283" t="s">
        <v>497</v>
      </c>
      <c r="C113" s="144"/>
    </row>
    <row r="114" spans="1:3" ht="12" customHeight="1" thickBot="1" x14ac:dyDescent="0.3">
      <c r="A114" s="284" t="s">
        <v>24</v>
      </c>
      <c r="B114" s="285" t="s">
        <v>304</v>
      </c>
      <c r="C114" s="286">
        <f>+C115+C117+C119</f>
        <v>4919980</v>
      </c>
    </row>
    <row r="115" spans="1:3" ht="12" customHeight="1" x14ac:dyDescent="0.25">
      <c r="A115" s="14" t="s">
        <v>105</v>
      </c>
      <c r="B115" s="7" t="s">
        <v>168</v>
      </c>
      <c r="C115" s="260">
        <v>4919980</v>
      </c>
    </row>
    <row r="116" spans="1:3" ht="12" customHeight="1" x14ac:dyDescent="0.25">
      <c r="A116" s="14" t="s">
        <v>106</v>
      </c>
      <c r="B116" s="11" t="s">
        <v>308</v>
      </c>
      <c r="C116" s="139"/>
    </row>
    <row r="117" spans="1:3" ht="12" customHeight="1" x14ac:dyDescent="0.25">
      <c r="A117" s="14" t="s">
        <v>107</v>
      </c>
      <c r="B117" s="11" t="s">
        <v>152</v>
      </c>
      <c r="C117" s="138"/>
    </row>
    <row r="118" spans="1:3" ht="12" customHeight="1" x14ac:dyDescent="0.25">
      <c r="A118" s="14" t="s">
        <v>108</v>
      </c>
      <c r="B118" s="11" t="s">
        <v>309</v>
      </c>
      <c r="C118" s="125"/>
    </row>
    <row r="119" spans="1:3" ht="12" customHeight="1" x14ac:dyDescent="0.25">
      <c r="A119" s="14" t="s">
        <v>109</v>
      </c>
      <c r="B119" s="134" t="s">
        <v>170</v>
      </c>
      <c r="C119" s="296"/>
    </row>
    <row r="120" spans="1:3" ht="12" customHeight="1" x14ac:dyDescent="0.25">
      <c r="A120" s="14" t="s">
        <v>118</v>
      </c>
      <c r="B120" s="133" t="s">
        <v>371</v>
      </c>
      <c r="C120" s="296"/>
    </row>
    <row r="121" spans="1:3" ht="12" customHeight="1" x14ac:dyDescent="0.25">
      <c r="A121" s="14" t="s">
        <v>120</v>
      </c>
      <c r="B121" s="218" t="s">
        <v>314</v>
      </c>
      <c r="C121" s="296"/>
    </row>
    <row r="122" spans="1:3" x14ac:dyDescent="0.25">
      <c r="A122" s="14" t="s">
        <v>153</v>
      </c>
      <c r="B122" s="82" t="s">
        <v>297</v>
      </c>
      <c r="C122" s="296"/>
    </row>
    <row r="123" spans="1:3" ht="12" customHeight="1" x14ac:dyDescent="0.25">
      <c r="A123" s="14" t="s">
        <v>154</v>
      </c>
      <c r="B123" s="82" t="s">
        <v>313</v>
      </c>
      <c r="C123" s="296"/>
    </row>
    <row r="124" spans="1:3" ht="12" customHeight="1" x14ac:dyDescent="0.25">
      <c r="A124" s="14" t="s">
        <v>155</v>
      </c>
      <c r="B124" s="82" t="s">
        <v>312</v>
      </c>
      <c r="C124" s="296"/>
    </row>
    <row r="125" spans="1:3" ht="12" customHeight="1" x14ac:dyDescent="0.25">
      <c r="A125" s="14" t="s">
        <v>305</v>
      </c>
      <c r="B125" s="82" t="s">
        <v>300</v>
      </c>
      <c r="C125" s="296"/>
    </row>
    <row r="126" spans="1:3" ht="12" customHeight="1" x14ac:dyDescent="0.25">
      <c r="A126" s="14" t="s">
        <v>306</v>
      </c>
      <c r="B126" s="82" t="s">
        <v>311</v>
      </c>
      <c r="C126" s="125"/>
    </row>
    <row r="127" spans="1:3" ht="16.5" thickBot="1" x14ac:dyDescent="0.3">
      <c r="A127" s="12" t="s">
        <v>307</v>
      </c>
      <c r="B127" s="82" t="s">
        <v>310</v>
      </c>
      <c r="C127" s="126"/>
    </row>
    <row r="128" spans="1:3" ht="12" customHeight="1" thickBot="1" x14ac:dyDescent="0.3">
      <c r="A128" s="19" t="s">
        <v>25</v>
      </c>
      <c r="B128" s="77" t="s">
        <v>498</v>
      </c>
      <c r="C128" s="137">
        <f>+C93+C114</f>
        <v>206366383</v>
      </c>
    </row>
    <row r="129" spans="1:3" ht="12" customHeight="1" thickBot="1" x14ac:dyDescent="0.3">
      <c r="A129" s="19" t="s">
        <v>26</v>
      </c>
      <c r="B129" s="77" t="s">
        <v>499</v>
      </c>
      <c r="C129" s="137">
        <f>+C130+C131+C132</f>
        <v>0</v>
      </c>
    </row>
    <row r="130" spans="1:3" ht="12" customHeight="1" x14ac:dyDescent="0.25">
      <c r="A130" s="14" t="s">
        <v>205</v>
      </c>
      <c r="B130" s="11" t="s">
        <v>500</v>
      </c>
      <c r="C130" s="125"/>
    </row>
    <row r="131" spans="1:3" ht="12" customHeight="1" x14ac:dyDescent="0.25">
      <c r="A131" s="14" t="s">
        <v>208</v>
      </c>
      <c r="B131" s="11" t="s">
        <v>501</v>
      </c>
      <c r="C131" s="125"/>
    </row>
    <row r="132" spans="1:3" ht="12" customHeight="1" thickBot="1" x14ac:dyDescent="0.3">
      <c r="A132" s="12" t="s">
        <v>209</v>
      </c>
      <c r="B132" s="11" t="s">
        <v>502</v>
      </c>
      <c r="C132" s="125"/>
    </row>
    <row r="133" spans="1:3" ht="12" customHeight="1" thickBot="1" x14ac:dyDescent="0.3">
      <c r="A133" s="19" t="s">
        <v>27</v>
      </c>
      <c r="B133" s="77" t="s">
        <v>503</v>
      </c>
      <c r="C133" s="137">
        <f>SUM(C134:C139)</f>
        <v>0</v>
      </c>
    </row>
    <row r="134" spans="1:3" ht="12" customHeight="1" x14ac:dyDescent="0.25">
      <c r="A134" s="14" t="s">
        <v>92</v>
      </c>
      <c r="B134" s="8" t="s">
        <v>504</v>
      </c>
      <c r="C134" s="125"/>
    </row>
    <row r="135" spans="1:3" ht="12" customHeight="1" x14ac:dyDescent="0.25">
      <c r="A135" s="14" t="s">
        <v>93</v>
      </c>
      <c r="B135" s="8" t="s">
        <v>505</v>
      </c>
      <c r="C135" s="125"/>
    </row>
    <row r="136" spans="1:3" ht="12" customHeight="1" x14ac:dyDescent="0.25">
      <c r="A136" s="14" t="s">
        <v>94</v>
      </c>
      <c r="B136" s="8" t="s">
        <v>506</v>
      </c>
      <c r="C136" s="125"/>
    </row>
    <row r="137" spans="1:3" ht="12" customHeight="1" x14ac:dyDescent="0.25">
      <c r="A137" s="14" t="s">
        <v>140</v>
      </c>
      <c r="B137" s="8" t="s">
        <v>507</v>
      </c>
      <c r="C137" s="125"/>
    </row>
    <row r="138" spans="1:3" ht="12" customHeight="1" x14ac:dyDescent="0.25">
      <c r="A138" s="14" t="s">
        <v>141</v>
      </c>
      <c r="B138" s="8" t="s">
        <v>508</v>
      </c>
      <c r="C138" s="125"/>
    </row>
    <row r="139" spans="1:3" ht="12" customHeight="1" thickBot="1" x14ac:dyDescent="0.3">
      <c r="A139" s="12" t="s">
        <v>142</v>
      </c>
      <c r="B139" s="8" t="s">
        <v>509</v>
      </c>
      <c r="C139" s="125"/>
    </row>
    <row r="140" spans="1:3" ht="12" customHeight="1" thickBot="1" x14ac:dyDescent="0.3">
      <c r="A140" s="19" t="s">
        <v>28</v>
      </c>
      <c r="B140" s="77" t="s">
        <v>510</v>
      </c>
      <c r="C140" s="142">
        <f>+C141+C142+C143+C144</f>
        <v>0</v>
      </c>
    </row>
    <row r="141" spans="1:3" ht="12" customHeight="1" x14ac:dyDescent="0.25">
      <c r="A141" s="14" t="s">
        <v>95</v>
      </c>
      <c r="B141" s="8" t="s">
        <v>315</v>
      </c>
      <c r="C141" s="125"/>
    </row>
    <row r="142" spans="1:3" ht="12" customHeight="1" x14ac:dyDescent="0.25">
      <c r="A142" s="14" t="s">
        <v>96</v>
      </c>
      <c r="B142" s="8" t="s">
        <v>316</v>
      </c>
      <c r="C142" s="125"/>
    </row>
    <row r="143" spans="1:3" ht="12" customHeight="1" x14ac:dyDescent="0.25">
      <c r="A143" s="14" t="s">
        <v>229</v>
      </c>
      <c r="B143" s="8" t="s">
        <v>511</v>
      </c>
      <c r="C143" s="125"/>
    </row>
    <row r="144" spans="1:3" ht="12" customHeight="1" thickBot="1" x14ac:dyDescent="0.3">
      <c r="A144" s="12" t="s">
        <v>230</v>
      </c>
      <c r="B144" s="6" t="s">
        <v>334</v>
      </c>
      <c r="C144" s="125"/>
    </row>
    <row r="145" spans="1:6" ht="12" customHeight="1" thickBot="1" x14ac:dyDescent="0.3">
      <c r="A145" s="19" t="s">
        <v>29</v>
      </c>
      <c r="B145" s="77" t="s">
        <v>512</v>
      </c>
      <c r="C145" s="145">
        <f>SUM(C146:C150)</f>
        <v>0</v>
      </c>
    </row>
    <row r="146" spans="1:6" ht="12" customHeight="1" x14ac:dyDescent="0.25">
      <c r="A146" s="14" t="s">
        <v>97</v>
      </c>
      <c r="B146" s="8" t="s">
        <v>513</v>
      </c>
      <c r="C146" s="125"/>
    </row>
    <row r="147" spans="1:6" ht="12" customHeight="1" x14ac:dyDescent="0.25">
      <c r="A147" s="14" t="s">
        <v>98</v>
      </c>
      <c r="B147" s="8" t="s">
        <v>514</v>
      </c>
      <c r="C147" s="125"/>
    </row>
    <row r="148" spans="1:6" ht="12" customHeight="1" x14ac:dyDescent="0.25">
      <c r="A148" s="14" t="s">
        <v>241</v>
      </c>
      <c r="B148" s="8" t="s">
        <v>515</v>
      </c>
      <c r="C148" s="125"/>
    </row>
    <row r="149" spans="1:6" ht="12" customHeight="1" x14ac:dyDescent="0.25">
      <c r="A149" s="14" t="s">
        <v>242</v>
      </c>
      <c r="B149" s="8" t="s">
        <v>516</v>
      </c>
      <c r="C149" s="125"/>
    </row>
    <row r="150" spans="1:6" ht="12" customHeight="1" thickBot="1" x14ac:dyDescent="0.3">
      <c r="A150" s="14" t="s">
        <v>517</v>
      </c>
      <c r="B150" s="8" t="s">
        <v>518</v>
      </c>
      <c r="C150" s="125"/>
    </row>
    <row r="151" spans="1:6" ht="12" customHeight="1" thickBot="1" x14ac:dyDescent="0.3">
      <c r="A151" s="19" t="s">
        <v>30</v>
      </c>
      <c r="B151" s="77" t="s">
        <v>519</v>
      </c>
      <c r="C151" s="287"/>
    </row>
    <row r="152" spans="1:6" ht="12" customHeight="1" thickBot="1" x14ac:dyDescent="0.3">
      <c r="A152" s="19" t="s">
        <v>31</v>
      </c>
      <c r="B152" s="77" t="s">
        <v>520</v>
      </c>
      <c r="C152" s="287"/>
    </row>
    <row r="153" spans="1:6" ht="15" customHeight="1" thickBot="1" x14ac:dyDescent="0.3">
      <c r="A153" s="19" t="s">
        <v>32</v>
      </c>
      <c r="B153" s="77" t="s">
        <v>521</v>
      </c>
      <c r="C153" s="232">
        <f>+C129+C133+C140+C145+C151+C152</f>
        <v>0</v>
      </c>
      <c r="D153" s="233"/>
      <c r="E153" s="233"/>
      <c r="F153" s="233"/>
    </row>
    <row r="154" spans="1:6" s="221" customFormat="1" ht="12.95" customHeight="1" thickBot="1" x14ac:dyDescent="0.25">
      <c r="A154" s="135" t="s">
        <v>33</v>
      </c>
      <c r="B154" s="207" t="s">
        <v>522</v>
      </c>
      <c r="C154" s="232">
        <f>+C128+C153</f>
        <v>206366383</v>
      </c>
    </row>
    <row r="155" spans="1:6" ht="7.5" customHeight="1" x14ac:dyDescent="0.25"/>
    <row r="156" spans="1:6" x14ac:dyDescent="0.25">
      <c r="A156" s="1005" t="s">
        <v>317</v>
      </c>
      <c r="B156" s="1005"/>
      <c r="C156" s="1005"/>
    </row>
    <row r="157" spans="1:6" ht="15" customHeight="1" thickBot="1" x14ac:dyDescent="0.3">
      <c r="A157" s="1002" t="s">
        <v>130</v>
      </c>
      <c r="B157" s="1002"/>
      <c r="C157" s="146" t="s">
        <v>598</v>
      </c>
    </row>
    <row r="158" spans="1:6" ht="13.5" customHeight="1" thickBot="1" x14ac:dyDescent="0.3">
      <c r="A158" s="19">
        <v>1</v>
      </c>
      <c r="B158" s="24" t="s">
        <v>523</v>
      </c>
      <c r="C158" s="137">
        <f>+C62-C128</f>
        <v>-200086219</v>
      </c>
    </row>
    <row r="159" spans="1:6" ht="32.25" customHeight="1" thickBot="1" x14ac:dyDescent="0.3">
      <c r="A159" s="19" t="s">
        <v>24</v>
      </c>
      <c r="B159" s="24" t="s">
        <v>524</v>
      </c>
      <c r="C159" s="13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17/2018.(VII.27.)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zoomScaleNormal="100" zoomScaleSheetLayoutView="100" workbookViewId="0">
      <selection activeCell="J3" sqref="J3"/>
    </sheetView>
  </sheetViews>
  <sheetFormatPr defaultRowHeight="12.75" x14ac:dyDescent="0.2"/>
  <cols>
    <col min="1" max="1" width="6.83203125" style="43" customWidth="1"/>
    <col min="2" max="2" width="55.1640625" style="85" customWidth="1"/>
    <col min="3" max="3" width="16" style="43" bestFit="1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 x14ac:dyDescent="0.2">
      <c r="B1" s="153" t="s">
        <v>133</v>
      </c>
      <c r="C1" s="154"/>
      <c r="D1" s="154"/>
      <c r="E1" s="154"/>
      <c r="F1" s="1007"/>
    </row>
    <row r="2" spans="1:6" ht="14.25" thickBot="1" x14ac:dyDescent="0.25">
      <c r="E2" s="155" t="s">
        <v>601</v>
      </c>
      <c r="F2" s="1007"/>
    </row>
    <row r="3" spans="1:6" ht="18" customHeight="1" thickBot="1" x14ac:dyDescent="0.25">
      <c r="A3" s="1008" t="s">
        <v>74</v>
      </c>
      <c r="B3" s="156" t="s">
        <v>61</v>
      </c>
      <c r="C3" s="157"/>
      <c r="D3" s="156" t="s">
        <v>62</v>
      </c>
      <c r="E3" s="158"/>
      <c r="F3" s="1007"/>
    </row>
    <row r="4" spans="1:6" s="159" customFormat="1" ht="35.25" customHeight="1" thickBot="1" x14ac:dyDescent="0.25">
      <c r="A4" s="1009"/>
      <c r="B4" s="86" t="s">
        <v>67</v>
      </c>
      <c r="C4" s="35" t="s">
        <v>623</v>
      </c>
      <c r="D4" s="86" t="s">
        <v>67</v>
      </c>
      <c r="E4" s="42" t="str">
        <f>+C4</f>
        <v>2018.évi előirányzat</v>
      </c>
      <c r="F4" s="1007"/>
    </row>
    <row r="5" spans="1:6" s="164" customFormat="1" ht="12" customHeight="1" thickBot="1" x14ac:dyDescent="0.25">
      <c r="A5" s="160" t="s">
        <v>471</v>
      </c>
      <c r="B5" s="161" t="s">
        <v>472</v>
      </c>
      <c r="C5" s="162" t="s">
        <v>473</v>
      </c>
      <c r="D5" s="161" t="s">
        <v>526</v>
      </c>
      <c r="E5" s="163" t="s">
        <v>527</v>
      </c>
      <c r="F5" s="1007"/>
    </row>
    <row r="6" spans="1:6" ht="12.95" customHeight="1" x14ac:dyDescent="0.2">
      <c r="A6" s="165" t="s">
        <v>23</v>
      </c>
      <c r="B6" s="166" t="s">
        <v>318</v>
      </c>
      <c r="C6" s="780">
        <v>1329580680</v>
      </c>
      <c r="D6" s="182" t="s">
        <v>68</v>
      </c>
      <c r="E6" s="781">
        <v>1003824424</v>
      </c>
      <c r="F6" s="1007"/>
    </row>
    <row r="7" spans="1:6" ht="12.95" customHeight="1" x14ac:dyDescent="0.2">
      <c r="A7" s="167" t="s">
        <v>24</v>
      </c>
      <c r="B7" s="168" t="s">
        <v>319</v>
      </c>
      <c r="C7" s="782">
        <v>277012584</v>
      </c>
      <c r="D7" s="172" t="s">
        <v>148</v>
      </c>
      <c r="E7" s="783">
        <v>210906390</v>
      </c>
      <c r="F7" s="1007"/>
    </row>
    <row r="8" spans="1:6" ht="12.95" customHeight="1" x14ac:dyDescent="0.2">
      <c r="A8" s="167" t="s">
        <v>25</v>
      </c>
      <c r="B8" s="168" t="s">
        <v>339</v>
      </c>
      <c r="C8" s="50">
        <v>85930791</v>
      </c>
      <c r="D8" s="172" t="s">
        <v>173</v>
      </c>
      <c r="E8" s="783">
        <v>889864611</v>
      </c>
      <c r="F8" s="1007"/>
    </row>
    <row r="9" spans="1:6" ht="12.95" customHeight="1" x14ac:dyDescent="0.2">
      <c r="A9" s="167" t="s">
        <v>26</v>
      </c>
      <c r="B9" s="168" t="s">
        <v>139</v>
      </c>
      <c r="C9" s="50">
        <f>352658000</f>
        <v>352658000</v>
      </c>
      <c r="D9" s="172" t="s">
        <v>149</v>
      </c>
      <c r="E9" s="783">
        <v>163264000</v>
      </c>
      <c r="F9" s="1007"/>
    </row>
    <row r="10" spans="1:6" ht="12.95" customHeight="1" x14ac:dyDescent="0.2">
      <c r="A10" s="167" t="s">
        <v>27</v>
      </c>
      <c r="B10" s="169" t="s">
        <v>364</v>
      </c>
      <c r="C10" s="782">
        <v>444032260</v>
      </c>
      <c r="D10" s="172" t="s">
        <v>150</v>
      </c>
      <c r="E10" s="783">
        <v>158078582</v>
      </c>
      <c r="F10" s="1007"/>
    </row>
    <row r="11" spans="1:6" ht="12.95" customHeight="1" x14ac:dyDescent="0.2">
      <c r="A11" s="167" t="s">
        <v>28</v>
      </c>
      <c r="B11" s="168" t="s">
        <v>320</v>
      </c>
      <c r="C11" s="821">
        <v>5224000</v>
      </c>
      <c r="D11" s="172" t="s">
        <v>55</v>
      </c>
      <c r="E11" s="783">
        <v>45464650</v>
      </c>
      <c r="F11" s="1007"/>
    </row>
    <row r="12" spans="1:6" ht="12.95" customHeight="1" x14ac:dyDescent="0.2">
      <c r="A12" s="167" t="s">
        <v>29</v>
      </c>
      <c r="B12" s="168" t="s">
        <v>528</v>
      </c>
      <c r="C12" s="50"/>
      <c r="D12" s="355"/>
      <c r="E12" s="51"/>
      <c r="F12" s="1007"/>
    </row>
    <row r="13" spans="1:6" ht="12.95" customHeight="1" x14ac:dyDescent="0.2">
      <c r="A13" s="167" t="s">
        <v>30</v>
      </c>
      <c r="B13" s="39"/>
      <c r="C13" s="50"/>
      <c r="D13" s="355"/>
      <c r="E13" s="51"/>
      <c r="F13" s="1007"/>
    </row>
    <row r="14" spans="1:6" ht="12.95" customHeight="1" x14ac:dyDescent="0.2">
      <c r="A14" s="167" t="s">
        <v>31</v>
      </c>
      <c r="B14" s="234"/>
      <c r="C14" s="306"/>
      <c r="D14" s="355"/>
      <c r="E14" s="51"/>
      <c r="F14" s="1007"/>
    </row>
    <row r="15" spans="1:6" ht="12.95" customHeight="1" x14ac:dyDescent="0.2">
      <c r="A15" s="167" t="s">
        <v>32</v>
      </c>
      <c r="B15" s="39"/>
      <c r="C15" s="50"/>
      <c r="D15" s="355"/>
      <c r="E15" s="51"/>
      <c r="F15" s="1007"/>
    </row>
    <row r="16" spans="1:6" ht="12.95" customHeight="1" x14ac:dyDescent="0.2">
      <c r="A16" s="167" t="s">
        <v>33</v>
      </c>
      <c r="B16" s="39"/>
      <c r="C16" s="50"/>
      <c r="D16" s="39"/>
      <c r="E16" s="51"/>
      <c r="F16" s="1007"/>
    </row>
    <row r="17" spans="1:6" ht="12.95" customHeight="1" thickBot="1" x14ac:dyDescent="0.25">
      <c r="A17" s="167" t="s">
        <v>34</v>
      </c>
      <c r="B17" s="44"/>
      <c r="C17" s="643"/>
      <c r="D17" s="39"/>
      <c r="E17" s="150"/>
      <c r="F17" s="1007"/>
    </row>
    <row r="18" spans="1:6" ht="15.95" customHeight="1" thickBot="1" x14ac:dyDescent="0.25">
      <c r="A18" s="170" t="s">
        <v>35</v>
      </c>
      <c r="B18" s="78" t="s">
        <v>529</v>
      </c>
      <c r="C18" s="147">
        <f>SUM(C6:C17)-C8</f>
        <v>2408507524</v>
      </c>
      <c r="D18" s="78" t="s">
        <v>325</v>
      </c>
      <c r="E18" s="151">
        <f>SUM(E6:E17)</f>
        <v>2471402657</v>
      </c>
      <c r="F18" s="1007"/>
    </row>
    <row r="19" spans="1:6" ht="12.95" customHeight="1" x14ac:dyDescent="0.2">
      <c r="A19" s="551" t="s">
        <v>36</v>
      </c>
      <c r="B19" s="171" t="s">
        <v>322</v>
      </c>
      <c r="C19" s="263">
        <f>SUM(C20:C23)</f>
        <v>620677200</v>
      </c>
      <c r="D19" s="172" t="s">
        <v>156</v>
      </c>
      <c r="E19" s="152"/>
      <c r="F19" s="1007"/>
    </row>
    <row r="20" spans="1:6" ht="12.95" customHeight="1" x14ac:dyDescent="0.2">
      <c r="A20" s="552" t="s">
        <v>37</v>
      </c>
      <c r="B20" s="172" t="s">
        <v>166</v>
      </c>
      <c r="C20" s="50">
        <v>620677200</v>
      </c>
      <c r="D20" s="172" t="s">
        <v>324</v>
      </c>
      <c r="E20" s="51">
        <v>100000000</v>
      </c>
      <c r="F20" s="1007"/>
    </row>
    <row r="21" spans="1:6" ht="12.95" customHeight="1" x14ac:dyDescent="0.2">
      <c r="A21" s="552" t="s">
        <v>38</v>
      </c>
      <c r="B21" s="172" t="s">
        <v>167</v>
      </c>
      <c r="C21" s="50"/>
      <c r="D21" s="172" t="s">
        <v>131</v>
      </c>
      <c r="E21" s="51"/>
      <c r="F21" s="1007"/>
    </row>
    <row r="22" spans="1:6" ht="12.95" customHeight="1" x14ac:dyDescent="0.2">
      <c r="A22" s="552" t="s">
        <v>39</v>
      </c>
      <c r="B22" s="172" t="s">
        <v>171</v>
      </c>
      <c r="C22" s="50"/>
      <c r="D22" s="172" t="s">
        <v>132</v>
      </c>
      <c r="E22" s="51"/>
      <c r="F22" s="1007"/>
    </row>
    <row r="23" spans="1:6" ht="12.95" customHeight="1" x14ac:dyDescent="0.2">
      <c r="A23" s="552" t="s">
        <v>40</v>
      </c>
      <c r="B23" s="172" t="s">
        <v>172</v>
      </c>
      <c r="C23" s="50"/>
      <c r="D23" s="171" t="s">
        <v>174</v>
      </c>
      <c r="E23" s="51"/>
      <c r="F23" s="1007"/>
    </row>
    <row r="24" spans="1:6" ht="12.95" customHeight="1" x14ac:dyDescent="0.2">
      <c r="A24" s="552" t="s">
        <v>41</v>
      </c>
      <c r="B24" s="172" t="s">
        <v>323</v>
      </c>
      <c r="C24" s="173">
        <f>SUM(C25:C28)</f>
        <v>100000000</v>
      </c>
      <c r="D24" s="172" t="s">
        <v>157</v>
      </c>
      <c r="E24" s="51"/>
      <c r="F24" s="1007"/>
    </row>
    <row r="25" spans="1:6" ht="12.95" customHeight="1" x14ac:dyDescent="0.2">
      <c r="A25" s="551" t="s">
        <v>42</v>
      </c>
      <c r="B25" s="171" t="s">
        <v>321</v>
      </c>
      <c r="C25" s="148">
        <v>100000000</v>
      </c>
      <c r="D25" s="166" t="s">
        <v>511</v>
      </c>
      <c r="E25" s="152"/>
      <c r="F25" s="1007"/>
    </row>
    <row r="26" spans="1:6" ht="12.95" customHeight="1" x14ac:dyDescent="0.2">
      <c r="A26" s="552" t="s">
        <v>43</v>
      </c>
      <c r="B26" s="172" t="s">
        <v>530</v>
      </c>
      <c r="C26" s="50"/>
      <c r="D26" s="168" t="s">
        <v>519</v>
      </c>
      <c r="E26" s="51"/>
      <c r="F26" s="1007"/>
    </row>
    <row r="27" spans="1:6" ht="12.95" customHeight="1" x14ac:dyDescent="0.2">
      <c r="A27" s="167" t="s">
        <v>44</v>
      </c>
      <c r="B27" s="172" t="s">
        <v>484</v>
      </c>
      <c r="C27" s="50"/>
      <c r="D27" s="168" t="s">
        <v>520</v>
      </c>
      <c r="E27" s="51"/>
      <c r="F27" s="1007"/>
    </row>
    <row r="28" spans="1:6" ht="12.95" customHeight="1" thickBot="1" x14ac:dyDescent="0.25">
      <c r="A28" s="210" t="s">
        <v>45</v>
      </c>
      <c r="B28" s="171" t="s">
        <v>279</v>
      </c>
      <c r="C28" s="148"/>
      <c r="D28" s="235" t="s">
        <v>590</v>
      </c>
      <c r="E28" s="152">
        <v>38167591</v>
      </c>
      <c r="F28" s="1007"/>
    </row>
    <row r="29" spans="1:6" ht="21.75" customHeight="1" thickBot="1" x14ac:dyDescent="0.25">
      <c r="A29" s="170" t="s">
        <v>46</v>
      </c>
      <c r="B29" s="78" t="s">
        <v>531</v>
      </c>
      <c r="C29" s="147">
        <f>+C19+C24+C27+C28</f>
        <v>720677200</v>
      </c>
      <c r="D29" s="78" t="s">
        <v>532</v>
      </c>
      <c r="E29" s="151">
        <f>SUM(E19:E28)</f>
        <v>138167591</v>
      </c>
      <c r="F29" s="1007"/>
    </row>
    <row r="30" spans="1:6" ht="13.5" thickBot="1" x14ac:dyDescent="0.25">
      <c r="A30" s="170" t="s">
        <v>47</v>
      </c>
      <c r="B30" s="174" t="s">
        <v>533</v>
      </c>
      <c r="C30" s="367">
        <f>+C18+C29</f>
        <v>3129184724</v>
      </c>
      <c r="D30" s="174" t="s">
        <v>534</v>
      </c>
      <c r="E30" s="367">
        <f>E29+E18</f>
        <v>2609570248</v>
      </c>
      <c r="F30" s="1007"/>
    </row>
    <row r="31" spans="1:6" ht="13.5" thickBot="1" x14ac:dyDescent="0.25">
      <c r="A31" s="170" t="s">
        <v>48</v>
      </c>
      <c r="B31" s="174" t="s">
        <v>134</v>
      </c>
      <c r="C31" s="367">
        <f>IF(C18-E18&lt;0,E18-C18,"-")</f>
        <v>62895133</v>
      </c>
      <c r="D31" s="174" t="s">
        <v>135</v>
      </c>
      <c r="E31" s="367" t="str">
        <f>IF(C18-E18&gt;0,C18-E18,"-")</f>
        <v>-</v>
      </c>
      <c r="F31" s="1007"/>
    </row>
    <row r="32" spans="1:6" ht="13.5" thickBot="1" x14ac:dyDescent="0.25">
      <c r="A32" s="170" t="s">
        <v>49</v>
      </c>
      <c r="B32" s="174" t="s">
        <v>175</v>
      </c>
      <c r="C32" s="175" t="str">
        <f>IF(C30-E30&lt;0,E30-C30,"-")</f>
        <v>-</v>
      </c>
      <c r="D32" s="174" t="s">
        <v>176</v>
      </c>
      <c r="E32" s="367">
        <f>IF(C30-E30&gt;0,C30-E30,"-")</f>
        <v>519614476</v>
      </c>
      <c r="F32" s="1007"/>
    </row>
    <row r="33" spans="2:4" ht="18.75" x14ac:dyDescent="0.2">
      <c r="B33" s="1010"/>
      <c r="C33" s="1010"/>
      <c r="D33" s="1010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17/2018.(VII.27.)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view="pageLayout" zoomScaleNormal="100" zoomScaleSheetLayoutView="115" workbookViewId="0">
      <selection activeCell="J3" sqref="J3"/>
    </sheetView>
  </sheetViews>
  <sheetFormatPr defaultRowHeight="12.75" x14ac:dyDescent="0.2"/>
  <cols>
    <col min="1" max="1" width="6.83203125" style="43" customWidth="1"/>
    <col min="2" max="2" width="55.1640625" style="85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 x14ac:dyDescent="0.2">
      <c r="B1" s="153" t="s">
        <v>620</v>
      </c>
      <c r="C1" s="154"/>
      <c r="D1" s="154" t="s">
        <v>621</v>
      </c>
      <c r="E1" s="771"/>
      <c r="F1" s="1007"/>
    </row>
    <row r="2" spans="1:6" ht="14.25" thickBot="1" x14ac:dyDescent="0.25">
      <c r="E2" s="155" t="s">
        <v>601</v>
      </c>
      <c r="F2" s="1007"/>
    </row>
    <row r="3" spans="1:6" ht="13.5" thickBot="1" x14ac:dyDescent="0.25">
      <c r="A3" s="1011" t="s">
        <v>74</v>
      </c>
      <c r="B3" s="156" t="s">
        <v>61</v>
      </c>
      <c r="C3" s="157"/>
      <c r="D3" s="156" t="s">
        <v>62</v>
      </c>
      <c r="E3" s="158"/>
      <c r="F3" s="1007"/>
    </row>
    <row r="4" spans="1:6" s="159" customFormat="1" ht="24.75" thickBot="1" x14ac:dyDescent="0.25">
      <c r="A4" s="1012"/>
      <c r="B4" s="86" t="s">
        <v>67</v>
      </c>
      <c r="C4" s="35" t="s">
        <v>622</v>
      </c>
      <c r="D4" s="86" t="s">
        <v>67</v>
      </c>
      <c r="E4" s="35" t="s">
        <v>622</v>
      </c>
      <c r="F4" s="1007"/>
    </row>
    <row r="5" spans="1:6" s="159" customFormat="1" ht="13.5" thickBot="1" x14ac:dyDescent="0.25">
      <c r="A5" s="160" t="s">
        <v>471</v>
      </c>
      <c r="B5" s="161" t="s">
        <v>472</v>
      </c>
      <c r="C5" s="162" t="s">
        <v>473</v>
      </c>
      <c r="D5" s="161" t="s">
        <v>526</v>
      </c>
      <c r="E5" s="163" t="s">
        <v>527</v>
      </c>
      <c r="F5" s="1007"/>
    </row>
    <row r="6" spans="1:6" ht="12.95" customHeight="1" x14ac:dyDescent="0.2">
      <c r="A6" s="165" t="s">
        <v>23</v>
      </c>
      <c r="B6" s="166" t="s">
        <v>326</v>
      </c>
      <c r="C6" s="502">
        <v>73301322</v>
      </c>
      <c r="D6" s="182" t="s">
        <v>168</v>
      </c>
      <c r="E6" s="781">
        <v>348960255</v>
      </c>
      <c r="F6" s="1007"/>
    </row>
    <row r="7" spans="1:6" ht="12.75" customHeight="1" x14ac:dyDescent="0.2">
      <c r="A7" s="167" t="s">
        <v>24</v>
      </c>
      <c r="B7" s="168" t="s">
        <v>327</v>
      </c>
      <c r="C7" s="50">
        <v>68947847</v>
      </c>
      <c r="D7" s="172" t="s">
        <v>332</v>
      </c>
      <c r="E7" s="325">
        <v>295275384</v>
      </c>
      <c r="F7" s="1007"/>
    </row>
    <row r="8" spans="1:6" ht="12.95" customHeight="1" x14ac:dyDescent="0.2">
      <c r="A8" s="167" t="s">
        <v>25</v>
      </c>
      <c r="B8" s="168" t="s">
        <v>14</v>
      </c>
      <c r="C8" s="50">
        <v>30332500</v>
      </c>
      <c r="D8" s="172" t="s">
        <v>152</v>
      </c>
      <c r="E8" s="783">
        <v>281600756</v>
      </c>
      <c r="F8" s="1007"/>
    </row>
    <row r="9" spans="1:6" ht="12.95" customHeight="1" x14ac:dyDescent="0.2">
      <c r="A9" s="167" t="s">
        <v>26</v>
      </c>
      <c r="B9" s="168" t="s">
        <v>328</v>
      </c>
      <c r="C9" s="50"/>
      <c r="D9" s="172" t="s">
        <v>333</v>
      </c>
      <c r="E9" s="296">
        <v>230773273</v>
      </c>
      <c r="F9" s="1007"/>
    </row>
    <row r="10" spans="1:6" ht="12.75" customHeight="1" x14ac:dyDescent="0.2">
      <c r="A10" s="167" t="s">
        <v>27</v>
      </c>
      <c r="B10" s="168" t="s">
        <v>329</v>
      </c>
      <c r="C10" s="50"/>
      <c r="D10" s="172" t="s">
        <v>170</v>
      </c>
      <c r="E10" s="51">
        <v>66320721</v>
      </c>
      <c r="F10" s="1007"/>
    </row>
    <row r="11" spans="1:6" ht="12.95" customHeight="1" x14ac:dyDescent="0.2">
      <c r="A11" s="167" t="s">
        <v>28</v>
      </c>
      <c r="B11" s="168" t="s">
        <v>330</v>
      </c>
      <c r="C11" s="306"/>
      <c r="D11" s="288"/>
      <c r="E11" s="51"/>
      <c r="F11" s="1007"/>
    </row>
    <row r="12" spans="1:6" ht="12.95" customHeight="1" x14ac:dyDescent="0.2">
      <c r="A12" s="167" t="s">
        <v>29</v>
      </c>
      <c r="B12" s="39"/>
      <c r="C12" s="50"/>
      <c r="D12" s="288"/>
      <c r="E12" s="51"/>
      <c r="F12" s="1007"/>
    </row>
    <row r="13" spans="1:6" ht="12.95" customHeight="1" x14ac:dyDescent="0.2">
      <c r="A13" s="167" t="s">
        <v>30</v>
      </c>
      <c r="B13" s="39"/>
      <c r="C13" s="50"/>
      <c r="D13" s="288"/>
      <c r="E13" s="51"/>
      <c r="F13" s="1007"/>
    </row>
    <row r="14" spans="1:6" ht="12.95" customHeight="1" x14ac:dyDescent="0.2">
      <c r="A14" s="167" t="s">
        <v>31</v>
      </c>
      <c r="B14" s="289"/>
      <c r="C14" s="306"/>
      <c r="D14" s="288"/>
      <c r="E14" s="51"/>
      <c r="F14" s="1007"/>
    </row>
    <row r="15" spans="1:6" x14ac:dyDescent="0.2">
      <c r="A15" s="167" t="s">
        <v>32</v>
      </c>
      <c r="B15" s="39"/>
      <c r="C15" s="306"/>
      <c r="D15" s="288"/>
      <c r="E15" s="51"/>
      <c r="F15" s="1007"/>
    </row>
    <row r="16" spans="1:6" ht="12.95" customHeight="1" thickBot="1" x14ac:dyDescent="0.25">
      <c r="A16" s="210" t="s">
        <v>33</v>
      </c>
      <c r="B16" s="235"/>
      <c r="C16" s="356"/>
      <c r="D16" s="171" t="s">
        <v>55</v>
      </c>
      <c r="E16" s="152">
        <v>11358324</v>
      </c>
      <c r="F16" s="1007"/>
    </row>
    <row r="17" spans="1:6" ht="15.95" customHeight="1" thickBot="1" x14ac:dyDescent="0.25">
      <c r="A17" s="170" t="s">
        <v>34</v>
      </c>
      <c r="B17" s="78" t="s">
        <v>340</v>
      </c>
      <c r="C17" s="147">
        <f>+C6+C8+C9+C11+C12+C13+C14+C15+C16</f>
        <v>103633822</v>
      </c>
      <c r="D17" s="78" t="s">
        <v>341</v>
      </c>
      <c r="E17" s="151">
        <f>+E6+E8+E10+E11+E12+E13+E14+E15+E16</f>
        <v>708240056</v>
      </c>
      <c r="F17" s="1007"/>
    </row>
    <row r="18" spans="1:6" ht="12.95" customHeight="1" x14ac:dyDescent="0.2">
      <c r="A18" s="165" t="s">
        <v>35</v>
      </c>
      <c r="B18" s="178" t="s">
        <v>188</v>
      </c>
      <c r="C18" s="185">
        <f>+C19+C20+C21+C22+C23</f>
        <v>0</v>
      </c>
      <c r="D18" s="172" t="s">
        <v>156</v>
      </c>
      <c r="E18" s="49"/>
      <c r="F18" s="1007"/>
    </row>
    <row r="19" spans="1:6" ht="12.95" customHeight="1" x14ac:dyDescent="0.2">
      <c r="A19" s="167" t="s">
        <v>36</v>
      </c>
      <c r="B19" s="179" t="s">
        <v>177</v>
      </c>
      <c r="C19" s="50"/>
      <c r="D19" s="172" t="s">
        <v>159</v>
      </c>
      <c r="E19" s="51"/>
      <c r="F19" s="1007"/>
    </row>
    <row r="20" spans="1:6" ht="12.95" customHeight="1" x14ac:dyDescent="0.2">
      <c r="A20" s="165" t="s">
        <v>37</v>
      </c>
      <c r="B20" s="179" t="s">
        <v>178</v>
      </c>
      <c r="C20" s="50"/>
      <c r="D20" s="172" t="s">
        <v>131</v>
      </c>
      <c r="E20" s="51"/>
      <c r="F20" s="1007"/>
    </row>
    <row r="21" spans="1:6" ht="12.95" customHeight="1" x14ac:dyDescent="0.2">
      <c r="A21" s="167" t="s">
        <v>38</v>
      </c>
      <c r="B21" s="179" t="s">
        <v>179</v>
      </c>
      <c r="C21" s="50"/>
      <c r="D21" s="172" t="s">
        <v>132</v>
      </c>
      <c r="E21" s="51">
        <v>8486704</v>
      </c>
      <c r="F21" s="1007"/>
    </row>
    <row r="22" spans="1:6" ht="12.95" customHeight="1" x14ac:dyDescent="0.2">
      <c r="A22" s="165" t="s">
        <v>39</v>
      </c>
      <c r="B22" s="179" t="s">
        <v>180</v>
      </c>
      <c r="C22" s="50"/>
      <c r="D22" s="171" t="s">
        <v>174</v>
      </c>
      <c r="E22" s="51"/>
      <c r="F22" s="1007"/>
    </row>
    <row r="23" spans="1:6" ht="12.95" customHeight="1" x14ac:dyDescent="0.2">
      <c r="A23" s="167" t="s">
        <v>40</v>
      </c>
      <c r="B23" s="180" t="s">
        <v>181</v>
      </c>
      <c r="C23" s="50"/>
      <c r="D23" s="172" t="s">
        <v>160</v>
      </c>
      <c r="E23" s="51"/>
      <c r="F23" s="1007"/>
    </row>
    <row r="24" spans="1:6" ht="12.95" customHeight="1" x14ac:dyDescent="0.2">
      <c r="A24" s="165" t="s">
        <v>41</v>
      </c>
      <c r="B24" s="181" t="s">
        <v>182</v>
      </c>
      <c r="C24" s="644">
        <f>+C25+C26+C27+C28+C29</f>
        <v>93478462</v>
      </c>
      <c r="D24" s="182" t="s">
        <v>158</v>
      </c>
      <c r="E24" s="51"/>
      <c r="F24" s="1007"/>
    </row>
    <row r="25" spans="1:6" ht="12.95" customHeight="1" x14ac:dyDescent="0.2">
      <c r="A25" s="167" t="s">
        <v>42</v>
      </c>
      <c r="B25" s="180" t="s">
        <v>183</v>
      </c>
      <c r="C25" s="50">
        <v>93478462</v>
      </c>
      <c r="D25" s="182" t="s">
        <v>334</v>
      </c>
      <c r="E25" s="51"/>
      <c r="F25" s="1007"/>
    </row>
    <row r="26" spans="1:6" ht="12.95" customHeight="1" x14ac:dyDescent="0.2">
      <c r="A26" s="165" t="s">
        <v>43</v>
      </c>
      <c r="B26" s="180" t="s">
        <v>184</v>
      </c>
      <c r="C26" s="50"/>
      <c r="D26" s="177"/>
      <c r="E26" s="51"/>
      <c r="F26" s="1007"/>
    </row>
    <row r="27" spans="1:6" ht="12.95" customHeight="1" x14ac:dyDescent="0.2">
      <c r="A27" s="167" t="s">
        <v>44</v>
      </c>
      <c r="B27" s="179" t="s">
        <v>185</v>
      </c>
      <c r="C27" s="50"/>
      <c r="D27" s="177"/>
      <c r="E27" s="51"/>
      <c r="F27" s="1007"/>
    </row>
    <row r="28" spans="1:6" ht="12.95" customHeight="1" x14ac:dyDescent="0.2">
      <c r="A28" s="165" t="s">
        <v>45</v>
      </c>
      <c r="B28" s="183" t="s">
        <v>186</v>
      </c>
      <c r="C28" s="50"/>
      <c r="D28" s="355"/>
      <c r="E28" s="51"/>
      <c r="F28" s="1007"/>
    </row>
    <row r="29" spans="1:6" ht="12.95" customHeight="1" thickBot="1" x14ac:dyDescent="0.25">
      <c r="A29" s="167" t="s">
        <v>46</v>
      </c>
      <c r="B29" s="184" t="s">
        <v>187</v>
      </c>
      <c r="C29" s="50"/>
      <c r="D29" s="177"/>
      <c r="E29" s="51"/>
      <c r="F29" s="1007"/>
    </row>
    <row r="30" spans="1:6" ht="21.75" customHeight="1" thickBot="1" x14ac:dyDescent="0.25">
      <c r="A30" s="170" t="s">
        <v>47</v>
      </c>
      <c r="B30" s="78" t="s">
        <v>331</v>
      </c>
      <c r="C30" s="147">
        <f>+C18+C24</f>
        <v>93478462</v>
      </c>
      <c r="D30" s="78" t="s">
        <v>335</v>
      </c>
      <c r="E30" s="151">
        <f>SUM(E18:E29)</f>
        <v>8486704</v>
      </c>
      <c r="F30" s="1007"/>
    </row>
    <row r="31" spans="1:6" ht="13.5" thickBot="1" x14ac:dyDescent="0.25">
      <c r="A31" s="170" t="s">
        <v>48</v>
      </c>
      <c r="B31" s="174" t="s">
        <v>336</v>
      </c>
      <c r="C31" s="175">
        <f>+C17+C30</f>
        <v>197112284</v>
      </c>
      <c r="D31" s="174" t="s">
        <v>337</v>
      </c>
      <c r="E31" s="175">
        <f>+E17+E30</f>
        <v>716726760</v>
      </c>
      <c r="F31" s="1007"/>
    </row>
    <row r="32" spans="1:6" ht="13.5" thickBot="1" x14ac:dyDescent="0.25">
      <c r="A32" s="170" t="s">
        <v>49</v>
      </c>
      <c r="B32" s="174" t="s">
        <v>134</v>
      </c>
      <c r="C32" s="175">
        <f>IF(C17-E17&lt;0,E17-C17,"-")</f>
        <v>604606234</v>
      </c>
      <c r="D32" s="174" t="s">
        <v>135</v>
      </c>
      <c r="E32" s="175" t="str">
        <f>IF(C17-E17&gt;0,C17-E17,"-")</f>
        <v>-</v>
      </c>
      <c r="F32" s="1007"/>
    </row>
    <row r="33" spans="1:6" ht="13.5" thickBot="1" x14ac:dyDescent="0.25">
      <c r="A33" s="170" t="s">
        <v>50</v>
      </c>
      <c r="B33" s="174" t="s">
        <v>175</v>
      </c>
      <c r="C33" s="175">
        <f>IF(C31-E31&lt;0,E31-C31,"-")</f>
        <v>519614476</v>
      </c>
      <c r="D33" s="174" t="s">
        <v>176</v>
      </c>
      <c r="E33" s="175" t="str">
        <f>IF(C31-E31&gt;0,C31-E31,"-")</f>
        <v>-</v>
      </c>
      <c r="F33" s="1007"/>
    </row>
    <row r="34" spans="1:6" x14ac:dyDescent="0.2">
      <c r="C34" s="553"/>
      <c r="D34" s="553"/>
      <c r="E34" s="553"/>
    </row>
    <row r="35" spans="1:6" x14ac:dyDescent="0.2">
      <c r="C35" s="553"/>
      <c r="D35" s="553"/>
      <c r="E35" s="553"/>
    </row>
    <row r="36" spans="1:6" x14ac:dyDescent="0.2">
      <c r="C36" s="553"/>
      <c r="D36" s="553"/>
      <c r="E36" s="553"/>
    </row>
    <row r="37" spans="1:6" x14ac:dyDescent="0.2">
      <c r="C37" s="553"/>
      <c r="D37" s="553"/>
      <c r="E37" s="553"/>
    </row>
    <row r="38" spans="1:6" x14ac:dyDescent="0.2">
      <c r="C38" s="553"/>
      <c r="D38" s="553"/>
      <c r="E38" s="553"/>
    </row>
    <row r="39" spans="1:6" x14ac:dyDescent="0.2">
      <c r="C39" s="553"/>
      <c r="D39" s="553"/>
      <c r="E39" s="553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17/2018.(VII.27.)önkormányzati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7"/>
  <sheetViews>
    <sheetView view="pageLayout" topLeftCell="A17" zoomScale="85" zoomScaleNormal="100" zoomScalePageLayoutView="85" workbookViewId="0">
      <selection activeCell="J3" sqref="J3"/>
    </sheetView>
  </sheetViews>
  <sheetFormatPr defaultColWidth="9.33203125" defaultRowHeight="12.75" x14ac:dyDescent="0.2"/>
  <cols>
    <col min="1" max="1" width="61.33203125" style="950" customWidth="1"/>
    <col min="2" max="2" width="15.6640625" style="503" customWidth="1"/>
    <col min="3" max="3" width="16.33203125" style="503" customWidth="1"/>
    <col min="4" max="4" width="18" style="503" customWidth="1"/>
    <col min="5" max="5" width="16.6640625" style="503" customWidth="1"/>
    <col min="6" max="6" width="18.83203125" style="858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5.5" customHeight="1" x14ac:dyDescent="0.2">
      <c r="A1" s="1013" t="s">
        <v>11</v>
      </c>
      <c r="B1" s="1013"/>
      <c r="C1" s="1013"/>
      <c r="D1" s="1013"/>
      <c r="E1" s="1013"/>
      <c r="F1" s="1013"/>
    </row>
    <row r="2" spans="1:7" ht="22.5" customHeight="1" thickBot="1" x14ac:dyDescent="0.3">
      <c r="A2" s="857"/>
      <c r="B2" s="858"/>
      <c r="C2" s="858"/>
      <c r="D2" s="858"/>
      <c r="E2" s="858"/>
      <c r="F2" s="859" t="s">
        <v>601</v>
      </c>
    </row>
    <row r="3" spans="1:7" s="38" customFormat="1" ht="44.25" customHeight="1" thickBot="1" x14ac:dyDescent="0.25">
      <c r="A3" s="860" t="s">
        <v>70</v>
      </c>
      <c r="B3" s="861" t="s">
        <v>71</v>
      </c>
      <c r="C3" s="861" t="s">
        <v>72</v>
      </c>
      <c r="D3" s="861" t="s">
        <v>624</v>
      </c>
      <c r="E3" s="861" t="s">
        <v>622</v>
      </c>
      <c r="F3" s="862" t="s">
        <v>625</v>
      </c>
      <c r="G3" s="337"/>
    </row>
    <row r="4" spans="1:7" s="43" customFormat="1" ht="12" customHeight="1" thickBot="1" x14ac:dyDescent="0.25">
      <c r="A4" s="863">
        <v>1</v>
      </c>
      <c r="B4" s="864">
        <v>2</v>
      </c>
      <c r="C4" s="864">
        <v>3</v>
      </c>
      <c r="D4" s="864">
        <v>4</v>
      </c>
      <c r="E4" s="864">
        <v>5</v>
      </c>
      <c r="F4" s="865" t="s">
        <v>87</v>
      </c>
    </row>
    <row r="5" spans="1:7" s="503" customFormat="1" ht="15.95" customHeight="1" x14ac:dyDescent="0.2">
      <c r="A5" s="866" t="s">
        <v>761</v>
      </c>
      <c r="B5" s="867">
        <v>359410</v>
      </c>
      <c r="C5" s="868" t="s">
        <v>671</v>
      </c>
      <c r="D5" s="869"/>
      <c r="E5" s="869">
        <v>359410</v>
      </c>
      <c r="F5" s="870">
        <f t="shared" ref="F5:F81" si="0">B5-D5-E5</f>
        <v>0</v>
      </c>
    </row>
    <row r="6" spans="1:7" s="503" customFormat="1" ht="15.95" customHeight="1" x14ac:dyDescent="0.2">
      <c r="A6" s="866" t="s">
        <v>762</v>
      </c>
      <c r="B6" s="871">
        <v>752475</v>
      </c>
      <c r="C6" s="872" t="s">
        <v>671</v>
      </c>
      <c r="D6" s="873"/>
      <c r="E6" s="873">
        <v>752475</v>
      </c>
      <c r="F6" s="874">
        <f t="shared" si="0"/>
        <v>0</v>
      </c>
    </row>
    <row r="7" spans="1:7" s="511" customFormat="1" ht="15.95" customHeight="1" x14ac:dyDescent="0.2">
      <c r="A7" s="875" t="s">
        <v>668</v>
      </c>
      <c r="B7" s="876">
        <v>2345001</v>
      </c>
      <c r="C7" s="877" t="s">
        <v>671</v>
      </c>
      <c r="D7" s="878"/>
      <c r="E7" s="878">
        <v>2345001</v>
      </c>
      <c r="F7" s="879">
        <f t="shared" si="0"/>
        <v>0</v>
      </c>
    </row>
    <row r="8" spans="1:7" s="503" customFormat="1" ht="15.95" customHeight="1" x14ac:dyDescent="0.2">
      <c r="A8" s="880" t="s">
        <v>652</v>
      </c>
      <c r="B8" s="876">
        <f>4117750+5189661</f>
        <v>9307411</v>
      </c>
      <c r="C8" s="877" t="s">
        <v>717</v>
      </c>
      <c r="D8" s="878"/>
      <c r="E8" s="878">
        <f>4117750+5189661</f>
        <v>9307411</v>
      </c>
      <c r="F8" s="879">
        <f t="shared" si="0"/>
        <v>0</v>
      </c>
    </row>
    <row r="9" spans="1:7" s="503" customFormat="1" ht="15.95" customHeight="1" x14ac:dyDescent="0.2">
      <c r="A9" s="881" t="s">
        <v>653</v>
      </c>
      <c r="B9" s="876">
        <v>214128351</v>
      </c>
      <c r="C9" s="877" t="s">
        <v>717</v>
      </c>
      <c r="D9" s="878"/>
      <c r="E9" s="878">
        <v>214128351</v>
      </c>
      <c r="F9" s="882">
        <f t="shared" si="0"/>
        <v>0</v>
      </c>
    </row>
    <row r="10" spans="1:7" s="506" customFormat="1" ht="25.5" customHeight="1" x14ac:dyDescent="0.2">
      <c r="A10" s="956" t="s">
        <v>654</v>
      </c>
      <c r="B10" s="957">
        <v>0</v>
      </c>
      <c r="C10" s="797" t="s">
        <v>671</v>
      </c>
      <c r="D10" s="504"/>
      <c r="E10" s="504">
        <v>0</v>
      </c>
      <c r="F10" s="505">
        <f t="shared" si="0"/>
        <v>0</v>
      </c>
    </row>
    <row r="11" spans="1:7" s="503" customFormat="1" ht="15.95" customHeight="1" x14ac:dyDescent="0.15">
      <c r="A11" s="962" t="s">
        <v>655</v>
      </c>
      <c r="B11" s="957">
        <f>12873483-159000</f>
        <v>12714483</v>
      </c>
      <c r="C11" s="797" t="s">
        <v>717</v>
      </c>
      <c r="D11" s="963"/>
      <c r="E11" s="963">
        <f>12873483-159000</f>
        <v>12714483</v>
      </c>
      <c r="F11" s="505">
        <f t="shared" si="0"/>
        <v>0</v>
      </c>
    </row>
    <row r="12" spans="1:7" s="503" customFormat="1" ht="18.75" customHeight="1" x14ac:dyDescent="0.2">
      <c r="A12" s="875" t="s">
        <v>656</v>
      </c>
      <c r="B12" s="876">
        <v>381000</v>
      </c>
      <c r="C12" s="877" t="s">
        <v>671</v>
      </c>
      <c r="D12" s="878"/>
      <c r="E12" s="878">
        <v>381000</v>
      </c>
      <c r="F12" s="879">
        <f t="shared" si="0"/>
        <v>0</v>
      </c>
    </row>
    <row r="13" spans="1:7" s="503" customFormat="1" ht="15.95" customHeight="1" x14ac:dyDescent="0.2">
      <c r="A13" s="883" t="s">
        <v>657</v>
      </c>
      <c r="B13" s="884">
        <v>1500000</v>
      </c>
      <c r="C13" s="877" t="s">
        <v>671</v>
      </c>
      <c r="D13" s="885"/>
      <c r="E13" s="886">
        <v>1500000</v>
      </c>
      <c r="F13" s="887"/>
    </row>
    <row r="14" spans="1:7" s="503" customFormat="1" ht="15.95" customHeight="1" x14ac:dyDescent="0.2">
      <c r="A14" s="875" t="s">
        <v>736</v>
      </c>
      <c r="B14" s="876">
        <v>1422400</v>
      </c>
      <c r="C14" s="877" t="s">
        <v>671</v>
      </c>
      <c r="D14" s="888"/>
      <c r="E14" s="878">
        <v>1422400</v>
      </c>
      <c r="F14" s="879">
        <f>B13-D13-E13</f>
        <v>0</v>
      </c>
    </row>
    <row r="15" spans="1:7" s="503" customFormat="1" ht="15.95" customHeight="1" x14ac:dyDescent="0.2">
      <c r="A15" s="875" t="s">
        <v>737</v>
      </c>
      <c r="B15" s="876">
        <v>457200</v>
      </c>
      <c r="C15" s="877" t="s">
        <v>671</v>
      </c>
      <c r="D15" s="888"/>
      <c r="E15" s="878">
        <v>457200</v>
      </c>
      <c r="F15" s="879">
        <f t="shared" si="0"/>
        <v>0</v>
      </c>
    </row>
    <row r="16" spans="1:7" s="503" customFormat="1" ht="15.95" customHeight="1" x14ac:dyDescent="0.2">
      <c r="A16" s="883" t="s">
        <v>669</v>
      </c>
      <c r="B16" s="884">
        <v>2740000</v>
      </c>
      <c r="C16" s="877" t="s">
        <v>671</v>
      </c>
      <c r="D16" s="886"/>
      <c r="E16" s="886">
        <v>2740000</v>
      </c>
      <c r="F16" s="882">
        <f t="shared" si="0"/>
        <v>0</v>
      </c>
    </row>
    <row r="17" spans="1:6" s="503" customFormat="1" ht="15.95" customHeight="1" x14ac:dyDescent="0.2">
      <c r="A17" s="880" t="s">
        <v>658</v>
      </c>
      <c r="B17" s="884">
        <v>374185</v>
      </c>
      <c r="C17" s="877" t="s">
        <v>671</v>
      </c>
      <c r="D17" s="886"/>
      <c r="E17" s="886">
        <v>374185</v>
      </c>
      <c r="F17" s="882">
        <f t="shared" si="0"/>
        <v>0</v>
      </c>
    </row>
    <row r="18" spans="1:6" s="503" customFormat="1" ht="15.95" customHeight="1" x14ac:dyDescent="0.2">
      <c r="A18" s="875" t="s">
        <v>659</v>
      </c>
      <c r="B18" s="876">
        <v>25400</v>
      </c>
      <c r="C18" s="877" t="s">
        <v>671</v>
      </c>
      <c r="D18" s="878"/>
      <c r="E18" s="878">
        <v>25400</v>
      </c>
      <c r="F18" s="879">
        <f t="shared" si="0"/>
        <v>0</v>
      </c>
    </row>
    <row r="19" spans="1:6" s="503" customFormat="1" ht="21.75" customHeight="1" x14ac:dyDescent="0.2">
      <c r="A19" s="875" t="s">
        <v>750</v>
      </c>
      <c r="B19" s="876">
        <v>275000</v>
      </c>
      <c r="C19" s="877" t="s">
        <v>671</v>
      </c>
      <c r="D19" s="878"/>
      <c r="E19" s="878">
        <v>275000</v>
      </c>
      <c r="F19" s="879">
        <f t="shared" si="0"/>
        <v>0</v>
      </c>
    </row>
    <row r="20" spans="1:6" s="503" customFormat="1" ht="15.95" customHeight="1" x14ac:dyDescent="0.2">
      <c r="A20" s="889" t="s">
        <v>660</v>
      </c>
      <c r="B20" s="884">
        <v>254000</v>
      </c>
      <c r="C20" s="877" t="s">
        <v>671</v>
      </c>
      <c r="D20" s="886"/>
      <c r="E20" s="878">
        <v>254000</v>
      </c>
      <c r="F20" s="882">
        <f t="shared" si="0"/>
        <v>0</v>
      </c>
    </row>
    <row r="21" spans="1:6" s="503" customFormat="1" ht="15.95" customHeight="1" x14ac:dyDescent="0.2">
      <c r="A21" s="958" t="s">
        <v>661</v>
      </c>
      <c r="B21" s="959">
        <f>75588869-1863013-14128085-879687+797560</f>
        <v>59515644</v>
      </c>
      <c r="C21" s="797" t="s">
        <v>717</v>
      </c>
      <c r="D21" s="504">
        <f>25930681-472408-20930495</f>
        <v>4527778</v>
      </c>
      <c r="E21" s="504">
        <f>33259811+20930495+797560</f>
        <v>54987866</v>
      </c>
      <c r="F21" s="507">
        <f t="shared" si="0"/>
        <v>0</v>
      </c>
    </row>
    <row r="22" spans="1:6" s="506" customFormat="1" ht="15.75" customHeight="1" x14ac:dyDescent="0.2">
      <c r="A22" s="889" t="s">
        <v>662</v>
      </c>
      <c r="B22" s="884">
        <v>381000</v>
      </c>
      <c r="C22" s="877" t="s">
        <v>671</v>
      </c>
      <c r="D22" s="886"/>
      <c r="E22" s="886">
        <v>381000</v>
      </c>
      <c r="F22" s="882">
        <f t="shared" si="0"/>
        <v>0</v>
      </c>
    </row>
    <row r="23" spans="1:6" s="506" customFormat="1" ht="15.75" customHeight="1" x14ac:dyDescent="0.2">
      <c r="A23" s="889" t="s">
        <v>663</v>
      </c>
      <c r="B23" s="884">
        <v>377190</v>
      </c>
      <c r="C23" s="877" t="s">
        <v>671</v>
      </c>
      <c r="D23" s="886"/>
      <c r="E23" s="878">
        <v>377190</v>
      </c>
      <c r="F23" s="879">
        <f t="shared" si="0"/>
        <v>0</v>
      </c>
    </row>
    <row r="24" spans="1:6" s="503" customFormat="1" ht="15.75" customHeight="1" x14ac:dyDescent="0.2">
      <c r="A24" s="958" t="s">
        <v>775</v>
      </c>
      <c r="B24" s="959">
        <f>2338070-450200</f>
        <v>1887870</v>
      </c>
      <c r="C24" s="797" t="s">
        <v>671</v>
      </c>
      <c r="D24" s="960"/>
      <c r="E24" s="504">
        <f>2338070-450200</f>
        <v>1887870</v>
      </c>
      <c r="F24" s="505">
        <f t="shared" si="0"/>
        <v>0</v>
      </c>
    </row>
    <row r="25" spans="1:6" s="503" customFormat="1" ht="15.75" customHeight="1" x14ac:dyDescent="0.2">
      <c r="A25" s="889" t="s">
        <v>664</v>
      </c>
      <c r="B25" s="884">
        <v>4950460</v>
      </c>
      <c r="C25" s="877" t="s">
        <v>671</v>
      </c>
      <c r="D25" s="886"/>
      <c r="E25" s="886">
        <v>4950460</v>
      </c>
      <c r="F25" s="882">
        <f t="shared" si="0"/>
        <v>0</v>
      </c>
    </row>
    <row r="26" spans="1:6" s="503" customFormat="1" ht="15.75" customHeight="1" x14ac:dyDescent="0.2">
      <c r="A26" s="890" t="s">
        <v>738</v>
      </c>
      <c r="B26" s="876">
        <v>3000</v>
      </c>
      <c r="C26" s="877" t="s">
        <v>671</v>
      </c>
      <c r="D26" s="878"/>
      <c r="E26" s="878">
        <v>3000</v>
      </c>
      <c r="F26" s="882">
        <f t="shared" si="0"/>
        <v>0</v>
      </c>
    </row>
    <row r="27" spans="1:6" s="503" customFormat="1" ht="15.75" customHeight="1" x14ac:dyDescent="0.2">
      <c r="A27" s="890" t="s">
        <v>751</v>
      </c>
      <c r="B27" s="876">
        <v>6704583</v>
      </c>
      <c r="C27" s="877" t="s">
        <v>671</v>
      </c>
      <c r="D27" s="878"/>
      <c r="E27" s="878">
        <v>6704583</v>
      </c>
      <c r="F27" s="891">
        <f t="shared" si="0"/>
        <v>0</v>
      </c>
    </row>
    <row r="28" spans="1:6" s="503" customFormat="1" ht="15.75" customHeight="1" x14ac:dyDescent="0.2">
      <c r="A28" s="961" t="s">
        <v>770</v>
      </c>
      <c r="B28" s="957">
        <v>4969510</v>
      </c>
      <c r="C28" s="797" t="s">
        <v>671</v>
      </c>
      <c r="D28" s="504"/>
      <c r="E28" s="504">
        <v>4969510</v>
      </c>
      <c r="F28" s="507">
        <f t="shared" si="0"/>
        <v>0</v>
      </c>
    </row>
    <row r="29" spans="1:6" s="506" customFormat="1" ht="15.75" customHeight="1" x14ac:dyDescent="0.2">
      <c r="A29" s="892" t="s">
        <v>592</v>
      </c>
      <c r="B29" s="884"/>
      <c r="C29" s="877"/>
      <c r="D29" s="886"/>
      <c r="E29" s="886"/>
      <c r="F29" s="882">
        <f t="shared" si="0"/>
        <v>0</v>
      </c>
    </row>
    <row r="30" spans="1:6" s="503" customFormat="1" ht="15.75" customHeight="1" x14ac:dyDescent="0.2">
      <c r="A30" s="893" t="s">
        <v>752</v>
      </c>
      <c r="B30" s="884">
        <v>1153160</v>
      </c>
      <c r="C30" s="877" t="s">
        <v>671</v>
      </c>
      <c r="D30" s="886"/>
      <c r="E30" s="886">
        <v>1153160</v>
      </c>
      <c r="F30" s="882">
        <f t="shared" si="0"/>
        <v>0</v>
      </c>
    </row>
    <row r="31" spans="1:6" s="503" customFormat="1" ht="15.75" customHeight="1" x14ac:dyDescent="0.2">
      <c r="A31" s="893" t="s">
        <v>665</v>
      </c>
      <c r="B31" s="894">
        <v>840740</v>
      </c>
      <c r="C31" s="877" t="s">
        <v>671</v>
      </c>
      <c r="D31" s="886"/>
      <c r="E31" s="886">
        <v>840740</v>
      </c>
      <c r="F31" s="895">
        <f t="shared" si="0"/>
        <v>0</v>
      </c>
    </row>
    <row r="32" spans="1:6" s="506" customFormat="1" ht="15.75" customHeight="1" x14ac:dyDescent="0.2">
      <c r="A32" s="893" t="s">
        <v>666</v>
      </c>
      <c r="B32" s="894">
        <v>2000250</v>
      </c>
      <c r="C32" s="877" t="s">
        <v>671</v>
      </c>
      <c r="D32" s="886"/>
      <c r="E32" s="886">
        <v>2000250</v>
      </c>
      <c r="F32" s="895">
        <f t="shared" si="0"/>
        <v>0</v>
      </c>
    </row>
    <row r="33" spans="1:6" s="503" customFormat="1" ht="15.75" customHeight="1" thickBot="1" x14ac:dyDescent="0.25">
      <c r="A33" s="893" t="s">
        <v>667</v>
      </c>
      <c r="B33" s="894">
        <v>925830</v>
      </c>
      <c r="C33" s="877" t="s">
        <v>671</v>
      </c>
      <c r="D33" s="886"/>
      <c r="E33" s="886">
        <v>925830</v>
      </c>
      <c r="F33" s="895">
        <f t="shared" si="0"/>
        <v>0</v>
      </c>
    </row>
    <row r="34" spans="1:6" s="506" customFormat="1" ht="15.75" customHeight="1" x14ac:dyDescent="0.2">
      <c r="A34" s="896" t="s">
        <v>567</v>
      </c>
      <c r="B34" s="897"/>
      <c r="C34" s="898"/>
      <c r="D34" s="899"/>
      <c r="E34" s="899"/>
      <c r="F34" s="870">
        <f t="shared" si="0"/>
        <v>0</v>
      </c>
    </row>
    <row r="35" spans="1:6" s="503" customFormat="1" ht="15.75" customHeight="1" x14ac:dyDescent="0.2">
      <c r="A35" s="900" t="s">
        <v>670</v>
      </c>
      <c r="B35" s="901">
        <v>300000</v>
      </c>
      <c r="C35" s="902" t="s">
        <v>671</v>
      </c>
      <c r="D35" s="903"/>
      <c r="E35" s="903">
        <v>300000</v>
      </c>
      <c r="F35" s="879">
        <f t="shared" si="0"/>
        <v>0</v>
      </c>
    </row>
    <row r="36" spans="1:6" s="511" customFormat="1" ht="15.75" customHeight="1" x14ac:dyDescent="0.2">
      <c r="A36" s="951" t="s">
        <v>672</v>
      </c>
      <c r="B36" s="952">
        <v>368300</v>
      </c>
      <c r="C36" s="953" t="s">
        <v>671</v>
      </c>
      <c r="D36" s="954"/>
      <c r="E36" s="954">
        <v>368300</v>
      </c>
      <c r="F36" s="904">
        <f t="shared" si="0"/>
        <v>0</v>
      </c>
    </row>
    <row r="37" spans="1:6" s="509" customFormat="1" ht="15.75" customHeight="1" x14ac:dyDescent="0.2">
      <c r="A37" s="955" t="s">
        <v>673</v>
      </c>
      <c r="B37" s="952">
        <v>131700</v>
      </c>
      <c r="C37" s="953" t="s">
        <v>671</v>
      </c>
      <c r="D37" s="954"/>
      <c r="E37" s="954">
        <v>131700</v>
      </c>
      <c r="F37" s="905">
        <f t="shared" si="0"/>
        <v>0</v>
      </c>
    </row>
    <row r="38" spans="1:6" s="506" customFormat="1" ht="15.75" customHeight="1" x14ac:dyDescent="0.2">
      <c r="A38" s="906" t="s">
        <v>674</v>
      </c>
      <c r="B38" s="901">
        <v>83960</v>
      </c>
      <c r="C38" s="902" t="s">
        <v>671</v>
      </c>
      <c r="D38" s="903"/>
      <c r="E38" s="903">
        <v>83960</v>
      </c>
      <c r="F38" s="879">
        <f t="shared" si="0"/>
        <v>0</v>
      </c>
    </row>
    <row r="39" spans="1:6" s="511" customFormat="1" ht="15.75" customHeight="1" x14ac:dyDescent="0.2">
      <c r="A39" s="906" t="s">
        <v>739</v>
      </c>
      <c r="B39" s="901">
        <v>16040</v>
      </c>
      <c r="C39" s="902" t="s">
        <v>671</v>
      </c>
      <c r="D39" s="903"/>
      <c r="E39" s="903">
        <v>16040</v>
      </c>
      <c r="F39" s="879">
        <f t="shared" si="0"/>
        <v>0</v>
      </c>
    </row>
    <row r="40" spans="1:6" s="506" customFormat="1" ht="15.75" customHeight="1" x14ac:dyDescent="0.2">
      <c r="A40" s="907" t="s">
        <v>675</v>
      </c>
      <c r="B40" s="901">
        <v>180000</v>
      </c>
      <c r="C40" s="902" t="s">
        <v>717</v>
      </c>
      <c r="D40" s="903">
        <v>0</v>
      </c>
      <c r="E40" s="903">
        <v>180000</v>
      </c>
      <c r="F40" s="879">
        <f t="shared" si="0"/>
        <v>0</v>
      </c>
    </row>
    <row r="41" spans="1:6" s="503" customFormat="1" ht="15.75" customHeight="1" x14ac:dyDescent="0.2">
      <c r="A41" s="908" t="s">
        <v>676</v>
      </c>
      <c r="B41" s="901">
        <v>149000</v>
      </c>
      <c r="C41" s="909" t="s">
        <v>671</v>
      </c>
      <c r="D41" s="903"/>
      <c r="E41" s="903">
        <v>149000</v>
      </c>
      <c r="F41" s="882">
        <f t="shared" si="0"/>
        <v>0</v>
      </c>
    </row>
    <row r="42" spans="1:6" s="511" customFormat="1" ht="15.75" customHeight="1" x14ac:dyDescent="0.2">
      <c r="A42" s="910" t="s">
        <v>713</v>
      </c>
      <c r="B42" s="901">
        <v>40000</v>
      </c>
      <c r="C42" s="902" t="s">
        <v>671</v>
      </c>
      <c r="D42" s="903"/>
      <c r="E42" s="903">
        <v>40000</v>
      </c>
      <c r="F42" s="911">
        <f t="shared" si="0"/>
        <v>0</v>
      </c>
    </row>
    <row r="43" spans="1:6" s="503" customFormat="1" ht="15.75" customHeight="1" x14ac:dyDescent="0.2">
      <c r="A43" s="912" t="s">
        <v>400</v>
      </c>
      <c r="B43" s="901"/>
      <c r="C43" s="909"/>
      <c r="D43" s="903"/>
      <c r="E43" s="903"/>
      <c r="F43" s="879">
        <f t="shared" si="0"/>
        <v>0</v>
      </c>
    </row>
    <row r="44" spans="1:6" s="503" customFormat="1" ht="15.75" customHeight="1" x14ac:dyDescent="0.2">
      <c r="A44" s="913" t="s">
        <v>677</v>
      </c>
      <c r="B44" s="914">
        <v>1290385</v>
      </c>
      <c r="C44" s="909" t="s">
        <v>671</v>
      </c>
      <c r="D44" s="915"/>
      <c r="E44" s="916">
        <v>1290385</v>
      </c>
      <c r="F44" s="882">
        <f t="shared" si="0"/>
        <v>0</v>
      </c>
    </row>
    <row r="45" spans="1:6" s="508" customFormat="1" ht="15.75" customHeight="1" x14ac:dyDescent="0.2">
      <c r="A45" s="913" t="s">
        <v>678</v>
      </c>
      <c r="B45" s="914">
        <v>254000</v>
      </c>
      <c r="C45" s="909" t="s">
        <v>671</v>
      </c>
      <c r="D45" s="916"/>
      <c r="E45" s="916">
        <v>254000</v>
      </c>
      <c r="F45" s="882">
        <f t="shared" si="0"/>
        <v>0</v>
      </c>
    </row>
    <row r="46" spans="1:6" s="503" customFormat="1" ht="15.75" customHeight="1" x14ac:dyDescent="0.2">
      <c r="A46" s="913" t="s">
        <v>679</v>
      </c>
      <c r="B46" s="914">
        <v>38100</v>
      </c>
      <c r="C46" s="909" t="s">
        <v>671</v>
      </c>
      <c r="D46" s="916"/>
      <c r="E46" s="916">
        <v>38100</v>
      </c>
      <c r="F46" s="882">
        <f t="shared" si="0"/>
        <v>0</v>
      </c>
    </row>
    <row r="47" spans="1:6" s="506" customFormat="1" ht="15.75" customHeight="1" x14ac:dyDescent="0.2">
      <c r="A47" s="907" t="s">
        <v>680</v>
      </c>
      <c r="B47" s="914">
        <v>89445</v>
      </c>
      <c r="C47" s="909" t="s">
        <v>671</v>
      </c>
      <c r="D47" s="916"/>
      <c r="E47" s="916">
        <v>89445</v>
      </c>
      <c r="F47" s="882">
        <f t="shared" si="0"/>
        <v>0</v>
      </c>
    </row>
    <row r="48" spans="1:6" s="509" customFormat="1" ht="18.75" customHeight="1" x14ac:dyDescent="0.2">
      <c r="A48" s="917" t="s">
        <v>681</v>
      </c>
      <c r="B48" s="914">
        <v>234950</v>
      </c>
      <c r="C48" s="909" t="s">
        <v>671</v>
      </c>
      <c r="D48" s="916"/>
      <c r="E48" s="916">
        <v>234950</v>
      </c>
      <c r="F48" s="882">
        <f t="shared" si="0"/>
        <v>0</v>
      </c>
    </row>
    <row r="49" spans="1:6" s="503" customFormat="1" ht="16.5" customHeight="1" x14ac:dyDescent="0.2">
      <c r="A49" s="918" t="s">
        <v>682</v>
      </c>
      <c r="B49" s="914">
        <v>190500</v>
      </c>
      <c r="C49" s="909" t="s">
        <v>671</v>
      </c>
      <c r="D49" s="916"/>
      <c r="E49" s="916">
        <v>190500</v>
      </c>
      <c r="F49" s="882">
        <f t="shared" si="0"/>
        <v>0</v>
      </c>
    </row>
    <row r="50" spans="1:6" s="503" customFormat="1" ht="16.5" customHeight="1" x14ac:dyDescent="0.2">
      <c r="A50" s="919" t="s">
        <v>683</v>
      </c>
      <c r="B50" s="914"/>
      <c r="C50" s="909"/>
      <c r="D50" s="916"/>
      <c r="E50" s="916"/>
      <c r="F50" s="882">
        <f t="shared" si="0"/>
        <v>0</v>
      </c>
    </row>
    <row r="51" spans="1:6" s="510" customFormat="1" ht="16.5" customHeight="1" x14ac:dyDescent="0.2">
      <c r="A51" s="918" t="s">
        <v>684</v>
      </c>
      <c r="B51" s="914">
        <v>300000</v>
      </c>
      <c r="C51" s="909" t="s">
        <v>671</v>
      </c>
      <c r="D51" s="916"/>
      <c r="E51" s="916">
        <v>300000</v>
      </c>
      <c r="F51" s="882">
        <f t="shared" si="0"/>
        <v>0</v>
      </c>
    </row>
    <row r="52" spans="1:6" s="511" customFormat="1" ht="22.5" customHeight="1" x14ac:dyDescent="0.2">
      <c r="A52" s="918" t="s">
        <v>685</v>
      </c>
      <c r="B52" s="914">
        <v>14500</v>
      </c>
      <c r="C52" s="909" t="s">
        <v>671</v>
      </c>
      <c r="D52" s="916"/>
      <c r="E52" s="916">
        <v>14500</v>
      </c>
      <c r="F52" s="882">
        <f t="shared" si="0"/>
        <v>0</v>
      </c>
    </row>
    <row r="53" spans="1:6" s="506" customFormat="1" ht="22.5" customHeight="1" x14ac:dyDescent="0.2">
      <c r="A53" s="918" t="s">
        <v>686</v>
      </c>
      <c r="B53" s="914">
        <v>500000</v>
      </c>
      <c r="C53" s="909" t="s">
        <v>671</v>
      </c>
      <c r="D53" s="916"/>
      <c r="E53" s="916">
        <v>500000</v>
      </c>
      <c r="F53" s="882">
        <f t="shared" si="0"/>
        <v>0</v>
      </c>
    </row>
    <row r="54" spans="1:6" s="506" customFormat="1" ht="22.5" customHeight="1" x14ac:dyDescent="0.2">
      <c r="A54" s="918" t="s">
        <v>687</v>
      </c>
      <c r="B54" s="914">
        <v>60000</v>
      </c>
      <c r="C54" s="909" t="s">
        <v>671</v>
      </c>
      <c r="D54" s="916"/>
      <c r="E54" s="916">
        <v>60000</v>
      </c>
      <c r="F54" s="882">
        <f t="shared" si="0"/>
        <v>0</v>
      </c>
    </row>
    <row r="55" spans="1:6" s="511" customFormat="1" ht="22.5" customHeight="1" x14ac:dyDescent="0.2">
      <c r="A55" s="918" t="s">
        <v>688</v>
      </c>
      <c r="B55" s="914">
        <v>35000</v>
      </c>
      <c r="C55" s="909" t="s">
        <v>671</v>
      </c>
      <c r="D55" s="916"/>
      <c r="E55" s="916">
        <v>35000</v>
      </c>
      <c r="F55" s="882">
        <f t="shared" si="0"/>
        <v>0</v>
      </c>
    </row>
    <row r="56" spans="1:6" s="511" customFormat="1" ht="22.5" customHeight="1" x14ac:dyDescent="0.2">
      <c r="A56" s="918" t="s">
        <v>689</v>
      </c>
      <c r="B56" s="914">
        <v>90000</v>
      </c>
      <c r="C56" s="909" t="s">
        <v>671</v>
      </c>
      <c r="D56" s="916"/>
      <c r="E56" s="916">
        <v>90000</v>
      </c>
      <c r="F56" s="882">
        <f t="shared" si="0"/>
        <v>0</v>
      </c>
    </row>
    <row r="57" spans="1:6" s="511" customFormat="1" ht="22.5" customHeight="1" x14ac:dyDescent="0.2">
      <c r="A57" s="918" t="s">
        <v>690</v>
      </c>
      <c r="B57" s="914">
        <v>30000</v>
      </c>
      <c r="C57" s="909" t="s">
        <v>671</v>
      </c>
      <c r="D57" s="916"/>
      <c r="E57" s="916">
        <v>30000</v>
      </c>
      <c r="F57" s="882">
        <f t="shared" si="0"/>
        <v>0</v>
      </c>
    </row>
    <row r="58" spans="1:6" s="511" customFormat="1" ht="22.5" customHeight="1" x14ac:dyDescent="0.2">
      <c r="A58" s="918" t="s">
        <v>691</v>
      </c>
      <c r="B58" s="914">
        <v>37000</v>
      </c>
      <c r="C58" s="909" t="s">
        <v>671</v>
      </c>
      <c r="D58" s="916"/>
      <c r="E58" s="916">
        <v>37000</v>
      </c>
      <c r="F58" s="882">
        <f t="shared" si="0"/>
        <v>0</v>
      </c>
    </row>
    <row r="59" spans="1:6" s="503" customFormat="1" ht="21" customHeight="1" x14ac:dyDescent="0.2">
      <c r="A59" s="920" t="s">
        <v>692</v>
      </c>
      <c r="B59" s="914">
        <v>1612204</v>
      </c>
      <c r="C59" s="909" t="s">
        <v>671</v>
      </c>
      <c r="D59" s="916"/>
      <c r="E59" s="916">
        <v>1612204</v>
      </c>
      <c r="F59" s="882">
        <f t="shared" si="0"/>
        <v>0</v>
      </c>
    </row>
    <row r="60" spans="1:6" s="503" customFormat="1" ht="21" customHeight="1" x14ac:dyDescent="0.2">
      <c r="A60" s="920" t="s">
        <v>763</v>
      </c>
      <c r="B60" s="914">
        <v>1598336</v>
      </c>
      <c r="C60" s="909" t="s">
        <v>671</v>
      </c>
      <c r="D60" s="916"/>
      <c r="E60" s="916">
        <v>1598336</v>
      </c>
      <c r="F60" s="882">
        <f t="shared" si="0"/>
        <v>0</v>
      </c>
    </row>
    <row r="61" spans="1:6" s="511" customFormat="1" ht="21" customHeight="1" x14ac:dyDescent="0.2">
      <c r="A61" s="840" t="s">
        <v>768</v>
      </c>
      <c r="B61" s="799">
        <v>170000</v>
      </c>
      <c r="C61" s="798" t="s">
        <v>671</v>
      </c>
      <c r="D61" s="800"/>
      <c r="E61" s="800">
        <v>170000</v>
      </c>
      <c r="F61" s="507">
        <f t="shared" si="0"/>
        <v>0</v>
      </c>
    </row>
    <row r="62" spans="1:6" s="506" customFormat="1" ht="21" customHeight="1" x14ac:dyDescent="0.2">
      <c r="A62" s="921" t="s">
        <v>693</v>
      </c>
      <c r="B62" s="922"/>
      <c r="C62" s="923"/>
      <c r="D62" s="886"/>
      <c r="E62" s="886"/>
      <c r="F62" s="882">
        <f t="shared" si="0"/>
        <v>0</v>
      </c>
    </row>
    <row r="63" spans="1:6" s="506" customFormat="1" ht="21" customHeight="1" x14ac:dyDescent="0.2">
      <c r="A63" s="919" t="s">
        <v>694</v>
      </c>
      <c r="B63" s="922"/>
      <c r="C63" s="923"/>
      <c r="D63" s="886"/>
      <c r="E63" s="886"/>
      <c r="F63" s="882">
        <f t="shared" si="0"/>
        <v>0</v>
      </c>
    </row>
    <row r="64" spans="1:6" s="506" customFormat="1" ht="24" customHeight="1" x14ac:dyDescent="0.2">
      <c r="A64" s="917" t="s">
        <v>695</v>
      </c>
      <c r="B64" s="924">
        <v>380000</v>
      </c>
      <c r="C64" s="909" t="s">
        <v>671</v>
      </c>
      <c r="D64" s="886"/>
      <c r="E64" s="925">
        <v>380000</v>
      </c>
      <c r="F64" s="882">
        <f t="shared" si="0"/>
        <v>0</v>
      </c>
    </row>
    <row r="65" spans="1:6" s="506" customFormat="1" x14ac:dyDescent="0.2">
      <c r="A65" s="918" t="s">
        <v>696</v>
      </c>
      <c r="B65" s="924">
        <v>40000</v>
      </c>
      <c r="C65" s="909" t="s">
        <v>671</v>
      </c>
      <c r="D65" s="886"/>
      <c r="E65" s="925">
        <v>40000</v>
      </c>
      <c r="F65" s="882">
        <f t="shared" si="0"/>
        <v>0</v>
      </c>
    </row>
    <row r="66" spans="1:6" s="506" customFormat="1" x14ac:dyDescent="0.2">
      <c r="A66" s="918" t="s">
        <v>697</v>
      </c>
      <c r="B66" s="924">
        <v>5000</v>
      </c>
      <c r="C66" s="909" t="s">
        <v>671</v>
      </c>
      <c r="D66" s="886"/>
      <c r="E66" s="925">
        <v>5000</v>
      </c>
      <c r="F66" s="882">
        <f t="shared" si="0"/>
        <v>0</v>
      </c>
    </row>
    <row r="67" spans="1:6" s="506" customFormat="1" x14ac:dyDescent="0.2">
      <c r="A67" s="919" t="s">
        <v>698</v>
      </c>
      <c r="B67" s="924"/>
      <c r="C67" s="909"/>
      <c r="D67" s="886"/>
      <c r="E67" s="925"/>
      <c r="F67" s="882">
        <f t="shared" si="0"/>
        <v>0</v>
      </c>
    </row>
    <row r="68" spans="1:6" s="511" customFormat="1" x14ac:dyDescent="0.2">
      <c r="A68" s="918" t="s">
        <v>740</v>
      </c>
      <c r="B68" s="924">
        <v>116080</v>
      </c>
      <c r="C68" s="909" t="s">
        <v>671</v>
      </c>
      <c r="D68" s="886"/>
      <c r="E68" s="925">
        <v>116080</v>
      </c>
      <c r="F68" s="882"/>
    </row>
    <row r="69" spans="1:6" s="511" customFormat="1" x14ac:dyDescent="0.2">
      <c r="A69" s="918" t="s">
        <v>699</v>
      </c>
      <c r="B69" s="924">
        <v>53253</v>
      </c>
      <c r="C69" s="909" t="s">
        <v>671</v>
      </c>
      <c r="D69" s="886"/>
      <c r="E69" s="925">
        <v>53253</v>
      </c>
      <c r="F69" s="882"/>
    </row>
    <row r="70" spans="1:6" s="503" customFormat="1" ht="21" customHeight="1" x14ac:dyDescent="0.2">
      <c r="A70" s="918" t="s">
        <v>700</v>
      </c>
      <c r="B70" s="924">
        <v>70000</v>
      </c>
      <c r="C70" s="909" t="s">
        <v>671</v>
      </c>
      <c r="D70" s="886"/>
      <c r="E70" s="925">
        <v>70000</v>
      </c>
      <c r="F70" s="882">
        <f t="shared" si="0"/>
        <v>0</v>
      </c>
    </row>
    <row r="71" spans="1:6" s="511" customFormat="1" ht="19.5" customHeight="1" x14ac:dyDescent="0.2">
      <c r="A71" s="918" t="s">
        <v>701</v>
      </c>
      <c r="B71" s="924">
        <v>120000</v>
      </c>
      <c r="C71" s="909" t="s">
        <v>671</v>
      </c>
      <c r="D71" s="886"/>
      <c r="E71" s="925">
        <v>120000</v>
      </c>
      <c r="F71" s="882">
        <f t="shared" si="0"/>
        <v>0</v>
      </c>
    </row>
    <row r="72" spans="1:6" s="511" customFormat="1" ht="19.5" customHeight="1" x14ac:dyDescent="0.2">
      <c r="A72" s="919" t="s">
        <v>702</v>
      </c>
      <c r="B72" s="922"/>
      <c r="C72" s="923"/>
      <c r="D72" s="886"/>
      <c r="E72" s="886"/>
      <c r="F72" s="882">
        <f t="shared" si="0"/>
        <v>0</v>
      </c>
    </row>
    <row r="73" spans="1:6" s="511" customFormat="1" ht="19.5" customHeight="1" x14ac:dyDescent="0.2">
      <c r="A73" s="918" t="s">
        <v>701</v>
      </c>
      <c r="B73" s="914">
        <v>100000</v>
      </c>
      <c r="C73" s="909" t="s">
        <v>671</v>
      </c>
      <c r="D73" s="916"/>
      <c r="E73" s="916">
        <v>100000</v>
      </c>
      <c r="F73" s="926">
        <f t="shared" si="0"/>
        <v>0</v>
      </c>
    </row>
    <row r="74" spans="1:6" s="511" customFormat="1" ht="19.5" customHeight="1" x14ac:dyDescent="0.2">
      <c r="A74" s="918" t="s">
        <v>703</v>
      </c>
      <c r="B74" s="914">
        <v>33000</v>
      </c>
      <c r="C74" s="909" t="s">
        <v>671</v>
      </c>
      <c r="D74" s="916"/>
      <c r="E74" s="916">
        <v>33000</v>
      </c>
      <c r="F74" s="926">
        <f t="shared" si="0"/>
        <v>0</v>
      </c>
    </row>
    <row r="75" spans="1:6" s="511" customFormat="1" ht="19.5" customHeight="1" x14ac:dyDescent="0.2">
      <c r="A75" s="918" t="s">
        <v>741</v>
      </c>
      <c r="B75" s="914">
        <v>28053</v>
      </c>
      <c r="C75" s="909" t="s">
        <v>671</v>
      </c>
      <c r="D75" s="916"/>
      <c r="E75" s="916">
        <v>28053</v>
      </c>
      <c r="F75" s="926"/>
    </row>
    <row r="76" spans="1:6" s="511" customFormat="1" ht="19.5" customHeight="1" x14ac:dyDescent="0.2">
      <c r="A76" s="927" t="s">
        <v>704</v>
      </c>
      <c r="B76" s="914">
        <v>2072918</v>
      </c>
      <c r="C76" s="909" t="s">
        <v>671</v>
      </c>
      <c r="D76" s="916"/>
      <c r="E76" s="916">
        <v>2072918</v>
      </c>
      <c r="F76" s="926">
        <f t="shared" si="0"/>
        <v>0</v>
      </c>
    </row>
    <row r="77" spans="1:6" s="801" customFormat="1" ht="18" customHeight="1" x14ac:dyDescent="0.2">
      <c r="A77" s="927" t="s">
        <v>742</v>
      </c>
      <c r="B77" s="914">
        <v>28364</v>
      </c>
      <c r="C77" s="909" t="s">
        <v>671</v>
      </c>
      <c r="D77" s="916"/>
      <c r="E77" s="916">
        <v>28364</v>
      </c>
      <c r="F77" s="926">
        <f t="shared" si="0"/>
        <v>0</v>
      </c>
    </row>
    <row r="78" spans="1:6" s="801" customFormat="1" ht="18" customHeight="1" x14ac:dyDescent="0.2">
      <c r="A78" s="927" t="s">
        <v>743</v>
      </c>
      <c r="B78" s="914">
        <v>24250</v>
      </c>
      <c r="C78" s="909" t="s">
        <v>671</v>
      </c>
      <c r="D78" s="916"/>
      <c r="E78" s="916">
        <v>24250</v>
      </c>
      <c r="F78" s="926">
        <f t="shared" si="0"/>
        <v>0</v>
      </c>
    </row>
    <row r="79" spans="1:6" s="801" customFormat="1" ht="18" customHeight="1" x14ac:dyDescent="0.2">
      <c r="A79" s="927" t="s">
        <v>744</v>
      </c>
      <c r="B79" s="914">
        <v>599137</v>
      </c>
      <c r="C79" s="909" t="s">
        <v>671</v>
      </c>
      <c r="D79" s="916"/>
      <c r="E79" s="916">
        <v>599137</v>
      </c>
      <c r="F79" s="882">
        <f t="shared" si="0"/>
        <v>0</v>
      </c>
    </row>
    <row r="80" spans="1:6" x14ac:dyDescent="0.2">
      <c r="A80" s="927" t="s">
        <v>705</v>
      </c>
      <c r="B80" s="914">
        <v>29000</v>
      </c>
      <c r="C80" s="909" t="s">
        <v>671</v>
      </c>
      <c r="D80" s="916"/>
      <c r="E80" s="916">
        <v>29000</v>
      </c>
      <c r="F80" s="926">
        <f t="shared" si="0"/>
        <v>0</v>
      </c>
    </row>
    <row r="81" spans="1:6" s="511" customFormat="1" x14ac:dyDescent="0.2">
      <c r="A81" s="928" t="s">
        <v>706</v>
      </c>
      <c r="B81" s="914">
        <f>5000000-646525</f>
        <v>4353475</v>
      </c>
      <c r="C81" s="909" t="s">
        <v>671</v>
      </c>
      <c r="D81" s="916"/>
      <c r="E81" s="916">
        <v>4353475</v>
      </c>
      <c r="F81" s="929">
        <f t="shared" si="0"/>
        <v>0</v>
      </c>
    </row>
    <row r="82" spans="1:6" ht="25.5" x14ac:dyDescent="0.2">
      <c r="A82" s="930" t="s">
        <v>707</v>
      </c>
      <c r="B82" s="914">
        <v>102700</v>
      </c>
      <c r="C82" s="909" t="s">
        <v>671</v>
      </c>
      <c r="D82" s="916"/>
      <c r="E82" s="916">
        <v>102700</v>
      </c>
      <c r="F82" s="926">
        <f t="shared" ref="F82" si="1">B82-D82-E82</f>
        <v>0</v>
      </c>
    </row>
    <row r="83" spans="1:6" x14ac:dyDescent="0.2">
      <c r="A83" s="927" t="s">
        <v>708</v>
      </c>
      <c r="B83" s="924">
        <v>120000</v>
      </c>
      <c r="C83" s="902" t="s">
        <v>671</v>
      </c>
      <c r="D83" s="931"/>
      <c r="E83" s="925">
        <v>120000</v>
      </c>
      <c r="F83" s="932"/>
    </row>
    <row r="84" spans="1:6" x14ac:dyDescent="0.2">
      <c r="A84" s="927" t="s">
        <v>709</v>
      </c>
      <c r="B84" s="924">
        <v>10000</v>
      </c>
      <c r="C84" s="909" t="s">
        <v>671</v>
      </c>
      <c r="D84" s="916"/>
      <c r="E84" s="925">
        <v>10000</v>
      </c>
      <c r="F84" s="926"/>
    </row>
    <row r="85" spans="1:6" s="511" customFormat="1" x14ac:dyDescent="0.2">
      <c r="A85" s="933" t="s">
        <v>710</v>
      </c>
      <c r="B85" s="934">
        <f>850000-400000</f>
        <v>450000</v>
      </c>
      <c r="C85" s="798" t="s">
        <v>671</v>
      </c>
      <c r="D85" s="800"/>
      <c r="E85" s="935">
        <v>450000</v>
      </c>
      <c r="F85" s="645"/>
    </row>
    <row r="86" spans="1:6" s="511" customFormat="1" x14ac:dyDescent="0.2">
      <c r="A86" s="933" t="s">
        <v>711</v>
      </c>
      <c r="B86" s="934">
        <f>1016000+83820</f>
        <v>1099820</v>
      </c>
      <c r="C86" s="798" t="s">
        <v>671</v>
      </c>
      <c r="D86" s="800"/>
      <c r="E86" s="935">
        <v>1099820</v>
      </c>
      <c r="F86" s="645">
        <f t="shared" ref="F86:F93" si="2">B86-D86-E86</f>
        <v>0</v>
      </c>
    </row>
    <row r="87" spans="1:6" ht="15" x14ac:dyDescent="0.2">
      <c r="A87" s="936" t="s">
        <v>712</v>
      </c>
      <c r="B87" s="914">
        <v>2500000</v>
      </c>
      <c r="C87" s="909" t="s">
        <v>671</v>
      </c>
      <c r="D87" s="916"/>
      <c r="E87" s="916">
        <v>2500000</v>
      </c>
      <c r="F87" s="926"/>
    </row>
    <row r="88" spans="1:6" s="511" customFormat="1" ht="15" x14ac:dyDescent="0.2">
      <c r="A88" s="937" t="s">
        <v>753</v>
      </c>
      <c r="B88" s="901">
        <v>179000</v>
      </c>
      <c r="C88" s="902" t="s">
        <v>671</v>
      </c>
      <c r="D88" s="903"/>
      <c r="E88" s="903">
        <v>179000</v>
      </c>
      <c r="F88" s="938"/>
    </row>
    <row r="89" spans="1:6" x14ac:dyDescent="0.2">
      <c r="A89" s="939" t="s">
        <v>568</v>
      </c>
      <c r="B89" s="914"/>
      <c r="C89" s="909"/>
      <c r="D89" s="916"/>
      <c r="E89" s="916"/>
      <c r="F89" s="926">
        <f t="shared" si="2"/>
        <v>0</v>
      </c>
    </row>
    <row r="90" spans="1:6" s="510" customFormat="1" x14ac:dyDescent="0.2">
      <c r="A90" s="940" t="s">
        <v>713</v>
      </c>
      <c r="B90" s="901">
        <v>30206</v>
      </c>
      <c r="C90" s="902" t="s">
        <v>671</v>
      </c>
      <c r="D90" s="903"/>
      <c r="E90" s="903">
        <v>30206</v>
      </c>
      <c r="F90" s="879"/>
    </row>
    <row r="91" spans="1:6" s="510" customFormat="1" x14ac:dyDescent="0.2">
      <c r="A91" s="940" t="s">
        <v>745</v>
      </c>
      <c r="B91" s="901">
        <v>24404</v>
      </c>
      <c r="C91" s="902" t="s">
        <v>671</v>
      </c>
      <c r="D91" s="903"/>
      <c r="E91" s="903">
        <v>24404</v>
      </c>
      <c r="F91" s="879"/>
    </row>
    <row r="92" spans="1:6" x14ac:dyDescent="0.2">
      <c r="A92" s="940" t="s">
        <v>714</v>
      </c>
      <c r="B92" s="901">
        <v>76200</v>
      </c>
      <c r="C92" s="902" t="s">
        <v>671</v>
      </c>
      <c r="D92" s="903"/>
      <c r="E92" s="903">
        <v>76200</v>
      </c>
      <c r="F92" s="879"/>
    </row>
    <row r="93" spans="1:6" x14ac:dyDescent="0.2">
      <c r="A93" s="918" t="s">
        <v>715</v>
      </c>
      <c r="B93" s="901">
        <v>1500000</v>
      </c>
      <c r="C93" s="902" t="s">
        <v>671</v>
      </c>
      <c r="D93" s="903"/>
      <c r="E93" s="903">
        <v>1500000</v>
      </c>
      <c r="F93" s="882">
        <f t="shared" si="2"/>
        <v>0</v>
      </c>
    </row>
    <row r="94" spans="1:6" s="511" customFormat="1" x14ac:dyDescent="0.2">
      <c r="A94" s="941" t="s">
        <v>754</v>
      </c>
      <c r="B94" s="901">
        <v>134200</v>
      </c>
      <c r="C94" s="902" t="s">
        <v>671</v>
      </c>
      <c r="D94" s="903"/>
      <c r="E94" s="903">
        <v>134200</v>
      </c>
      <c r="F94" s="891"/>
    </row>
    <row r="95" spans="1:6" s="511" customFormat="1" x14ac:dyDescent="0.2">
      <c r="A95" s="918" t="s">
        <v>755</v>
      </c>
      <c r="B95" s="901">
        <v>305000</v>
      </c>
      <c r="C95" s="902" t="s">
        <v>671</v>
      </c>
      <c r="D95" s="903"/>
      <c r="E95" s="903">
        <v>305000</v>
      </c>
      <c r="F95" s="891"/>
    </row>
    <row r="96" spans="1:6" s="511" customFormat="1" ht="13.5" thickBot="1" x14ac:dyDescent="0.25">
      <c r="A96" s="942" t="s">
        <v>769</v>
      </c>
      <c r="B96" s="943">
        <v>345000</v>
      </c>
      <c r="C96" s="944" t="s">
        <v>671</v>
      </c>
      <c r="D96" s="945"/>
      <c r="E96" s="945">
        <v>345000</v>
      </c>
      <c r="F96" s="946"/>
    </row>
    <row r="97" spans="1:6" ht="13.5" thickBot="1" x14ac:dyDescent="0.25">
      <c r="A97" s="947" t="s">
        <v>69</v>
      </c>
      <c r="B97" s="784">
        <f>SUM(B5:B96)</f>
        <v>353488033</v>
      </c>
      <c r="C97" s="948"/>
      <c r="D97" s="949">
        <f>SUM(D5:D96)</f>
        <v>4527778</v>
      </c>
      <c r="E97" s="784">
        <f>SUM(E5:E96)</f>
        <v>348960255</v>
      </c>
      <c r="F97" s="949">
        <f t="shared" ref="F97" si="3">SUM(F5:F95)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1" orientation="portrait" verticalDpi="300" r:id="rId1"/>
  <headerFooter alignWithMargins="0">
    <oddHeader>&amp;R&amp;"Times New Roman CE,Félkövér dőlt"&amp;11 7. melléklet a 17/2018.(VII.27.)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4"/>
  <sheetViews>
    <sheetView view="pageLayout" topLeftCell="A7" zoomScaleNormal="100" workbookViewId="0">
      <selection activeCell="J3" sqref="J3"/>
    </sheetView>
  </sheetViews>
  <sheetFormatPr defaultRowHeight="12.75" x14ac:dyDescent="0.2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4.75" customHeight="1" x14ac:dyDescent="0.2">
      <c r="A1" s="1014" t="s">
        <v>12</v>
      </c>
      <c r="B1" s="1014"/>
      <c r="C1" s="1014"/>
      <c r="D1" s="1014"/>
      <c r="E1" s="1014"/>
      <c r="F1" s="1014"/>
    </row>
    <row r="2" spans="1:7" ht="23.25" customHeight="1" thickBot="1" x14ac:dyDescent="0.3">
      <c r="A2" s="85"/>
      <c r="B2" s="43"/>
      <c r="C2" s="43"/>
      <c r="D2" s="43"/>
      <c r="E2" s="43"/>
      <c r="F2" s="41" t="s">
        <v>601</v>
      </c>
    </row>
    <row r="3" spans="1:7" s="38" customFormat="1" ht="48.75" customHeight="1" thickBot="1" x14ac:dyDescent="0.25">
      <c r="A3" s="86" t="s">
        <v>73</v>
      </c>
      <c r="B3" s="87" t="s">
        <v>71</v>
      </c>
      <c r="C3" s="87" t="s">
        <v>72</v>
      </c>
      <c r="D3" s="87" t="s">
        <v>624</v>
      </c>
      <c r="E3" s="87" t="s">
        <v>622</v>
      </c>
      <c r="F3" s="42" t="s">
        <v>626</v>
      </c>
      <c r="G3" s="338"/>
    </row>
    <row r="4" spans="1:7" s="43" customFormat="1" ht="15" customHeight="1" thickBot="1" x14ac:dyDescent="0.25">
      <c r="A4" s="357">
        <v>1</v>
      </c>
      <c r="B4" s="358">
        <v>2</v>
      </c>
      <c r="C4" s="358">
        <v>3</v>
      </c>
      <c r="D4" s="358">
        <v>4</v>
      </c>
      <c r="E4" s="358">
        <v>5</v>
      </c>
      <c r="F4" s="359">
        <v>6</v>
      </c>
    </row>
    <row r="5" spans="1:7" ht="15.95" customHeight="1" x14ac:dyDescent="0.2">
      <c r="A5" s="802" t="s">
        <v>644</v>
      </c>
      <c r="B5" s="822">
        <f>146398020+1216660+37902555</f>
        <v>185517235</v>
      </c>
      <c r="C5" s="513" t="s">
        <v>717</v>
      </c>
      <c r="D5" s="512">
        <v>1216660</v>
      </c>
      <c r="E5" s="512">
        <f>146398020+37902555</f>
        <v>184300575</v>
      </c>
      <c r="F5" s="480">
        <f t="shared" ref="F5:F33" si="0">B5-D5-E5</f>
        <v>0</v>
      </c>
    </row>
    <row r="6" spans="1:7" ht="15.95" customHeight="1" x14ac:dyDescent="0.2">
      <c r="A6" s="803" t="s">
        <v>645</v>
      </c>
      <c r="B6" s="804">
        <v>3201452</v>
      </c>
      <c r="C6" s="275" t="s">
        <v>671</v>
      </c>
      <c r="D6" s="272"/>
      <c r="E6" s="272">
        <v>3201452</v>
      </c>
      <c r="F6" s="481">
        <f t="shared" si="0"/>
        <v>0</v>
      </c>
    </row>
    <row r="7" spans="1:7" ht="15.95" customHeight="1" x14ac:dyDescent="0.2">
      <c r="A7" s="803" t="s">
        <v>651</v>
      </c>
      <c r="B7" s="804">
        <v>5819140</v>
      </c>
      <c r="C7" s="275" t="s">
        <v>671</v>
      </c>
      <c r="D7" s="272"/>
      <c r="E7" s="272">
        <v>5819140</v>
      </c>
      <c r="F7" s="481">
        <f t="shared" si="0"/>
        <v>0</v>
      </c>
    </row>
    <row r="8" spans="1:7" ht="15.95" customHeight="1" x14ac:dyDescent="0.2">
      <c r="A8" s="803" t="s">
        <v>646</v>
      </c>
      <c r="B8" s="804">
        <v>127000</v>
      </c>
      <c r="C8" s="275" t="s">
        <v>671</v>
      </c>
      <c r="D8" s="272"/>
      <c r="E8" s="303">
        <v>127000</v>
      </c>
      <c r="F8" s="481">
        <f t="shared" si="0"/>
        <v>0</v>
      </c>
    </row>
    <row r="9" spans="1:7" ht="15.95" customHeight="1" x14ac:dyDescent="0.2">
      <c r="A9" s="803" t="s">
        <v>647</v>
      </c>
      <c r="B9" s="804">
        <v>5080000</v>
      </c>
      <c r="C9" s="275" t="s">
        <v>671</v>
      </c>
      <c r="D9" s="272"/>
      <c r="E9" s="272">
        <v>5080000</v>
      </c>
      <c r="F9" s="481">
        <f t="shared" si="0"/>
        <v>0</v>
      </c>
    </row>
    <row r="10" spans="1:7" ht="15.95" customHeight="1" x14ac:dyDescent="0.2">
      <c r="A10" s="803" t="s">
        <v>648</v>
      </c>
      <c r="B10" s="804">
        <v>3725750</v>
      </c>
      <c r="C10" s="275" t="s">
        <v>671</v>
      </c>
      <c r="D10" s="272"/>
      <c r="E10" s="272">
        <v>3725750</v>
      </c>
      <c r="F10" s="481">
        <f t="shared" si="0"/>
        <v>0</v>
      </c>
    </row>
    <row r="11" spans="1:7" ht="15.95" customHeight="1" x14ac:dyDescent="0.2">
      <c r="A11" s="964" t="s">
        <v>649</v>
      </c>
      <c r="B11" s="965">
        <f>6350000+9194292</f>
        <v>15544292</v>
      </c>
      <c r="C11" s="374" t="s">
        <v>671</v>
      </c>
      <c r="D11" s="303"/>
      <c r="E11" s="303">
        <f>6350000+9194292</f>
        <v>15544292</v>
      </c>
      <c r="F11" s="841">
        <f t="shared" si="0"/>
        <v>0</v>
      </c>
    </row>
    <row r="12" spans="1:7" ht="15.95" customHeight="1" x14ac:dyDescent="0.2">
      <c r="A12" s="803" t="s">
        <v>650</v>
      </c>
      <c r="B12" s="804">
        <v>10000000</v>
      </c>
      <c r="C12" s="275" t="s">
        <v>671</v>
      </c>
      <c r="D12" s="272"/>
      <c r="E12" s="272">
        <v>10000000</v>
      </c>
      <c r="F12" s="481">
        <f t="shared" si="0"/>
        <v>0</v>
      </c>
    </row>
    <row r="13" spans="1:7" s="479" customFormat="1" ht="15.95" customHeight="1" x14ac:dyDescent="0.2">
      <c r="A13" s="971" t="s">
        <v>771</v>
      </c>
      <c r="B13" s="972">
        <f>1500000+2678898+723303</f>
        <v>4902201</v>
      </c>
      <c r="C13" s="515" t="s">
        <v>671</v>
      </c>
      <c r="D13" s="514"/>
      <c r="E13" s="514">
        <f>1500000+3402201</f>
        <v>4902201</v>
      </c>
      <c r="F13" s="970">
        <f t="shared" si="0"/>
        <v>0</v>
      </c>
      <c r="G13" s="511"/>
    </row>
    <row r="14" spans="1:7" s="479" customFormat="1" ht="15.95" customHeight="1" x14ac:dyDescent="0.2">
      <c r="A14" s="803" t="s">
        <v>756</v>
      </c>
      <c r="B14" s="804">
        <v>48165993</v>
      </c>
      <c r="C14" s="275" t="s">
        <v>671</v>
      </c>
      <c r="D14" s="272"/>
      <c r="E14" s="272">
        <v>48165993</v>
      </c>
      <c r="F14" s="973">
        <f t="shared" si="0"/>
        <v>0</v>
      </c>
    </row>
    <row r="15" spans="1:7" s="479" customFormat="1" ht="15.95" customHeight="1" thickBot="1" x14ac:dyDescent="0.25">
      <c r="A15" s="974" t="s">
        <v>772</v>
      </c>
      <c r="B15" s="975">
        <v>479353</v>
      </c>
      <c r="C15" s="976" t="s">
        <v>671</v>
      </c>
      <c r="D15" s="977"/>
      <c r="E15" s="977">
        <v>479353</v>
      </c>
      <c r="F15" s="978"/>
    </row>
    <row r="16" spans="1:7" ht="15.95" customHeight="1" x14ac:dyDescent="0.2">
      <c r="A16" s="966" t="s">
        <v>716</v>
      </c>
      <c r="B16" s="967">
        <f>609600-354600</f>
        <v>255000</v>
      </c>
      <c r="C16" s="968" t="s">
        <v>671</v>
      </c>
      <c r="D16" s="967"/>
      <c r="E16" s="967">
        <f>609600-354600</f>
        <v>255000</v>
      </c>
      <c r="F16" s="969">
        <f t="shared" si="0"/>
        <v>0</v>
      </c>
    </row>
    <row r="17" spans="1:6" ht="15.95" hidden="1" customHeight="1" x14ac:dyDescent="0.2">
      <c r="A17" s="482"/>
      <c r="B17" s="334"/>
      <c r="C17" s="360"/>
      <c r="D17" s="334"/>
      <c r="E17" s="334"/>
      <c r="F17" s="481">
        <f t="shared" si="0"/>
        <v>0</v>
      </c>
    </row>
    <row r="18" spans="1:6" ht="15.95" hidden="1" customHeight="1" x14ac:dyDescent="0.2">
      <c r="A18" s="823"/>
      <c r="B18" s="272"/>
      <c r="C18" s="275"/>
      <c r="D18" s="272"/>
      <c r="E18" s="272"/>
      <c r="F18" s="481">
        <f t="shared" si="0"/>
        <v>0</v>
      </c>
    </row>
    <row r="19" spans="1:6" ht="15.95" hidden="1" customHeight="1" x14ac:dyDescent="0.2">
      <c r="A19" s="824"/>
      <c r="B19" s="272"/>
      <c r="C19" s="275"/>
      <c r="D19" s="272"/>
      <c r="E19" s="272"/>
      <c r="F19" s="481">
        <f t="shared" si="0"/>
        <v>0</v>
      </c>
    </row>
    <row r="20" spans="1:6" ht="15.95" hidden="1" customHeight="1" x14ac:dyDescent="0.2">
      <c r="A20" s="335"/>
      <c r="B20" s="272"/>
      <c r="C20" s="275"/>
      <c r="D20" s="272"/>
      <c r="E20" s="272"/>
      <c r="F20" s="481">
        <f t="shared" si="0"/>
        <v>0</v>
      </c>
    </row>
    <row r="21" spans="1:6" ht="15.95" hidden="1" customHeight="1" x14ac:dyDescent="0.2">
      <c r="A21" s="335"/>
      <c r="B21" s="272"/>
      <c r="C21" s="275"/>
      <c r="D21" s="272"/>
      <c r="E21" s="272"/>
      <c r="F21" s="481">
        <f t="shared" si="0"/>
        <v>0</v>
      </c>
    </row>
    <row r="22" spans="1:6" ht="15.95" hidden="1" customHeight="1" x14ac:dyDescent="0.2">
      <c r="A22" s="335"/>
      <c r="B22" s="272"/>
      <c r="C22" s="275"/>
      <c r="D22" s="272"/>
      <c r="E22" s="272"/>
      <c r="F22" s="481">
        <f t="shared" si="0"/>
        <v>0</v>
      </c>
    </row>
    <row r="23" spans="1:6" ht="15.95" hidden="1" customHeight="1" x14ac:dyDescent="0.2">
      <c r="A23" s="335"/>
      <c r="B23" s="272"/>
      <c r="C23" s="275"/>
      <c r="D23" s="272"/>
      <c r="E23" s="272"/>
      <c r="F23" s="481">
        <f t="shared" si="0"/>
        <v>0</v>
      </c>
    </row>
    <row r="24" spans="1:6" ht="15.95" hidden="1" customHeight="1" x14ac:dyDescent="0.2">
      <c r="A24" s="335"/>
      <c r="B24" s="272"/>
      <c r="C24" s="275"/>
      <c r="D24" s="272"/>
      <c r="E24" s="272"/>
      <c r="F24" s="481">
        <f t="shared" si="0"/>
        <v>0</v>
      </c>
    </row>
    <row r="25" spans="1:6" ht="15.95" hidden="1" customHeight="1" x14ac:dyDescent="0.2">
      <c r="A25" s="336"/>
      <c r="B25" s="274"/>
      <c r="C25" s="273"/>
      <c r="D25" s="274"/>
      <c r="E25" s="274"/>
      <c r="F25" s="481">
        <f t="shared" si="0"/>
        <v>0</v>
      </c>
    </row>
    <row r="26" spans="1:6" ht="15.95" hidden="1" customHeight="1" x14ac:dyDescent="0.2">
      <c r="A26" s="336"/>
      <c r="B26" s="274"/>
      <c r="C26" s="273"/>
      <c r="D26" s="274"/>
      <c r="E26" s="274"/>
      <c r="F26" s="481">
        <f t="shared" si="0"/>
        <v>0</v>
      </c>
    </row>
    <row r="27" spans="1:6" ht="15.95" hidden="1" customHeight="1" x14ac:dyDescent="0.2">
      <c r="A27" s="336"/>
      <c r="B27" s="274"/>
      <c r="C27" s="273"/>
      <c r="D27" s="274"/>
      <c r="E27" s="274"/>
      <c r="F27" s="481">
        <f t="shared" si="0"/>
        <v>0</v>
      </c>
    </row>
    <row r="28" spans="1:6" ht="15.95" hidden="1" customHeight="1" x14ac:dyDescent="0.2">
      <c r="A28" s="336"/>
      <c r="B28" s="274"/>
      <c r="C28" s="273"/>
      <c r="D28" s="274"/>
      <c r="E28" s="274"/>
      <c r="F28" s="481">
        <f t="shared" si="0"/>
        <v>0</v>
      </c>
    </row>
    <row r="29" spans="1:6" ht="15.95" hidden="1" customHeight="1" thickBot="1" x14ac:dyDescent="0.25">
      <c r="A29" s="336"/>
      <c r="B29" s="274"/>
      <c r="C29" s="273"/>
      <c r="D29" s="274"/>
      <c r="E29" s="274"/>
      <c r="F29" s="481">
        <f t="shared" si="0"/>
        <v>0</v>
      </c>
    </row>
    <row r="30" spans="1:6" ht="15.95" customHeight="1" x14ac:dyDescent="0.2">
      <c r="A30" s="483"/>
      <c r="B30" s="484"/>
      <c r="C30" s="360"/>
      <c r="D30" s="484"/>
      <c r="E30" s="484"/>
      <c r="F30" s="481">
        <f t="shared" si="0"/>
        <v>0</v>
      </c>
    </row>
    <row r="31" spans="1:6" ht="15.95" customHeight="1" x14ac:dyDescent="0.2">
      <c r="A31" s="516"/>
      <c r="B31" s="517"/>
      <c r="C31" s="518"/>
      <c r="D31" s="517"/>
      <c r="E31" s="517"/>
      <c r="F31" s="481">
        <f t="shared" si="0"/>
        <v>0</v>
      </c>
    </row>
    <row r="32" spans="1:6" ht="15.95" customHeight="1" x14ac:dyDescent="0.2">
      <c r="A32" s="608"/>
      <c r="B32" s="514"/>
      <c r="C32" s="515"/>
      <c r="D32" s="514"/>
      <c r="E32" s="514"/>
      <c r="F32" s="609">
        <f t="shared" si="0"/>
        <v>0</v>
      </c>
    </row>
    <row r="33" spans="1:6" ht="15.95" customHeight="1" thickBot="1" x14ac:dyDescent="0.25">
      <c r="A33" s="610"/>
      <c r="B33" s="611"/>
      <c r="C33" s="612"/>
      <c r="D33" s="611"/>
      <c r="E33" s="611"/>
      <c r="F33" s="613">
        <f t="shared" si="0"/>
        <v>0</v>
      </c>
    </row>
    <row r="34" spans="1:6" s="45" customFormat="1" ht="18" customHeight="1" thickBot="1" x14ac:dyDescent="0.25">
      <c r="A34" s="88" t="s">
        <v>69</v>
      </c>
      <c r="B34" s="89">
        <f>SUM(B5:B33)</f>
        <v>282817416</v>
      </c>
      <c r="C34" s="75"/>
      <c r="D34" s="89">
        <f>SUM(D5:D29)</f>
        <v>1216660</v>
      </c>
      <c r="E34" s="89">
        <f>SUM(E5:E33)</f>
        <v>281600756</v>
      </c>
      <c r="F34" s="46">
        <f>SUM(F5:F30)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 17/2018.(VII.27.) önkormányzati rendelethez&amp;"Times New Roman CE,Normál"&amp;10
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view="pageLayout" zoomScaleNormal="115" zoomScaleSheetLayoutView="85" workbookViewId="0">
      <selection activeCell="J3" sqref="J3"/>
    </sheetView>
  </sheetViews>
  <sheetFormatPr defaultRowHeight="12.75" x14ac:dyDescent="0.2"/>
  <cols>
    <col min="1" max="1" width="19.5" style="564" customWidth="1"/>
    <col min="2" max="2" width="72" style="565" customWidth="1"/>
    <col min="3" max="3" width="25" style="566" customWidth="1"/>
    <col min="4" max="4" width="16.6640625" style="555" hidden="1" customWidth="1"/>
    <col min="5" max="5" width="11.83203125" style="555" hidden="1" customWidth="1"/>
    <col min="6" max="6" width="11.83203125" style="554" hidden="1" customWidth="1"/>
    <col min="7" max="16384" width="9.33203125" style="2"/>
  </cols>
  <sheetData>
    <row r="1" spans="1:6" s="1" customFormat="1" ht="16.5" customHeight="1" thickBot="1" x14ac:dyDescent="0.25">
      <c r="A1" s="98"/>
      <c r="B1" s="100"/>
      <c r="C1" s="123"/>
      <c r="D1" s="555"/>
      <c r="E1" s="555"/>
      <c r="F1" s="554"/>
    </row>
    <row r="2" spans="1:6" s="54" customFormat="1" ht="21" customHeight="1" x14ac:dyDescent="0.2">
      <c r="A2" s="212" t="s">
        <v>67</v>
      </c>
      <c r="B2" s="186" t="s">
        <v>165</v>
      </c>
      <c r="C2" s="188" t="s">
        <v>58</v>
      </c>
      <c r="D2" s="557"/>
      <c r="E2" s="557"/>
      <c r="F2" s="556"/>
    </row>
    <row r="3" spans="1:6" s="54" customFormat="1" ht="16.5" thickBot="1" x14ac:dyDescent="0.25">
      <c r="A3" s="101" t="s">
        <v>161</v>
      </c>
      <c r="B3" s="187" t="s">
        <v>342</v>
      </c>
      <c r="C3" s="290" t="s">
        <v>58</v>
      </c>
      <c r="D3" s="557"/>
      <c r="E3" s="557"/>
      <c r="F3" s="556"/>
    </row>
    <row r="4" spans="1:6" s="55" customFormat="1" ht="15.95" customHeight="1" thickBot="1" x14ac:dyDescent="0.3">
      <c r="A4" s="102"/>
      <c r="B4" s="102"/>
      <c r="C4" s="103" t="s">
        <v>598</v>
      </c>
      <c r="D4" s="557"/>
      <c r="E4" s="557"/>
      <c r="F4" s="556"/>
    </row>
    <row r="5" spans="1:6" ht="13.5" thickBot="1" x14ac:dyDescent="0.25">
      <c r="A5" s="213" t="s">
        <v>163</v>
      </c>
      <c r="B5" s="104" t="s">
        <v>59</v>
      </c>
      <c r="C5" s="189" t="s">
        <v>60</v>
      </c>
    </row>
    <row r="6" spans="1:6" s="47" customFormat="1" ht="12.95" customHeight="1" thickBot="1" x14ac:dyDescent="0.25">
      <c r="A6" s="90" t="s">
        <v>471</v>
      </c>
      <c r="B6" s="91" t="s">
        <v>472</v>
      </c>
      <c r="C6" s="92" t="s">
        <v>473</v>
      </c>
      <c r="D6" s="555"/>
      <c r="E6" s="555"/>
      <c r="F6" s="558"/>
    </row>
    <row r="7" spans="1:6" s="47" customFormat="1" ht="15.95" customHeight="1" thickBot="1" x14ac:dyDescent="0.25">
      <c r="A7" s="106"/>
      <c r="B7" s="107" t="s">
        <v>61</v>
      </c>
      <c r="C7" s="190"/>
      <c r="D7" s="555"/>
      <c r="E7" s="555"/>
      <c r="F7" s="558"/>
    </row>
    <row r="8" spans="1:6" s="47" customFormat="1" ht="12" customHeight="1" thickBot="1" x14ac:dyDescent="0.25">
      <c r="A8" s="31" t="s">
        <v>23</v>
      </c>
      <c r="B8" s="20" t="s">
        <v>189</v>
      </c>
      <c r="C8" s="137">
        <f>+C9+C10+C11+C12+C13+C14</f>
        <v>1329580680</v>
      </c>
      <c r="D8" s="559">
        <f>'9.1.1. sz. mell. '!C8+'9.1.2. sz. mell.'!C8</f>
        <v>1329580680</v>
      </c>
      <c r="E8" s="559">
        <f t="shared" ref="E8:E71" si="0">C8-D8</f>
        <v>0</v>
      </c>
      <c r="F8" s="558">
        <f>C8-D8</f>
        <v>0</v>
      </c>
    </row>
    <row r="9" spans="1:6" s="56" customFormat="1" ht="12" customHeight="1" thickBot="1" x14ac:dyDescent="0.25">
      <c r="A9" s="236" t="s">
        <v>99</v>
      </c>
      <c r="B9" s="222" t="s">
        <v>190</v>
      </c>
      <c r="C9" s="260">
        <v>227855923</v>
      </c>
      <c r="D9" s="559">
        <f>'9.1.1. sz. mell. '!C9+'9.1.2. sz. mell.'!C9</f>
        <v>227855923</v>
      </c>
      <c r="E9" s="560">
        <f t="shared" si="0"/>
        <v>0</v>
      </c>
      <c r="F9" s="558">
        <f t="shared" ref="F9:F72" si="1">C9-D9</f>
        <v>0</v>
      </c>
    </row>
    <row r="10" spans="1:6" s="57" customFormat="1" ht="12" customHeight="1" thickBot="1" x14ac:dyDescent="0.25">
      <c r="A10" s="237" t="s">
        <v>100</v>
      </c>
      <c r="B10" s="223" t="s">
        <v>191</v>
      </c>
      <c r="C10" s="779">
        <f>224734134+735168</f>
        <v>225469302</v>
      </c>
      <c r="D10" s="559">
        <f>'9.1.1. sz. mell. '!C10+'9.1.2. sz. mell.'!C10</f>
        <v>225469302</v>
      </c>
      <c r="E10" s="561">
        <f t="shared" si="0"/>
        <v>0</v>
      </c>
      <c r="F10" s="558">
        <f t="shared" si="1"/>
        <v>0</v>
      </c>
    </row>
    <row r="11" spans="1:6" s="57" customFormat="1" ht="12" customHeight="1" thickBot="1" x14ac:dyDescent="0.25">
      <c r="A11" s="237" t="s">
        <v>101</v>
      </c>
      <c r="B11" s="223" t="s">
        <v>192</v>
      </c>
      <c r="C11" s="779">
        <f>126991000+65060600+119410000+192410145+62092600+63796813+7543000</f>
        <v>637304158</v>
      </c>
      <c r="D11" s="559">
        <f>'9.1.1. sz. mell. '!C11+'9.1.2. sz. mell.'!C11</f>
        <v>637304158</v>
      </c>
      <c r="E11" s="561">
        <f t="shared" si="0"/>
        <v>0</v>
      </c>
      <c r="F11" s="558">
        <f t="shared" si="1"/>
        <v>0</v>
      </c>
    </row>
    <row r="12" spans="1:6" s="57" customFormat="1" ht="12" customHeight="1" thickBot="1" x14ac:dyDescent="0.25">
      <c r="A12" s="237" t="s">
        <v>102</v>
      </c>
      <c r="B12" s="223" t="s">
        <v>193</v>
      </c>
      <c r="C12" s="779">
        <f>16122040+12622000+1398336+4545780</f>
        <v>34688156</v>
      </c>
      <c r="D12" s="559">
        <f>'9.1.1. sz. mell. '!C12+'9.1.2. sz. mell.'!C12</f>
        <v>34688156</v>
      </c>
      <c r="E12" s="561">
        <f t="shared" si="0"/>
        <v>0</v>
      </c>
      <c r="F12" s="558">
        <f t="shared" si="1"/>
        <v>0</v>
      </c>
    </row>
    <row r="13" spans="1:6" s="57" customFormat="1" ht="12" customHeight="1" thickBot="1" x14ac:dyDescent="0.25">
      <c r="A13" s="237" t="s">
        <v>125</v>
      </c>
      <c r="B13" s="223" t="s">
        <v>535</v>
      </c>
      <c r="C13" s="779">
        <f>16254886+63796813+190231327+1309600+1013108-68342593</f>
        <v>204263141</v>
      </c>
      <c r="D13" s="559">
        <f>'9.1.1. sz. mell. '!C13+'9.1.2. sz. mell.'!C13</f>
        <v>204263141</v>
      </c>
      <c r="E13" s="561">
        <f t="shared" si="0"/>
        <v>0</v>
      </c>
      <c r="F13" s="558">
        <f t="shared" si="1"/>
        <v>0</v>
      </c>
    </row>
    <row r="14" spans="1:6" s="56" customFormat="1" ht="12" customHeight="1" thickBot="1" x14ac:dyDescent="0.25">
      <c r="A14" s="238" t="s">
        <v>103</v>
      </c>
      <c r="B14" s="224" t="s">
        <v>475</v>
      </c>
      <c r="C14" s="141"/>
      <c r="D14" s="559">
        <f>'9.1.1. sz. mell. '!C14+'9.1.2. sz. mell.'!C14</f>
        <v>0</v>
      </c>
      <c r="E14" s="562">
        <f t="shared" si="0"/>
        <v>0</v>
      </c>
      <c r="F14" s="558">
        <f t="shared" si="1"/>
        <v>0</v>
      </c>
    </row>
    <row r="15" spans="1:6" s="56" customFormat="1" ht="12" customHeight="1" thickBot="1" x14ac:dyDescent="0.25">
      <c r="A15" s="31" t="s">
        <v>24</v>
      </c>
      <c r="B15" s="132" t="s">
        <v>194</v>
      </c>
      <c r="C15" s="137">
        <f>+C16+C17+C18+C19+C20</f>
        <v>257249294</v>
      </c>
      <c r="D15" s="559">
        <f>'9.1.1. sz. mell. '!C15+'9.1.2. sz. mell.'!C15</f>
        <v>257249294</v>
      </c>
      <c r="E15" s="559">
        <f t="shared" si="0"/>
        <v>0</v>
      </c>
      <c r="F15" s="558">
        <f t="shared" si="1"/>
        <v>0</v>
      </c>
    </row>
    <row r="16" spans="1:6" s="56" customFormat="1" ht="12" customHeight="1" thickBot="1" x14ac:dyDescent="0.25">
      <c r="A16" s="236" t="s">
        <v>105</v>
      </c>
      <c r="B16" s="222" t="s">
        <v>195</v>
      </c>
      <c r="C16" s="139"/>
      <c r="D16" s="559">
        <f>'9.1.1. sz. mell. '!C16+'9.1.2. sz. mell.'!C16</f>
        <v>0</v>
      </c>
      <c r="E16" s="560">
        <f t="shared" si="0"/>
        <v>0</v>
      </c>
      <c r="F16" s="558">
        <f t="shared" si="1"/>
        <v>0</v>
      </c>
    </row>
    <row r="17" spans="1:6" s="56" customFormat="1" ht="12" customHeight="1" thickBot="1" x14ac:dyDescent="0.25">
      <c r="A17" s="237" t="s">
        <v>106</v>
      </c>
      <c r="B17" s="223" t="s">
        <v>196</v>
      </c>
      <c r="C17" s="138"/>
      <c r="D17" s="559">
        <f>'9.1.1. sz. mell. '!C17+'9.1.2. sz. mell.'!C17</f>
        <v>0</v>
      </c>
      <c r="E17" s="561">
        <f t="shared" si="0"/>
        <v>0</v>
      </c>
      <c r="F17" s="558">
        <f t="shared" si="1"/>
        <v>0</v>
      </c>
    </row>
    <row r="18" spans="1:6" s="56" customFormat="1" ht="12" customHeight="1" thickBot="1" x14ac:dyDescent="0.25">
      <c r="A18" s="237" t="s">
        <v>107</v>
      </c>
      <c r="B18" s="223" t="s">
        <v>365</v>
      </c>
      <c r="C18" s="141"/>
      <c r="D18" s="559">
        <f>'9.1.1. sz. mell. '!C18+'9.1.2. sz. mell.'!C18</f>
        <v>0</v>
      </c>
      <c r="E18" s="561">
        <f t="shared" si="0"/>
        <v>0</v>
      </c>
      <c r="F18" s="558">
        <f t="shared" si="1"/>
        <v>0</v>
      </c>
    </row>
    <row r="19" spans="1:6" s="56" customFormat="1" ht="12" customHeight="1" thickBot="1" x14ac:dyDescent="0.25">
      <c r="A19" s="237" t="s">
        <v>108</v>
      </c>
      <c r="B19" s="223" t="s">
        <v>366</v>
      </c>
      <c r="C19" s="141"/>
      <c r="D19" s="559">
        <f>'9.1.1. sz. mell. '!C19+'9.1.2. sz. mell.'!C19</f>
        <v>0</v>
      </c>
      <c r="E19" s="561">
        <f t="shared" si="0"/>
        <v>0</v>
      </c>
      <c r="F19" s="558">
        <f t="shared" si="1"/>
        <v>0</v>
      </c>
    </row>
    <row r="20" spans="1:6" s="56" customFormat="1" ht="12" customHeight="1" thickBot="1" x14ac:dyDescent="0.25">
      <c r="A20" s="237" t="s">
        <v>109</v>
      </c>
      <c r="B20" s="223" t="s">
        <v>197</v>
      </c>
      <c r="C20" s="786">
        <f>3900000+4320000+125887110+24250000+85531256+1978928+11382000</f>
        <v>257249294</v>
      </c>
      <c r="D20" s="559">
        <f>'9.1.1. sz. mell. '!C20+'9.1.2. sz. mell.'!C20</f>
        <v>257249294</v>
      </c>
      <c r="E20" s="561">
        <f t="shared" si="0"/>
        <v>0</v>
      </c>
      <c r="F20" s="558">
        <f t="shared" si="1"/>
        <v>0</v>
      </c>
    </row>
    <row r="21" spans="1:6" s="57" customFormat="1" ht="12" customHeight="1" thickBot="1" x14ac:dyDescent="0.25">
      <c r="A21" s="238" t="s">
        <v>118</v>
      </c>
      <c r="B21" s="224" t="s">
        <v>198</v>
      </c>
      <c r="C21" s="211">
        <v>85531256</v>
      </c>
      <c r="D21" s="559">
        <f>'9.1.1. sz. mell. '!C21+'9.1.2. sz. mell.'!C21</f>
        <v>85531256</v>
      </c>
      <c r="E21" s="562">
        <f t="shared" si="0"/>
        <v>0</v>
      </c>
      <c r="F21" s="558">
        <f t="shared" si="1"/>
        <v>0</v>
      </c>
    </row>
    <row r="22" spans="1:6" s="57" customFormat="1" ht="12" customHeight="1" thickBot="1" x14ac:dyDescent="0.25">
      <c r="A22" s="31" t="s">
        <v>25</v>
      </c>
      <c r="B22" s="20" t="s">
        <v>199</v>
      </c>
      <c r="C22" s="137">
        <f>+C23+C24+C25+C26+C27</f>
        <v>68947847</v>
      </c>
      <c r="D22" s="559">
        <f>'9.1.1. sz. mell. '!C22+'9.1.2. sz. mell.'!C22</f>
        <v>68947847</v>
      </c>
      <c r="E22" s="559">
        <f t="shared" si="0"/>
        <v>0</v>
      </c>
      <c r="F22" s="558">
        <f t="shared" si="1"/>
        <v>0</v>
      </c>
    </row>
    <row r="23" spans="1:6" s="57" customFormat="1" ht="12" customHeight="1" thickBot="1" x14ac:dyDescent="0.25">
      <c r="A23" s="236" t="s">
        <v>88</v>
      </c>
      <c r="B23" s="222" t="s">
        <v>200</v>
      </c>
      <c r="C23" s="260"/>
      <c r="D23" s="559">
        <f>'9.1.1. sz. mell. '!C23+'9.1.2. sz. mell.'!C23</f>
        <v>0</v>
      </c>
      <c r="E23" s="560">
        <f t="shared" si="0"/>
        <v>0</v>
      </c>
      <c r="F23" s="558">
        <f t="shared" si="1"/>
        <v>0</v>
      </c>
    </row>
    <row r="24" spans="1:6" s="56" customFormat="1" ht="12" customHeight="1" thickBot="1" x14ac:dyDescent="0.25">
      <c r="A24" s="237" t="s">
        <v>89</v>
      </c>
      <c r="B24" s="223" t="s">
        <v>201</v>
      </c>
      <c r="C24" s="141"/>
      <c r="D24" s="559">
        <f>'9.1.1. sz. mell. '!C24+'9.1.2. sz. mell.'!C24</f>
        <v>0</v>
      </c>
      <c r="E24" s="561">
        <f t="shared" si="0"/>
        <v>0</v>
      </c>
      <c r="F24" s="558">
        <f t="shared" si="1"/>
        <v>0</v>
      </c>
    </row>
    <row r="25" spans="1:6" s="57" customFormat="1" ht="12" customHeight="1" thickBot="1" x14ac:dyDescent="0.25">
      <c r="A25" s="237" t="s">
        <v>90</v>
      </c>
      <c r="B25" s="223" t="s">
        <v>367</v>
      </c>
      <c r="C25" s="141"/>
      <c r="D25" s="559">
        <f>'9.1.1. sz. mell. '!C25+'9.1.2. sz. mell.'!C25</f>
        <v>0</v>
      </c>
      <c r="E25" s="561">
        <f t="shared" si="0"/>
        <v>0</v>
      </c>
      <c r="F25" s="558">
        <f t="shared" si="1"/>
        <v>0</v>
      </c>
    </row>
    <row r="26" spans="1:6" s="57" customFormat="1" ht="12" customHeight="1" thickBot="1" x14ac:dyDescent="0.25">
      <c r="A26" s="237" t="s">
        <v>91</v>
      </c>
      <c r="B26" s="223" t="s">
        <v>368</v>
      </c>
      <c r="C26" s="141"/>
      <c r="D26" s="559">
        <f>'9.1.1. sz. mell. '!C26+'9.1.2. sz. mell.'!C26</f>
        <v>0</v>
      </c>
      <c r="E26" s="561">
        <f t="shared" si="0"/>
        <v>0</v>
      </c>
      <c r="F26" s="558">
        <f t="shared" si="1"/>
        <v>0</v>
      </c>
    </row>
    <row r="27" spans="1:6" s="57" customFormat="1" ht="12" customHeight="1" thickBot="1" x14ac:dyDescent="0.25">
      <c r="A27" s="237" t="s">
        <v>136</v>
      </c>
      <c r="B27" s="223" t="s">
        <v>202</v>
      </c>
      <c r="C27" s="296">
        <f>5866130+3779393+3796748+55505576</f>
        <v>68947847</v>
      </c>
      <c r="D27" s="559">
        <f>'9.1.1. sz. mell. '!C27+'9.1.2. sz. mell.'!C27</f>
        <v>68947847</v>
      </c>
      <c r="E27" s="561">
        <f t="shared" si="0"/>
        <v>0</v>
      </c>
      <c r="F27" s="558">
        <f t="shared" si="1"/>
        <v>0</v>
      </c>
    </row>
    <row r="28" spans="1:6" s="57" customFormat="1" ht="12" customHeight="1" thickBot="1" x14ac:dyDescent="0.25">
      <c r="A28" s="238" t="s">
        <v>137</v>
      </c>
      <c r="B28" s="224" t="s">
        <v>203</v>
      </c>
      <c r="C28" s="211">
        <f>13442271+55505576</f>
        <v>68947847</v>
      </c>
      <c r="D28" s="559">
        <f>'9.1.1. sz. mell. '!C28+'9.1.2. sz. mell.'!C28</f>
        <v>68947847</v>
      </c>
      <c r="E28" s="562">
        <f t="shared" si="0"/>
        <v>0</v>
      </c>
      <c r="F28" s="558">
        <f t="shared" si="1"/>
        <v>0</v>
      </c>
    </row>
    <row r="29" spans="1:6" s="57" customFormat="1" ht="12" customHeight="1" thickBot="1" x14ac:dyDescent="0.25">
      <c r="A29" s="31" t="s">
        <v>138</v>
      </c>
      <c r="B29" s="20" t="s">
        <v>204</v>
      </c>
      <c r="C29" s="142">
        <f>+C30+C34+C35+C36</f>
        <v>352658000</v>
      </c>
      <c r="D29" s="559">
        <f>'9.1.1. sz. mell. '!C29+'9.1.2. sz. mell.'!C29</f>
        <v>352658000</v>
      </c>
      <c r="E29" s="559">
        <f t="shared" si="0"/>
        <v>0</v>
      </c>
      <c r="F29" s="558">
        <f t="shared" si="1"/>
        <v>0</v>
      </c>
    </row>
    <row r="30" spans="1:6" s="57" customFormat="1" ht="12" customHeight="1" thickBot="1" x14ac:dyDescent="0.25">
      <c r="A30" s="236" t="s">
        <v>205</v>
      </c>
      <c r="B30" s="222" t="s">
        <v>536</v>
      </c>
      <c r="C30" s="217">
        <f>SUM(C31:C33)</f>
        <v>308654000</v>
      </c>
      <c r="D30" s="559">
        <f>'9.1.1. sz. mell. '!C30+'9.1.2. sz. mell.'!C30</f>
        <v>308654000</v>
      </c>
      <c r="E30" s="560">
        <f t="shared" si="0"/>
        <v>0</v>
      </c>
      <c r="F30" s="558">
        <f t="shared" si="1"/>
        <v>0</v>
      </c>
    </row>
    <row r="31" spans="1:6" s="57" customFormat="1" ht="12" customHeight="1" thickBot="1" x14ac:dyDescent="0.25">
      <c r="A31" s="237" t="s">
        <v>206</v>
      </c>
      <c r="B31" s="223" t="s">
        <v>211</v>
      </c>
      <c r="C31" s="125">
        <f>7500000+70000000</f>
        <v>77500000</v>
      </c>
      <c r="D31" s="559">
        <f>'9.1.1. sz. mell. '!C31+'9.1.2. sz. mell.'!C31</f>
        <v>77500000</v>
      </c>
      <c r="E31" s="561">
        <f t="shared" si="0"/>
        <v>0</v>
      </c>
      <c r="F31" s="558">
        <f t="shared" si="1"/>
        <v>0</v>
      </c>
    </row>
    <row r="32" spans="1:6" s="57" customFormat="1" ht="12" customHeight="1" thickBot="1" x14ac:dyDescent="0.25">
      <c r="A32" s="237" t="s">
        <v>207</v>
      </c>
      <c r="B32" s="223" t="s">
        <v>578</v>
      </c>
      <c r="C32" s="125">
        <v>231154000</v>
      </c>
      <c r="D32" s="559">
        <f>'9.1.1. sz. mell. '!C32+'9.1.2. sz. mell.'!C32</f>
        <v>231154000</v>
      </c>
      <c r="E32" s="561">
        <f t="shared" si="0"/>
        <v>0</v>
      </c>
      <c r="F32" s="558">
        <f t="shared" si="1"/>
        <v>0</v>
      </c>
    </row>
    <row r="33" spans="1:6" s="57" customFormat="1" ht="12" customHeight="1" thickBot="1" x14ac:dyDescent="0.25">
      <c r="A33" s="237" t="s">
        <v>477</v>
      </c>
      <c r="B33" s="223" t="s">
        <v>575</v>
      </c>
      <c r="C33" s="296"/>
      <c r="D33" s="559">
        <f>'9.1.1. sz. mell. '!C33+'9.1.2. sz. mell.'!C33</f>
        <v>0</v>
      </c>
      <c r="E33" s="561">
        <f t="shared" si="0"/>
        <v>0</v>
      </c>
      <c r="F33" s="558">
        <f t="shared" si="1"/>
        <v>0</v>
      </c>
    </row>
    <row r="34" spans="1:6" s="57" customFormat="1" ht="12" customHeight="1" thickBot="1" x14ac:dyDescent="0.25">
      <c r="A34" s="237" t="s">
        <v>208</v>
      </c>
      <c r="B34" s="223" t="s">
        <v>213</v>
      </c>
      <c r="C34" s="125">
        <v>28000000</v>
      </c>
      <c r="D34" s="559">
        <f>'9.1.1. sz. mell. '!C34+'9.1.2. sz. mell.'!C34</f>
        <v>28000000</v>
      </c>
      <c r="E34" s="561">
        <f t="shared" si="0"/>
        <v>0</v>
      </c>
      <c r="F34" s="558">
        <f t="shared" si="1"/>
        <v>0</v>
      </c>
    </row>
    <row r="35" spans="1:6" s="57" customFormat="1" ht="12" customHeight="1" thickBot="1" x14ac:dyDescent="0.25">
      <c r="A35" s="237" t="s">
        <v>209</v>
      </c>
      <c r="B35" s="223" t="s">
        <v>214</v>
      </c>
      <c r="C35" s="296">
        <f>4000+4500000-4500000</f>
        <v>4000</v>
      </c>
      <c r="D35" s="559">
        <f>'9.1.1. sz. mell. '!C35+'9.1.2. sz. mell.'!C35</f>
        <v>4000</v>
      </c>
      <c r="E35" s="561">
        <f t="shared" si="0"/>
        <v>0</v>
      </c>
      <c r="F35" s="558">
        <f t="shared" si="1"/>
        <v>0</v>
      </c>
    </row>
    <row r="36" spans="1:6" s="57" customFormat="1" ht="12" customHeight="1" thickBot="1" x14ac:dyDescent="0.25">
      <c r="A36" s="238" t="s">
        <v>210</v>
      </c>
      <c r="B36" s="224" t="s">
        <v>215</v>
      </c>
      <c r="C36" s="300">
        <f>1500000+2000000+1000000+7000000+4500000</f>
        <v>16000000</v>
      </c>
      <c r="D36" s="559">
        <f>'9.1.1. sz. mell. '!C36+'9.1.2. sz. mell.'!C36</f>
        <v>16000000</v>
      </c>
      <c r="E36" s="562">
        <f t="shared" si="0"/>
        <v>0</v>
      </c>
      <c r="F36" s="558">
        <f t="shared" si="1"/>
        <v>0</v>
      </c>
    </row>
    <row r="37" spans="1:6" s="57" customFormat="1" ht="12" customHeight="1" thickBot="1" x14ac:dyDescent="0.25">
      <c r="A37" s="31" t="s">
        <v>27</v>
      </c>
      <c r="B37" s="20" t="s">
        <v>479</v>
      </c>
      <c r="C37" s="137">
        <f>SUM(C38:C48)</f>
        <v>51818104</v>
      </c>
      <c r="D37" s="559">
        <f>'9.1.1. sz. mell. '!C37+'9.1.2. sz. mell.'!C37</f>
        <v>51818104</v>
      </c>
      <c r="E37" s="559">
        <f t="shared" si="0"/>
        <v>0</v>
      </c>
      <c r="F37" s="558">
        <f t="shared" si="1"/>
        <v>0</v>
      </c>
    </row>
    <row r="38" spans="1:6" s="57" customFormat="1" ht="12" customHeight="1" thickBot="1" x14ac:dyDescent="0.25">
      <c r="A38" s="236" t="s">
        <v>92</v>
      </c>
      <c r="B38" s="222" t="s">
        <v>218</v>
      </c>
      <c r="C38" s="325">
        <v>12159000</v>
      </c>
      <c r="D38" s="559">
        <f>'9.1.1. sz. mell. '!C38+'9.1.2. sz. mell.'!C38</f>
        <v>12159000</v>
      </c>
      <c r="E38" s="560">
        <f t="shared" si="0"/>
        <v>0</v>
      </c>
      <c r="F38" s="558">
        <f t="shared" si="1"/>
        <v>0</v>
      </c>
    </row>
    <row r="39" spans="1:6" s="57" customFormat="1" ht="12" customHeight="1" thickBot="1" x14ac:dyDescent="0.25">
      <c r="A39" s="237" t="s">
        <v>93</v>
      </c>
      <c r="B39" s="223" t="s">
        <v>219</v>
      </c>
      <c r="C39" s="296">
        <f>13910169+100000+62992+7239600</f>
        <v>21312761</v>
      </c>
      <c r="D39" s="559">
        <f>'9.1.1. sz. mell. '!C39+'9.1.2. sz. mell.'!C39</f>
        <v>21312761</v>
      </c>
      <c r="E39" s="561">
        <f t="shared" si="0"/>
        <v>0</v>
      </c>
      <c r="F39" s="558">
        <f t="shared" si="1"/>
        <v>0</v>
      </c>
    </row>
    <row r="40" spans="1:6" s="57" customFormat="1" ht="12" customHeight="1" thickBot="1" x14ac:dyDescent="0.25">
      <c r="A40" s="237" t="s">
        <v>94</v>
      </c>
      <c r="B40" s="223" t="s">
        <v>220</v>
      </c>
      <c r="C40" s="296">
        <f>500000+300000+50000+1400000+947000+300000</f>
        <v>3497000</v>
      </c>
      <c r="D40" s="559">
        <f>'9.1.1. sz. mell. '!C40+'9.1.2. sz. mell.'!C40</f>
        <v>3497000</v>
      </c>
      <c r="E40" s="561">
        <f t="shared" si="0"/>
        <v>0</v>
      </c>
      <c r="F40" s="558">
        <f t="shared" si="1"/>
        <v>0</v>
      </c>
    </row>
    <row r="41" spans="1:6" s="57" customFormat="1" ht="12" customHeight="1" thickBot="1" x14ac:dyDescent="0.25">
      <c r="A41" s="237" t="s">
        <v>140</v>
      </c>
      <c r="B41" s="223" t="s">
        <v>221</v>
      </c>
      <c r="C41" s="296">
        <v>430000</v>
      </c>
      <c r="D41" s="559">
        <f>'9.1.1. sz. mell. '!C41+'9.1.2. sz. mell.'!C41</f>
        <v>430000</v>
      </c>
      <c r="E41" s="561">
        <f t="shared" si="0"/>
        <v>0</v>
      </c>
      <c r="F41" s="558">
        <f t="shared" si="1"/>
        <v>0</v>
      </c>
    </row>
    <row r="42" spans="1:6" s="57" customFormat="1" ht="12" customHeight="1" thickBot="1" x14ac:dyDescent="0.25">
      <c r="A42" s="237" t="s">
        <v>141</v>
      </c>
      <c r="B42" s="223" t="s">
        <v>222</v>
      </c>
      <c r="C42" s="296"/>
      <c r="D42" s="559">
        <f>'9.1.1. sz. mell. '!C42+'9.1.2. sz. mell.'!C42</f>
        <v>0</v>
      </c>
      <c r="E42" s="561">
        <f t="shared" si="0"/>
        <v>0</v>
      </c>
      <c r="F42" s="558">
        <f t="shared" si="1"/>
        <v>0</v>
      </c>
    </row>
    <row r="43" spans="1:6" s="57" customFormat="1" ht="12" customHeight="1" thickBot="1" x14ac:dyDescent="0.25">
      <c r="A43" s="237" t="s">
        <v>142</v>
      </c>
      <c r="B43" s="223" t="s">
        <v>223</v>
      </c>
      <c r="C43" s="296">
        <f>3283000+5162000+81000+13500+378000+81000+17008+682000+1954692</f>
        <v>11652200</v>
      </c>
      <c r="D43" s="559">
        <f>'9.1.1. sz. mell. '!C43+'9.1.2. sz. mell.'!C43</f>
        <v>11652200</v>
      </c>
      <c r="E43" s="561">
        <f t="shared" si="0"/>
        <v>0</v>
      </c>
      <c r="F43" s="558">
        <f t="shared" si="1"/>
        <v>0</v>
      </c>
    </row>
    <row r="44" spans="1:6" s="57" customFormat="1" ht="12" customHeight="1" thickBot="1" x14ac:dyDescent="0.25">
      <c r="A44" s="237" t="s">
        <v>143</v>
      </c>
      <c r="B44" s="223" t="s">
        <v>224</v>
      </c>
      <c r="C44" s="296"/>
      <c r="D44" s="559">
        <f>'9.1.1. sz. mell. '!C44+'9.1.2. sz. mell.'!C44</f>
        <v>0</v>
      </c>
      <c r="E44" s="561">
        <f t="shared" si="0"/>
        <v>0</v>
      </c>
      <c r="F44" s="558">
        <f t="shared" si="1"/>
        <v>0</v>
      </c>
    </row>
    <row r="45" spans="1:6" s="57" customFormat="1" ht="12" customHeight="1" thickBot="1" x14ac:dyDescent="0.25">
      <c r="A45" s="237" t="s">
        <v>144</v>
      </c>
      <c r="B45" s="223" t="s">
        <v>225</v>
      </c>
      <c r="C45" s="296">
        <v>30000</v>
      </c>
      <c r="D45" s="559">
        <f>'9.1.1. sz. mell. '!C45+'9.1.2. sz. mell.'!C45</f>
        <v>30000</v>
      </c>
      <c r="E45" s="561">
        <f t="shared" si="0"/>
        <v>0</v>
      </c>
      <c r="F45" s="558">
        <f t="shared" si="1"/>
        <v>0</v>
      </c>
    </row>
    <row r="46" spans="1:6" s="57" customFormat="1" ht="12" customHeight="1" thickBot="1" x14ac:dyDescent="0.25">
      <c r="A46" s="237" t="s">
        <v>216</v>
      </c>
      <c r="B46" s="223" t="s">
        <v>226</v>
      </c>
      <c r="C46" s="296"/>
      <c r="D46" s="559">
        <f>'9.1.1. sz. mell. '!C46+'9.1.2. sz. mell.'!C46</f>
        <v>0</v>
      </c>
      <c r="E46" s="561">
        <f t="shared" si="0"/>
        <v>0</v>
      </c>
      <c r="F46" s="558">
        <f t="shared" si="1"/>
        <v>0</v>
      </c>
    </row>
    <row r="47" spans="1:6" s="57" customFormat="1" ht="12" customHeight="1" thickBot="1" x14ac:dyDescent="0.25">
      <c r="A47" s="238" t="s">
        <v>217</v>
      </c>
      <c r="B47" s="224" t="s">
        <v>480</v>
      </c>
      <c r="C47" s="300">
        <v>500000</v>
      </c>
      <c r="D47" s="559">
        <f>'9.1.1. sz. mell. '!C47+'9.1.2. sz. mell.'!C47</f>
        <v>500000</v>
      </c>
      <c r="E47" s="561">
        <f t="shared" si="0"/>
        <v>0</v>
      </c>
      <c r="F47" s="558">
        <f t="shared" si="1"/>
        <v>0</v>
      </c>
    </row>
    <row r="48" spans="1:6" s="57" customFormat="1" ht="12" customHeight="1" thickBot="1" x14ac:dyDescent="0.25">
      <c r="A48" s="238" t="s">
        <v>481</v>
      </c>
      <c r="B48" s="224" t="s">
        <v>227</v>
      </c>
      <c r="C48" s="300">
        <f>60000+600000+1577143</f>
        <v>2237143</v>
      </c>
      <c r="D48" s="559">
        <f>'9.1.1. sz. mell. '!C48+'9.1.2. sz. mell.'!C48</f>
        <v>2237143</v>
      </c>
      <c r="E48" s="562">
        <f t="shared" si="0"/>
        <v>0</v>
      </c>
      <c r="F48" s="558">
        <f t="shared" si="1"/>
        <v>0</v>
      </c>
    </row>
    <row r="49" spans="1:6" s="57" customFormat="1" ht="12" customHeight="1" thickBot="1" x14ac:dyDescent="0.25">
      <c r="A49" s="31" t="s">
        <v>28</v>
      </c>
      <c r="B49" s="20" t="s">
        <v>228</v>
      </c>
      <c r="C49" s="137">
        <f>SUM(C50:C54)</f>
        <v>30332500</v>
      </c>
      <c r="D49" s="559">
        <f>'9.1.1. sz. mell. '!C49+'9.1.2. sz. mell.'!C49</f>
        <v>30332500</v>
      </c>
      <c r="E49" s="559">
        <f t="shared" si="0"/>
        <v>0</v>
      </c>
      <c r="F49" s="558">
        <f t="shared" si="1"/>
        <v>0</v>
      </c>
    </row>
    <row r="50" spans="1:6" s="57" customFormat="1" ht="12" customHeight="1" thickBot="1" x14ac:dyDescent="0.25">
      <c r="A50" s="236" t="s">
        <v>95</v>
      </c>
      <c r="B50" s="222" t="s">
        <v>232</v>
      </c>
      <c r="C50" s="260"/>
      <c r="D50" s="559">
        <f>'9.1.1. sz. mell. '!C50+'9.1.2. sz. mell.'!C50</f>
        <v>0</v>
      </c>
      <c r="E50" s="560">
        <f t="shared" si="0"/>
        <v>0</v>
      </c>
      <c r="F50" s="558">
        <f t="shared" si="1"/>
        <v>0</v>
      </c>
    </row>
    <row r="51" spans="1:6" s="57" customFormat="1" ht="12" customHeight="1" thickBot="1" x14ac:dyDescent="0.25">
      <c r="A51" s="237" t="s">
        <v>96</v>
      </c>
      <c r="B51" s="223" t="s">
        <v>233</v>
      </c>
      <c r="C51" s="296">
        <v>30332500</v>
      </c>
      <c r="D51" s="559">
        <f>'9.1.1. sz. mell. '!C51+'9.1.2. sz. mell.'!C51</f>
        <v>30332500</v>
      </c>
      <c r="E51" s="561">
        <f t="shared" si="0"/>
        <v>0</v>
      </c>
      <c r="F51" s="558">
        <f t="shared" si="1"/>
        <v>0</v>
      </c>
    </row>
    <row r="52" spans="1:6" s="57" customFormat="1" ht="12" customHeight="1" thickBot="1" x14ac:dyDescent="0.25">
      <c r="A52" s="237" t="s">
        <v>229</v>
      </c>
      <c r="B52" s="223" t="s">
        <v>234</v>
      </c>
      <c r="C52" s="141"/>
      <c r="D52" s="559">
        <f>'9.1.1. sz. mell. '!C52+'9.1.2. sz. mell.'!C52</f>
        <v>0</v>
      </c>
      <c r="E52" s="561">
        <f t="shared" si="0"/>
        <v>0</v>
      </c>
      <c r="F52" s="558">
        <f t="shared" si="1"/>
        <v>0</v>
      </c>
    </row>
    <row r="53" spans="1:6" s="57" customFormat="1" ht="12" customHeight="1" thickBot="1" x14ac:dyDescent="0.25">
      <c r="A53" s="237" t="s">
        <v>230</v>
      </c>
      <c r="B53" s="223" t="s">
        <v>235</v>
      </c>
      <c r="C53" s="141"/>
      <c r="D53" s="559">
        <f>'9.1.1. sz. mell. '!C53+'9.1.2. sz. mell.'!C53</f>
        <v>0</v>
      </c>
      <c r="E53" s="561">
        <f t="shared" si="0"/>
        <v>0</v>
      </c>
      <c r="F53" s="558">
        <f t="shared" si="1"/>
        <v>0</v>
      </c>
    </row>
    <row r="54" spans="1:6" s="57" customFormat="1" ht="12" customHeight="1" thickBot="1" x14ac:dyDescent="0.25">
      <c r="A54" s="238" t="s">
        <v>231</v>
      </c>
      <c r="B54" s="224" t="s">
        <v>236</v>
      </c>
      <c r="C54" s="211"/>
      <c r="D54" s="559">
        <f>'9.1.1. sz. mell. '!C54+'9.1.2. sz. mell.'!C54</f>
        <v>0</v>
      </c>
      <c r="E54" s="562">
        <f t="shared" si="0"/>
        <v>0</v>
      </c>
      <c r="F54" s="558">
        <f t="shared" si="1"/>
        <v>0</v>
      </c>
    </row>
    <row r="55" spans="1:6" s="57" customFormat="1" ht="12" customHeight="1" thickBot="1" x14ac:dyDescent="0.25">
      <c r="A55" s="31" t="s">
        <v>145</v>
      </c>
      <c r="B55" s="20" t="s">
        <v>237</v>
      </c>
      <c r="C55" s="137">
        <f>SUM(C56:C58)</f>
        <v>4766000</v>
      </c>
      <c r="D55" s="559">
        <f>'9.1.1. sz. mell. '!C55+'9.1.2. sz. mell.'!C55</f>
        <v>4766000</v>
      </c>
      <c r="E55" s="559">
        <f t="shared" si="0"/>
        <v>0</v>
      </c>
      <c r="F55" s="558">
        <f t="shared" si="1"/>
        <v>0</v>
      </c>
    </row>
    <row r="56" spans="1:6" s="57" customFormat="1" ht="12" customHeight="1" thickBot="1" x14ac:dyDescent="0.25">
      <c r="A56" s="236" t="s">
        <v>97</v>
      </c>
      <c r="B56" s="222" t="s">
        <v>238</v>
      </c>
      <c r="C56" s="260"/>
      <c r="D56" s="559">
        <f>'9.1.1. sz. mell. '!C56+'9.1.2. sz. mell.'!C56</f>
        <v>0</v>
      </c>
      <c r="E56" s="560">
        <f t="shared" si="0"/>
        <v>0</v>
      </c>
      <c r="F56" s="558">
        <f t="shared" si="1"/>
        <v>0</v>
      </c>
    </row>
    <row r="57" spans="1:6" s="57" customFormat="1" ht="12" customHeight="1" thickBot="1" x14ac:dyDescent="0.25">
      <c r="A57" s="237" t="s">
        <v>98</v>
      </c>
      <c r="B57" s="223" t="s">
        <v>369</v>
      </c>
      <c r="C57" s="296">
        <f>1566000+300000</f>
        <v>1866000</v>
      </c>
      <c r="D57" s="559">
        <f>'9.1.1. sz. mell. '!C57+'9.1.2. sz. mell.'!C57</f>
        <v>1866000</v>
      </c>
      <c r="E57" s="561">
        <f t="shared" si="0"/>
        <v>0</v>
      </c>
      <c r="F57" s="558">
        <f t="shared" si="1"/>
        <v>0</v>
      </c>
    </row>
    <row r="58" spans="1:6" s="57" customFormat="1" ht="12" customHeight="1" thickBot="1" x14ac:dyDescent="0.25">
      <c r="A58" s="237" t="s">
        <v>241</v>
      </c>
      <c r="B58" s="223" t="s">
        <v>239</v>
      </c>
      <c r="C58" s="296">
        <v>2900000</v>
      </c>
      <c r="D58" s="559">
        <f>'9.1.1. sz. mell. '!C58+'9.1.2. sz. mell.'!C58</f>
        <v>2900000</v>
      </c>
      <c r="E58" s="561">
        <f t="shared" si="0"/>
        <v>0</v>
      </c>
      <c r="F58" s="558">
        <f t="shared" si="1"/>
        <v>0</v>
      </c>
    </row>
    <row r="59" spans="1:6" s="57" customFormat="1" ht="12" customHeight="1" thickBot="1" x14ac:dyDescent="0.25">
      <c r="A59" s="238" t="s">
        <v>242</v>
      </c>
      <c r="B59" s="224" t="s">
        <v>240</v>
      </c>
      <c r="C59" s="140"/>
      <c r="D59" s="559">
        <f>'9.1.1. sz. mell. '!C59+'9.1.2. sz. mell.'!C59</f>
        <v>0</v>
      </c>
      <c r="E59" s="562">
        <f t="shared" si="0"/>
        <v>0</v>
      </c>
      <c r="F59" s="558">
        <f t="shared" si="1"/>
        <v>0</v>
      </c>
    </row>
    <row r="60" spans="1:6" s="57" customFormat="1" ht="12" customHeight="1" thickBot="1" x14ac:dyDescent="0.25">
      <c r="A60" s="31" t="s">
        <v>30</v>
      </c>
      <c r="B60" s="132" t="s">
        <v>243</v>
      </c>
      <c r="C60" s="137">
        <f>SUM(C61:C63)</f>
        <v>0</v>
      </c>
      <c r="D60" s="559">
        <f>'9.1.1. sz. mell. '!C60+'9.1.2. sz. mell.'!C60</f>
        <v>0</v>
      </c>
      <c r="E60" s="559">
        <f t="shared" si="0"/>
        <v>0</v>
      </c>
      <c r="F60" s="558">
        <f t="shared" si="1"/>
        <v>0</v>
      </c>
    </row>
    <row r="61" spans="1:6" s="57" customFormat="1" ht="12" customHeight="1" thickBot="1" x14ac:dyDescent="0.25">
      <c r="A61" s="236" t="s">
        <v>146</v>
      </c>
      <c r="B61" s="222" t="s">
        <v>245</v>
      </c>
      <c r="C61" s="141"/>
      <c r="D61" s="559">
        <f>'9.1.1. sz. mell. '!C61+'9.1.2. sz. mell.'!C61</f>
        <v>0</v>
      </c>
      <c r="E61" s="560">
        <f t="shared" si="0"/>
        <v>0</v>
      </c>
      <c r="F61" s="558">
        <f t="shared" si="1"/>
        <v>0</v>
      </c>
    </row>
    <row r="62" spans="1:6" s="57" customFormat="1" ht="12" customHeight="1" thickBot="1" x14ac:dyDescent="0.25">
      <c r="A62" s="237" t="s">
        <v>147</v>
      </c>
      <c r="B62" s="223" t="s">
        <v>370</v>
      </c>
      <c r="C62" s="141"/>
      <c r="D62" s="559">
        <f>'9.1.1. sz. mell. '!C62+'9.1.2. sz. mell.'!C62</f>
        <v>0</v>
      </c>
      <c r="E62" s="561">
        <f t="shared" si="0"/>
        <v>0</v>
      </c>
      <c r="F62" s="558">
        <f t="shared" si="1"/>
        <v>0</v>
      </c>
    </row>
    <row r="63" spans="1:6" s="57" customFormat="1" ht="12" customHeight="1" thickBot="1" x14ac:dyDescent="0.25">
      <c r="A63" s="237" t="s">
        <v>169</v>
      </c>
      <c r="B63" s="223" t="s">
        <v>246</v>
      </c>
      <c r="C63" s="141"/>
      <c r="D63" s="559">
        <f>'9.1.1. sz. mell. '!C63+'9.1.2. sz. mell.'!C63</f>
        <v>0</v>
      </c>
      <c r="E63" s="561">
        <f t="shared" si="0"/>
        <v>0</v>
      </c>
      <c r="F63" s="558">
        <f t="shared" si="1"/>
        <v>0</v>
      </c>
    </row>
    <row r="64" spans="1:6" s="57" customFormat="1" ht="12" customHeight="1" thickBot="1" x14ac:dyDescent="0.25">
      <c r="A64" s="238" t="s">
        <v>244</v>
      </c>
      <c r="B64" s="224" t="s">
        <v>247</v>
      </c>
      <c r="C64" s="141"/>
      <c r="D64" s="559">
        <f>'9.1.1. sz. mell. '!C64+'9.1.2. sz. mell.'!C64</f>
        <v>0</v>
      </c>
      <c r="E64" s="562">
        <f t="shared" si="0"/>
        <v>0</v>
      </c>
      <c r="F64" s="558">
        <f t="shared" si="1"/>
        <v>0</v>
      </c>
    </row>
    <row r="65" spans="1:6" s="57" customFormat="1" ht="12" customHeight="1" thickBot="1" x14ac:dyDescent="0.25">
      <c r="A65" s="31" t="s">
        <v>31</v>
      </c>
      <c r="B65" s="20" t="s">
        <v>248</v>
      </c>
      <c r="C65" s="142">
        <f>+C8+C15+C22+C29+C37+C49+C55+C60</f>
        <v>2095352425</v>
      </c>
      <c r="D65" s="559">
        <f>'9.1.1. sz. mell. '!C65+'9.1.2. sz. mell.'!C65</f>
        <v>2095352425</v>
      </c>
      <c r="E65" s="559">
        <f t="shared" si="0"/>
        <v>0</v>
      </c>
      <c r="F65" s="558">
        <f t="shared" si="1"/>
        <v>0</v>
      </c>
    </row>
    <row r="66" spans="1:6" s="57" customFormat="1" ht="12" customHeight="1" thickBot="1" x14ac:dyDescent="0.2">
      <c r="A66" s="239" t="s">
        <v>338</v>
      </c>
      <c r="B66" s="132" t="s">
        <v>250</v>
      </c>
      <c r="C66" s="137">
        <f>SUM(C67:C69)</f>
        <v>193478462</v>
      </c>
      <c r="D66" s="559">
        <f>'9.1.1. sz. mell. '!C66+'9.1.2. sz. mell.'!C66</f>
        <v>193478462</v>
      </c>
      <c r="E66" s="559">
        <f t="shared" si="0"/>
        <v>0</v>
      </c>
      <c r="F66" s="558">
        <f t="shared" si="1"/>
        <v>0</v>
      </c>
    </row>
    <row r="67" spans="1:6" s="57" customFormat="1" ht="12" customHeight="1" thickBot="1" x14ac:dyDescent="0.25">
      <c r="A67" s="236" t="s">
        <v>281</v>
      </c>
      <c r="B67" s="222" t="s">
        <v>251</v>
      </c>
      <c r="C67" s="296">
        <v>93478462</v>
      </c>
      <c r="D67" s="559">
        <f>'9.1.1. sz. mell. '!C67+'9.1.2. sz. mell.'!C67</f>
        <v>93478462</v>
      </c>
      <c r="E67" s="560">
        <f t="shared" si="0"/>
        <v>0</v>
      </c>
      <c r="F67" s="558">
        <f t="shared" si="1"/>
        <v>0</v>
      </c>
    </row>
    <row r="68" spans="1:6" s="57" customFormat="1" ht="12" customHeight="1" thickBot="1" x14ac:dyDescent="0.25">
      <c r="A68" s="237" t="s">
        <v>290</v>
      </c>
      <c r="B68" s="223" t="s">
        <v>252</v>
      </c>
      <c r="C68" s="296">
        <v>100000000</v>
      </c>
      <c r="D68" s="559">
        <f>'9.1.1. sz. mell. '!C68+'9.1.2. sz. mell.'!C68</f>
        <v>100000000</v>
      </c>
      <c r="E68" s="561">
        <f t="shared" si="0"/>
        <v>0</v>
      </c>
      <c r="F68" s="558">
        <f t="shared" si="1"/>
        <v>0</v>
      </c>
    </row>
    <row r="69" spans="1:6" s="57" customFormat="1" ht="12" customHeight="1" thickBot="1" x14ac:dyDescent="0.25">
      <c r="A69" s="238" t="s">
        <v>291</v>
      </c>
      <c r="B69" s="225" t="s">
        <v>253</v>
      </c>
      <c r="C69" s="141"/>
      <c r="D69" s="559">
        <f>'9.1.1. sz. mell. '!C69+'9.1.2. sz. mell.'!C69</f>
        <v>0</v>
      </c>
      <c r="E69" s="562">
        <f t="shared" si="0"/>
        <v>0</v>
      </c>
      <c r="F69" s="558">
        <f t="shared" si="1"/>
        <v>0</v>
      </c>
    </row>
    <row r="70" spans="1:6" s="57" customFormat="1" ht="12" customHeight="1" thickBot="1" x14ac:dyDescent="0.2">
      <c r="A70" s="239" t="s">
        <v>254</v>
      </c>
      <c r="B70" s="132" t="s">
        <v>255</v>
      </c>
      <c r="C70" s="137">
        <f>SUM(C71:C74)</f>
        <v>0</v>
      </c>
      <c r="D70" s="559">
        <f>'9.1.1. sz. mell. '!C70+'9.1.2. sz. mell.'!C70</f>
        <v>0</v>
      </c>
      <c r="E70" s="559">
        <f t="shared" si="0"/>
        <v>0</v>
      </c>
      <c r="F70" s="558">
        <f t="shared" si="1"/>
        <v>0</v>
      </c>
    </row>
    <row r="71" spans="1:6" s="57" customFormat="1" ht="12" customHeight="1" thickBot="1" x14ac:dyDescent="0.25">
      <c r="A71" s="236" t="s">
        <v>126</v>
      </c>
      <c r="B71" s="222" t="s">
        <v>256</v>
      </c>
      <c r="C71" s="141"/>
      <c r="D71" s="559">
        <f>'9.1.1. sz. mell. '!C71+'9.1.2. sz. mell.'!C71</f>
        <v>0</v>
      </c>
      <c r="E71" s="560">
        <f t="shared" si="0"/>
        <v>0</v>
      </c>
      <c r="F71" s="558">
        <f t="shared" si="1"/>
        <v>0</v>
      </c>
    </row>
    <row r="72" spans="1:6" s="57" customFormat="1" ht="12" customHeight="1" thickBot="1" x14ac:dyDescent="0.25">
      <c r="A72" s="237" t="s">
        <v>127</v>
      </c>
      <c r="B72" s="223" t="s">
        <v>257</v>
      </c>
      <c r="C72" s="141"/>
      <c r="D72" s="559">
        <f>'9.1.1. sz. mell. '!C72+'9.1.2. sz. mell.'!C72</f>
        <v>0</v>
      </c>
      <c r="E72" s="561">
        <f t="shared" ref="E72:E90" si="2">C72-D72</f>
        <v>0</v>
      </c>
      <c r="F72" s="558">
        <f t="shared" si="1"/>
        <v>0</v>
      </c>
    </row>
    <row r="73" spans="1:6" s="57" customFormat="1" ht="12" customHeight="1" thickBot="1" x14ac:dyDescent="0.25">
      <c r="A73" s="237" t="s">
        <v>282</v>
      </c>
      <c r="B73" s="223" t="s">
        <v>258</v>
      </c>
      <c r="C73" s="141"/>
      <c r="D73" s="559">
        <f>'9.1.1. sz. mell. '!C73+'9.1.2. sz. mell.'!C73</f>
        <v>0</v>
      </c>
      <c r="E73" s="561">
        <f t="shared" si="2"/>
        <v>0</v>
      </c>
      <c r="F73" s="558">
        <f t="shared" ref="F73:F136" si="3">C73-D73</f>
        <v>0</v>
      </c>
    </row>
    <row r="74" spans="1:6" s="57" customFormat="1" ht="12" customHeight="1" thickBot="1" x14ac:dyDescent="0.25">
      <c r="A74" s="238" t="s">
        <v>283</v>
      </c>
      <c r="B74" s="224" t="s">
        <v>259</v>
      </c>
      <c r="C74" s="141"/>
      <c r="D74" s="559">
        <f>'9.1.1. sz. mell. '!C74+'9.1.2. sz. mell.'!C74</f>
        <v>0</v>
      </c>
      <c r="E74" s="562">
        <f t="shared" si="2"/>
        <v>0</v>
      </c>
      <c r="F74" s="558">
        <f t="shared" si="3"/>
        <v>0</v>
      </c>
    </row>
    <row r="75" spans="1:6" s="57" customFormat="1" ht="12" customHeight="1" thickBot="1" x14ac:dyDescent="0.2">
      <c r="A75" s="239" t="s">
        <v>260</v>
      </c>
      <c r="B75" s="132" t="s">
        <v>261</v>
      </c>
      <c r="C75" s="137">
        <f>SUM(C76:C77)</f>
        <v>594503758</v>
      </c>
      <c r="D75" s="559">
        <f>'9.1.1. sz. mell. '!C75+'9.1.2. sz. mell.'!C75</f>
        <v>594503758</v>
      </c>
      <c r="E75" s="559">
        <f t="shared" si="2"/>
        <v>0</v>
      </c>
      <c r="F75" s="558">
        <f t="shared" si="3"/>
        <v>0</v>
      </c>
    </row>
    <row r="76" spans="1:6" s="57" customFormat="1" ht="12" customHeight="1" thickBot="1" x14ac:dyDescent="0.25">
      <c r="A76" s="236" t="s">
        <v>284</v>
      </c>
      <c r="B76" s="222" t="s">
        <v>262</v>
      </c>
      <c r="C76" s="296">
        <f>569119704+25384054</f>
        <v>594503758</v>
      </c>
      <c r="D76" s="559">
        <f>'9.1.1. sz. mell. '!C76+'9.1.2. sz. mell.'!C76</f>
        <v>594503758</v>
      </c>
      <c r="E76" s="560">
        <f t="shared" si="2"/>
        <v>0</v>
      </c>
      <c r="F76" s="558">
        <f t="shared" si="3"/>
        <v>0</v>
      </c>
    </row>
    <row r="77" spans="1:6" s="57" customFormat="1" ht="12" customHeight="1" thickBot="1" x14ac:dyDescent="0.25">
      <c r="A77" s="238" t="s">
        <v>285</v>
      </c>
      <c r="B77" s="224" t="s">
        <v>263</v>
      </c>
      <c r="C77" s="141"/>
      <c r="D77" s="559">
        <f>'9.1.1. sz. mell. '!C77+'9.1.2. sz. mell.'!C77</f>
        <v>0</v>
      </c>
      <c r="E77" s="562">
        <f t="shared" si="2"/>
        <v>0</v>
      </c>
      <c r="F77" s="558">
        <f t="shared" si="3"/>
        <v>0</v>
      </c>
    </row>
    <row r="78" spans="1:6" s="56" customFormat="1" ht="12" customHeight="1" thickBot="1" x14ac:dyDescent="0.2">
      <c r="A78" s="239" t="s">
        <v>264</v>
      </c>
      <c r="B78" s="132" t="s">
        <v>265</v>
      </c>
      <c r="C78" s="137">
        <f>SUM(C79:C81)</f>
        <v>0</v>
      </c>
      <c r="D78" s="559">
        <f>'9.1.1. sz. mell. '!C78+'9.1.2. sz. mell.'!C78</f>
        <v>0</v>
      </c>
      <c r="E78" s="559">
        <f t="shared" si="2"/>
        <v>0</v>
      </c>
      <c r="F78" s="558">
        <f t="shared" si="3"/>
        <v>0</v>
      </c>
    </row>
    <row r="79" spans="1:6" s="57" customFormat="1" ht="12" customHeight="1" thickBot="1" x14ac:dyDescent="0.25">
      <c r="A79" s="236" t="s">
        <v>286</v>
      </c>
      <c r="B79" s="222" t="s">
        <v>266</v>
      </c>
      <c r="C79" s="141"/>
      <c r="D79" s="559">
        <f>'9.1.1. sz. mell. '!C79+'9.1.2. sz. mell.'!C79</f>
        <v>0</v>
      </c>
      <c r="E79" s="560">
        <f t="shared" si="2"/>
        <v>0</v>
      </c>
      <c r="F79" s="558">
        <f t="shared" si="3"/>
        <v>0</v>
      </c>
    </row>
    <row r="80" spans="1:6" s="57" customFormat="1" ht="12" customHeight="1" thickBot="1" x14ac:dyDescent="0.25">
      <c r="A80" s="237" t="s">
        <v>287</v>
      </c>
      <c r="B80" s="223" t="s">
        <v>267</v>
      </c>
      <c r="C80" s="141"/>
      <c r="D80" s="559">
        <f>'9.1.1. sz. mell. '!C80+'9.1.2. sz. mell.'!C80</f>
        <v>0</v>
      </c>
      <c r="E80" s="561">
        <f t="shared" si="2"/>
        <v>0</v>
      </c>
      <c r="F80" s="558">
        <f t="shared" si="3"/>
        <v>0</v>
      </c>
    </row>
    <row r="81" spans="1:6" s="57" customFormat="1" ht="12" customHeight="1" thickBot="1" x14ac:dyDescent="0.25">
      <c r="A81" s="238" t="s">
        <v>288</v>
      </c>
      <c r="B81" s="224" t="s">
        <v>268</v>
      </c>
      <c r="C81" s="141"/>
      <c r="D81" s="559">
        <f>'9.1.1. sz. mell. '!C81+'9.1.2. sz. mell.'!C81</f>
        <v>0</v>
      </c>
      <c r="E81" s="562">
        <f t="shared" si="2"/>
        <v>0</v>
      </c>
      <c r="F81" s="558">
        <f t="shared" si="3"/>
        <v>0</v>
      </c>
    </row>
    <row r="82" spans="1:6" s="57" customFormat="1" ht="12" customHeight="1" thickBot="1" x14ac:dyDescent="0.2">
      <c r="A82" s="239" t="s">
        <v>269</v>
      </c>
      <c r="B82" s="132" t="s">
        <v>289</v>
      </c>
      <c r="C82" s="137">
        <f>SUM(C83:C86)</f>
        <v>0</v>
      </c>
      <c r="D82" s="559">
        <f>'9.1.1. sz. mell. '!C82+'9.1.2. sz. mell.'!C82</f>
        <v>0</v>
      </c>
      <c r="E82" s="559">
        <f t="shared" si="2"/>
        <v>0</v>
      </c>
      <c r="F82" s="558">
        <f t="shared" si="3"/>
        <v>0</v>
      </c>
    </row>
    <row r="83" spans="1:6" s="57" customFormat="1" ht="12" customHeight="1" thickBot="1" x14ac:dyDescent="0.25">
      <c r="A83" s="240" t="s">
        <v>270</v>
      </c>
      <c r="B83" s="222" t="s">
        <v>271</v>
      </c>
      <c r="C83" s="141"/>
      <c r="D83" s="559">
        <f>'9.1.1. sz. mell. '!C83+'9.1.2. sz. mell.'!C83</f>
        <v>0</v>
      </c>
      <c r="E83" s="560">
        <f t="shared" si="2"/>
        <v>0</v>
      </c>
      <c r="F83" s="558">
        <f t="shared" si="3"/>
        <v>0</v>
      </c>
    </row>
    <row r="84" spans="1:6" s="57" customFormat="1" ht="12" customHeight="1" thickBot="1" x14ac:dyDescent="0.25">
      <c r="A84" s="241" t="s">
        <v>272</v>
      </c>
      <c r="B84" s="223" t="s">
        <v>273</v>
      </c>
      <c r="C84" s="141"/>
      <c r="D84" s="559">
        <f>'9.1.1. sz. mell. '!C84+'9.1.2. sz. mell.'!C84</f>
        <v>0</v>
      </c>
      <c r="E84" s="561">
        <f t="shared" si="2"/>
        <v>0</v>
      </c>
      <c r="F84" s="558">
        <f t="shared" si="3"/>
        <v>0</v>
      </c>
    </row>
    <row r="85" spans="1:6" s="57" customFormat="1" ht="12" customHeight="1" thickBot="1" x14ac:dyDescent="0.25">
      <c r="A85" s="241" t="s">
        <v>274</v>
      </c>
      <c r="B85" s="223" t="s">
        <v>275</v>
      </c>
      <c r="C85" s="141"/>
      <c r="D85" s="559">
        <f>'9.1.1. sz. mell. '!C85+'9.1.2. sz. mell.'!C85</f>
        <v>0</v>
      </c>
      <c r="E85" s="561">
        <f t="shared" si="2"/>
        <v>0</v>
      </c>
      <c r="F85" s="558">
        <f t="shared" si="3"/>
        <v>0</v>
      </c>
    </row>
    <row r="86" spans="1:6" s="56" customFormat="1" ht="12" customHeight="1" thickBot="1" x14ac:dyDescent="0.25">
      <c r="A86" s="242" t="s">
        <v>276</v>
      </c>
      <c r="B86" s="224" t="s">
        <v>277</v>
      </c>
      <c r="C86" s="141"/>
      <c r="D86" s="559">
        <f>'9.1.1. sz. mell. '!C86+'9.1.2. sz. mell.'!C86</f>
        <v>0</v>
      </c>
      <c r="E86" s="562">
        <f t="shared" si="2"/>
        <v>0</v>
      </c>
      <c r="F86" s="558">
        <f t="shared" si="3"/>
        <v>0</v>
      </c>
    </row>
    <row r="87" spans="1:6" s="56" customFormat="1" ht="12" customHeight="1" thickBot="1" x14ac:dyDescent="0.2">
      <c r="A87" s="239" t="s">
        <v>278</v>
      </c>
      <c r="B87" s="132" t="s">
        <v>484</v>
      </c>
      <c r="C87" s="261"/>
      <c r="D87" s="559">
        <f>'9.1.1. sz. mell. '!C87+'9.1.2. sz. mell.'!C87</f>
        <v>0</v>
      </c>
      <c r="E87" s="559">
        <f t="shared" si="2"/>
        <v>0</v>
      </c>
      <c r="F87" s="558">
        <f t="shared" si="3"/>
        <v>0</v>
      </c>
    </row>
    <row r="88" spans="1:6" s="56" customFormat="1" ht="12" customHeight="1" thickBot="1" x14ac:dyDescent="0.2">
      <c r="A88" s="239" t="s">
        <v>537</v>
      </c>
      <c r="B88" s="132" t="s">
        <v>279</v>
      </c>
      <c r="C88" s="261"/>
      <c r="D88" s="559">
        <f>'9.1.1. sz. mell. '!C88+'9.1.2. sz. mell.'!C88</f>
        <v>0</v>
      </c>
      <c r="E88" s="559">
        <f t="shared" si="2"/>
        <v>0</v>
      </c>
      <c r="F88" s="558">
        <f t="shared" si="3"/>
        <v>0</v>
      </c>
    </row>
    <row r="89" spans="1:6" s="56" customFormat="1" ht="12" customHeight="1" thickBot="1" x14ac:dyDescent="0.2">
      <c r="A89" s="239" t="s">
        <v>538</v>
      </c>
      <c r="B89" s="229" t="s">
        <v>485</v>
      </c>
      <c r="C89" s="142">
        <f>+C66+C70+C75+C78+C82+C88+C87</f>
        <v>787982220</v>
      </c>
      <c r="D89" s="559">
        <f>'9.1.1. sz. mell. '!C89+'9.1.2. sz. mell.'!C89</f>
        <v>787982220</v>
      </c>
      <c r="E89" s="559">
        <f t="shared" si="2"/>
        <v>0</v>
      </c>
      <c r="F89" s="558">
        <f t="shared" si="3"/>
        <v>0</v>
      </c>
    </row>
    <row r="90" spans="1:6" s="56" customFormat="1" ht="12" customHeight="1" thickBot="1" x14ac:dyDescent="0.2">
      <c r="A90" s="243" t="s">
        <v>539</v>
      </c>
      <c r="B90" s="230" t="s">
        <v>540</v>
      </c>
      <c r="C90" s="142">
        <f>+C65+C89</f>
        <v>2883334645</v>
      </c>
      <c r="D90" s="559">
        <f>'9.1.1. sz. mell. '!C90+'9.1.2. sz. mell.'!C90</f>
        <v>2883334645</v>
      </c>
      <c r="E90" s="559">
        <f t="shared" si="2"/>
        <v>0</v>
      </c>
      <c r="F90" s="558">
        <f t="shared" si="3"/>
        <v>0</v>
      </c>
    </row>
    <row r="91" spans="1:6" s="57" customFormat="1" ht="15" customHeight="1" thickBot="1" x14ac:dyDescent="0.25">
      <c r="A91" s="112"/>
      <c r="B91" s="113"/>
      <c r="C91" s="195"/>
      <c r="D91" s="559">
        <f>'9.1.1. sz. mell. '!C91+'9.1.2. sz. mell.'!C91</f>
        <v>0</v>
      </c>
      <c r="E91" s="555"/>
      <c r="F91" s="558">
        <f t="shared" si="3"/>
        <v>0</v>
      </c>
    </row>
    <row r="92" spans="1:6" s="47" customFormat="1" ht="16.5" customHeight="1" thickBot="1" x14ac:dyDescent="0.25">
      <c r="A92" s="116"/>
      <c r="B92" s="117" t="s">
        <v>62</v>
      </c>
      <c r="C92" s="197"/>
      <c r="D92" s="559">
        <f>'9.1.1. sz. mell. '!C92+'9.1.2. sz. mell.'!C92</f>
        <v>0</v>
      </c>
      <c r="E92" s="555"/>
      <c r="F92" s="558">
        <f t="shared" si="3"/>
        <v>0</v>
      </c>
    </row>
    <row r="93" spans="1:6" s="58" customFormat="1" ht="12" customHeight="1" thickBot="1" x14ac:dyDescent="0.25">
      <c r="A93" s="214" t="s">
        <v>23</v>
      </c>
      <c r="B93" s="25" t="s">
        <v>551</v>
      </c>
      <c r="C93" s="136">
        <f>+C94+C95+C96+C97+C98+C111</f>
        <v>716357533</v>
      </c>
      <c r="D93" s="559">
        <f>'9.1.1. sz. mell. '!C93+'9.1.2. sz. mell.'!C93</f>
        <v>716357533</v>
      </c>
      <c r="E93" s="559">
        <f t="shared" ref="E93:E155" si="4">C93-D93</f>
        <v>0</v>
      </c>
      <c r="F93" s="558">
        <f t="shared" si="3"/>
        <v>0</v>
      </c>
    </row>
    <row r="94" spans="1:6" ht="12" customHeight="1" thickBot="1" x14ac:dyDescent="0.25">
      <c r="A94" s="244" t="s">
        <v>99</v>
      </c>
      <c r="B94" s="9" t="s">
        <v>54</v>
      </c>
      <c r="C94" s="785">
        <f>2854500+25097896+75000+16116992+1182990+2491000+1095900-198000+58577+6274800+23800+237552+1656000+277000-198000+10136586+862563+1407675+12000+972</f>
        <v>69465803</v>
      </c>
      <c r="D94" s="559">
        <f>'9.1.1. sz. mell. '!C94+'9.1.2. sz. mell.'!C94</f>
        <v>69465803</v>
      </c>
      <c r="E94" s="560">
        <f t="shared" si="4"/>
        <v>0</v>
      </c>
      <c r="F94" s="558">
        <f t="shared" si="3"/>
        <v>0</v>
      </c>
    </row>
    <row r="95" spans="1:6" ht="12" customHeight="1" thickBot="1" x14ac:dyDescent="0.25">
      <c r="A95" s="237" t="s">
        <v>100</v>
      </c>
      <c r="B95" s="7" t="s">
        <v>148</v>
      </c>
      <c r="C95" s="786">
        <f>500965+4771305+13275+17258+2940000+14000+207615+1015000+213701+281135-34749+11423+1380456+4650-237552+322928+54015-34749+2117535+2331-972</f>
        <v>13559570</v>
      </c>
      <c r="D95" s="559">
        <f>'9.1.1. sz. mell. '!C95+'9.1.2. sz. mell.'!C95</f>
        <v>13559570</v>
      </c>
      <c r="E95" s="561">
        <f t="shared" si="4"/>
        <v>0</v>
      </c>
      <c r="F95" s="558">
        <f t="shared" si="3"/>
        <v>0</v>
      </c>
    </row>
    <row r="96" spans="1:6" ht="12" customHeight="1" thickBot="1" x14ac:dyDescent="0.25">
      <c r="A96" s="237" t="s">
        <v>101</v>
      </c>
      <c r="B96" s="7" t="s">
        <v>124</v>
      </c>
      <c r="C96" s="787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</f>
        <v>279503104</v>
      </c>
      <c r="D96" s="559">
        <f>'9.1.1. sz. mell. '!C96+'9.1.2. sz. mell.'!C96</f>
        <v>279503104</v>
      </c>
      <c r="E96" s="561">
        <f t="shared" si="4"/>
        <v>0</v>
      </c>
      <c r="F96" s="558">
        <f t="shared" si="3"/>
        <v>0</v>
      </c>
    </row>
    <row r="97" spans="1:6" ht="12" customHeight="1" thickBot="1" x14ac:dyDescent="0.25">
      <c r="A97" s="237" t="s">
        <v>102</v>
      </c>
      <c r="B97" s="10" t="s">
        <v>149</v>
      </c>
      <c r="C97" s="787">
        <f>69500000+3500000+69312000-2000000-1016000-282000</f>
        <v>139014000</v>
      </c>
      <c r="D97" s="559">
        <f>'9.1.1. sz. mell. '!C97+'9.1.2. sz. mell.'!C97</f>
        <v>139014000</v>
      </c>
      <c r="E97" s="561">
        <f t="shared" si="4"/>
        <v>0</v>
      </c>
      <c r="F97" s="558">
        <f t="shared" si="3"/>
        <v>0</v>
      </c>
    </row>
    <row r="98" spans="1:6" ht="12" customHeight="1" thickBot="1" x14ac:dyDescent="0.25">
      <c r="A98" s="237" t="s">
        <v>113</v>
      </c>
      <c r="B98" s="18" t="s">
        <v>150</v>
      </c>
      <c r="C98" s="787">
        <f>45183973+52959801+660000+100000+49357310+3869819+1202179+4500000+159000</f>
        <v>157992082</v>
      </c>
      <c r="D98" s="559">
        <f>'9.1.1. sz. mell. '!C98+'9.1.2. sz. mell.'!C98</f>
        <v>157992082</v>
      </c>
      <c r="E98" s="561">
        <f t="shared" si="4"/>
        <v>0</v>
      </c>
      <c r="F98" s="558">
        <f t="shared" si="3"/>
        <v>0</v>
      </c>
    </row>
    <row r="99" spans="1:6" ht="12" customHeight="1" thickBot="1" x14ac:dyDescent="0.25">
      <c r="A99" s="237" t="s">
        <v>103</v>
      </c>
      <c r="B99" s="7" t="s">
        <v>541</v>
      </c>
      <c r="C99" s="787">
        <f>100000+3869819+1202179</f>
        <v>5171998</v>
      </c>
      <c r="D99" s="559">
        <f>'9.1.1. sz. mell. '!C99+'9.1.2. sz. mell.'!C99</f>
        <v>5171998</v>
      </c>
      <c r="E99" s="561">
        <f t="shared" si="4"/>
        <v>0</v>
      </c>
      <c r="F99" s="558">
        <f t="shared" si="3"/>
        <v>0</v>
      </c>
    </row>
    <row r="100" spans="1:6" ht="12" customHeight="1" thickBot="1" x14ac:dyDescent="0.25">
      <c r="A100" s="237" t="s">
        <v>104</v>
      </c>
      <c r="B100" s="81" t="s">
        <v>489</v>
      </c>
      <c r="C100" s="300"/>
      <c r="D100" s="559">
        <f>'9.1.1. sz. mell. '!C100+'9.1.2. sz. mell.'!C100</f>
        <v>0</v>
      </c>
      <c r="E100" s="561">
        <f t="shared" si="4"/>
        <v>0</v>
      </c>
      <c r="F100" s="558">
        <f t="shared" si="3"/>
        <v>0</v>
      </c>
    </row>
    <row r="101" spans="1:6" ht="12" customHeight="1" thickBot="1" x14ac:dyDescent="0.25">
      <c r="A101" s="237" t="s">
        <v>114</v>
      </c>
      <c r="B101" s="81" t="s">
        <v>490</v>
      </c>
      <c r="C101" s="787">
        <f>159000</f>
        <v>159000</v>
      </c>
      <c r="D101" s="559">
        <f>'9.1.1. sz. mell. '!C101+'9.1.2. sz. mell.'!C101</f>
        <v>159000</v>
      </c>
      <c r="E101" s="561">
        <f t="shared" si="4"/>
        <v>0</v>
      </c>
      <c r="F101" s="558">
        <f t="shared" si="3"/>
        <v>0</v>
      </c>
    </row>
    <row r="102" spans="1:6" ht="12" customHeight="1" thickBot="1" x14ac:dyDescent="0.25">
      <c r="A102" s="237" t="s">
        <v>115</v>
      </c>
      <c r="B102" s="81" t="s">
        <v>295</v>
      </c>
      <c r="C102" s="300"/>
      <c r="D102" s="559">
        <f>'9.1.1. sz. mell. '!C102+'9.1.2. sz. mell.'!C102</f>
        <v>0</v>
      </c>
      <c r="E102" s="561">
        <f t="shared" si="4"/>
        <v>0</v>
      </c>
      <c r="F102" s="558">
        <f t="shared" si="3"/>
        <v>0</v>
      </c>
    </row>
    <row r="103" spans="1:6" ht="12" customHeight="1" thickBot="1" x14ac:dyDescent="0.25">
      <c r="A103" s="237" t="s">
        <v>116</v>
      </c>
      <c r="B103" s="82" t="s">
        <v>296</v>
      </c>
      <c r="C103" s="300"/>
      <c r="D103" s="559">
        <f>'9.1.1. sz. mell. '!C103+'9.1.2. sz. mell.'!C103</f>
        <v>0</v>
      </c>
      <c r="E103" s="561">
        <f t="shared" si="4"/>
        <v>0</v>
      </c>
      <c r="F103" s="558">
        <f t="shared" si="3"/>
        <v>0</v>
      </c>
    </row>
    <row r="104" spans="1:6" ht="12" customHeight="1" thickBot="1" x14ac:dyDescent="0.25">
      <c r="A104" s="237" t="s">
        <v>117</v>
      </c>
      <c r="B104" s="82" t="s">
        <v>297</v>
      </c>
      <c r="C104" s="300"/>
      <c r="D104" s="559">
        <f>'9.1.1. sz. mell. '!C104+'9.1.2. sz. mell.'!C104</f>
        <v>0</v>
      </c>
      <c r="E104" s="561">
        <f t="shared" si="4"/>
        <v>0</v>
      </c>
      <c r="F104" s="558">
        <f t="shared" si="3"/>
        <v>0</v>
      </c>
    </row>
    <row r="105" spans="1:6" ht="12" customHeight="1" thickBot="1" x14ac:dyDescent="0.25">
      <c r="A105" s="237" t="s">
        <v>119</v>
      </c>
      <c r="B105" s="81" t="s">
        <v>298</v>
      </c>
      <c r="C105" s="300">
        <f>660000</f>
        <v>660000</v>
      </c>
      <c r="D105" s="559">
        <f>'9.1.1. sz. mell. '!C105+'9.1.2. sz. mell.'!C105</f>
        <v>660000</v>
      </c>
      <c r="E105" s="561">
        <f t="shared" si="4"/>
        <v>0</v>
      </c>
      <c r="F105" s="558">
        <f t="shared" si="3"/>
        <v>0</v>
      </c>
    </row>
    <row r="106" spans="1:6" ht="12" customHeight="1" thickBot="1" x14ac:dyDescent="0.25">
      <c r="A106" s="237" t="s">
        <v>151</v>
      </c>
      <c r="B106" s="81" t="s">
        <v>299</v>
      </c>
      <c r="C106" s="300"/>
      <c r="D106" s="559">
        <f>'9.1.1. sz. mell. '!C106+'9.1.2. sz. mell.'!C106</f>
        <v>0</v>
      </c>
      <c r="E106" s="561">
        <f t="shared" si="4"/>
        <v>0</v>
      </c>
      <c r="F106" s="558">
        <f t="shared" si="3"/>
        <v>0</v>
      </c>
    </row>
    <row r="107" spans="1:6" ht="12" customHeight="1" thickBot="1" x14ac:dyDescent="0.25">
      <c r="A107" s="237" t="s">
        <v>293</v>
      </c>
      <c r="B107" s="82" t="s">
        <v>300</v>
      </c>
      <c r="C107" s="300"/>
      <c r="D107" s="559">
        <f>'9.1.1. sz. mell. '!C107+'9.1.2. sz. mell.'!C107</f>
        <v>0</v>
      </c>
      <c r="E107" s="561">
        <f t="shared" si="4"/>
        <v>0</v>
      </c>
      <c r="F107" s="558">
        <f t="shared" si="3"/>
        <v>0</v>
      </c>
    </row>
    <row r="108" spans="1:6" ht="12" customHeight="1" thickBot="1" x14ac:dyDescent="0.25">
      <c r="A108" s="245" t="s">
        <v>294</v>
      </c>
      <c r="B108" s="83" t="s">
        <v>301</v>
      </c>
      <c r="C108" s="300"/>
      <c r="D108" s="559">
        <f>'9.1.1. sz. mell. '!C108+'9.1.2. sz. mell.'!C108</f>
        <v>0</v>
      </c>
      <c r="E108" s="561">
        <f t="shared" si="4"/>
        <v>0</v>
      </c>
      <c r="F108" s="558">
        <f t="shared" si="3"/>
        <v>0</v>
      </c>
    </row>
    <row r="109" spans="1:6" ht="12" customHeight="1" thickBot="1" x14ac:dyDescent="0.25">
      <c r="A109" s="237" t="s">
        <v>491</v>
      </c>
      <c r="B109" s="83" t="s">
        <v>302</v>
      </c>
      <c r="C109" s="300"/>
      <c r="D109" s="559">
        <f>'9.1.1. sz. mell. '!C109+'9.1.2. sz. mell.'!C109</f>
        <v>0</v>
      </c>
      <c r="E109" s="561">
        <f t="shared" si="4"/>
        <v>0</v>
      </c>
      <c r="F109" s="558">
        <f t="shared" si="3"/>
        <v>0</v>
      </c>
    </row>
    <row r="110" spans="1:6" ht="12" customHeight="1" thickBot="1" x14ac:dyDescent="0.25">
      <c r="A110" s="237" t="s">
        <v>492</v>
      </c>
      <c r="B110" s="82" t="s">
        <v>303</v>
      </c>
      <c r="C110" s="786">
        <f>5697126+16985629+22501218+52959801+660000+49357310-660000+4500000</f>
        <v>152001084</v>
      </c>
      <c r="D110" s="559">
        <f>'9.1.1. sz. mell. '!C110+'9.1.2. sz. mell.'!C110</f>
        <v>152001084</v>
      </c>
      <c r="E110" s="561">
        <f t="shared" si="4"/>
        <v>0</v>
      </c>
      <c r="F110" s="558">
        <f t="shared" si="3"/>
        <v>0</v>
      </c>
    </row>
    <row r="111" spans="1:6" ht="12" customHeight="1" thickBot="1" x14ac:dyDescent="0.25">
      <c r="A111" s="237" t="s">
        <v>493</v>
      </c>
      <c r="B111" s="10" t="s">
        <v>55</v>
      </c>
      <c r="C111" s="141">
        <f>C112+C113</f>
        <v>56822974</v>
      </c>
      <c r="D111" s="559">
        <f>'9.1.1. sz. mell. '!C111+'9.1.2. sz. mell.'!C111</f>
        <v>56822974</v>
      </c>
      <c r="E111" s="561">
        <f t="shared" si="4"/>
        <v>0</v>
      </c>
      <c r="F111" s="558">
        <f t="shared" si="3"/>
        <v>0</v>
      </c>
    </row>
    <row r="112" spans="1:6" ht="12" customHeight="1" thickBot="1" x14ac:dyDescent="0.25">
      <c r="A112" s="238" t="s">
        <v>494</v>
      </c>
      <c r="B112" s="7" t="s">
        <v>542</v>
      </c>
      <c r="C112" s="787">
        <f>15000000-21705-8451320+266142+295985-5833975</f>
        <v>1255127</v>
      </c>
      <c r="D112" s="559">
        <f>'9.1.1. sz. mell. '!C112+'9.1.2. sz. mell.'!C112</f>
        <v>1255127</v>
      </c>
      <c r="E112" s="561">
        <f t="shared" si="4"/>
        <v>0</v>
      </c>
      <c r="F112" s="558">
        <f t="shared" si="3"/>
        <v>0</v>
      </c>
    </row>
    <row r="113" spans="1:6" ht="12" customHeight="1" thickBot="1" x14ac:dyDescent="0.25">
      <c r="A113" s="246" t="s">
        <v>496</v>
      </c>
      <c r="B113" s="84" t="s">
        <v>543</v>
      </c>
      <c r="C113" s="805">
        <f>65846522-6946019+750000-2582475-1500181</f>
        <v>55567847</v>
      </c>
      <c r="D113" s="559">
        <f>'9.1.1. sz. mell. '!C113+'9.1.2. sz. mell.'!C113</f>
        <v>55567847</v>
      </c>
      <c r="E113" s="562">
        <f t="shared" si="4"/>
        <v>0</v>
      </c>
      <c r="F113" s="558">
        <f t="shared" si="3"/>
        <v>0</v>
      </c>
    </row>
    <row r="114" spans="1:6" ht="12" customHeight="1" thickBot="1" x14ac:dyDescent="0.25">
      <c r="A114" s="31" t="s">
        <v>24</v>
      </c>
      <c r="B114" s="24" t="s">
        <v>304</v>
      </c>
      <c r="C114" s="137">
        <f>+C115+C117+C119</f>
        <v>668964272</v>
      </c>
      <c r="D114" s="559">
        <f>'9.1.1. sz. mell. '!C114+'9.1.2. sz. mell.'!C114</f>
        <v>668964272</v>
      </c>
      <c r="E114" s="559">
        <f t="shared" si="4"/>
        <v>0</v>
      </c>
      <c r="F114" s="558">
        <f t="shared" si="3"/>
        <v>0</v>
      </c>
    </row>
    <row r="115" spans="1:6" ht="12" customHeight="1" thickBot="1" x14ac:dyDescent="0.25">
      <c r="A115" s="236" t="s">
        <v>105</v>
      </c>
      <c r="B115" s="7" t="s">
        <v>168</v>
      </c>
      <c r="C115" s="796">
        <f>359410+2345001+219008101+12873483+381000+1500000+3139585+33894811+377190+2338070+4950460+275000+20930495+5189661+457200+1422400+3000+6704583+752475+4969510-1212200+797560-159000</f>
        <v>321297795</v>
      </c>
      <c r="D115" s="559">
        <f>'9.1.1. sz. mell. '!C115+'9.1.2. sz. mell.'!C115</f>
        <v>321297795</v>
      </c>
      <c r="E115" s="560">
        <f t="shared" si="4"/>
        <v>0</v>
      </c>
      <c r="F115" s="558">
        <f t="shared" si="3"/>
        <v>0</v>
      </c>
    </row>
    <row r="116" spans="1:6" ht="12" customHeight="1" thickBot="1" x14ac:dyDescent="0.25">
      <c r="A116" s="236" t="s">
        <v>106</v>
      </c>
      <c r="B116" s="11" t="s">
        <v>308</v>
      </c>
      <c r="C116" s="325">
        <f>12873483+33259811+218246101+20930495+1187993+6704583</f>
        <v>293202466</v>
      </c>
      <c r="D116" s="559">
        <f>'9.1.1. sz. mell. '!C116+'9.1.2. sz. mell.'!C116</f>
        <v>293202466</v>
      </c>
      <c r="E116" s="561">
        <f t="shared" si="4"/>
        <v>0</v>
      </c>
      <c r="F116" s="558">
        <f t="shared" si="3"/>
        <v>0</v>
      </c>
    </row>
    <row r="117" spans="1:6" ht="12" customHeight="1" thickBot="1" x14ac:dyDescent="0.25">
      <c r="A117" s="236" t="s">
        <v>107</v>
      </c>
      <c r="B117" s="11" t="s">
        <v>152</v>
      </c>
      <c r="C117" s="786">
        <f>180701362+1500000+37902555+48165993+9194292+3402201+479353</f>
        <v>281345756</v>
      </c>
      <c r="D117" s="559">
        <f>'9.1.1. sz. mell. '!C117+'9.1.2. sz. mell.'!C117</f>
        <v>281345756</v>
      </c>
      <c r="E117" s="561">
        <f t="shared" si="4"/>
        <v>0</v>
      </c>
      <c r="F117" s="558">
        <f t="shared" si="3"/>
        <v>0</v>
      </c>
    </row>
    <row r="118" spans="1:6" ht="12" customHeight="1" thickBot="1" x14ac:dyDescent="0.25">
      <c r="A118" s="236" t="s">
        <v>108</v>
      </c>
      <c r="B118" s="11" t="s">
        <v>309</v>
      </c>
      <c r="C118" s="296">
        <f>146098020+36509260+48165993</f>
        <v>230773273</v>
      </c>
      <c r="D118" s="559">
        <f>'9.1.1. sz. mell. '!C118+'9.1.2. sz. mell.'!C118</f>
        <v>230773273</v>
      </c>
      <c r="E118" s="561">
        <f t="shared" si="4"/>
        <v>0</v>
      </c>
      <c r="F118" s="558">
        <f t="shared" si="3"/>
        <v>0</v>
      </c>
    </row>
    <row r="119" spans="1:6" ht="12" customHeight="1" thickBot="1" x14ac:dyDescent="0.25">
      <c r="A119" s="236" t="s">
        <v>109</v>
      </c>
      <c r="B119" s="134" t="s">
        <v>170</v>
      </c>
      <c r="C119" s="296">
        <f>65710721+100000+510000</f>
        <v>66320721</v>
      </c>
      <c r="D119" s="559">
        <f>'9.1.1. sz. mell. '!C119+'9.1.2. sz. mell.'!C119</f>
        <v>66320721</v>
      </c>
      <c r="E119" s="561">
        <f t="shared" si="4"/>
        <v>0</v>
      </c>
      <c r="F119" s="558">
        <f t="shared" si="3"/>
        <v>0</v>
      </c>
    </row>
    <row r="120" spans="1:6" ht="12" customHeight="1" thickBot="1" x14ac:dyDescent="0.25">
      <c r="A120" s="236" t="s">
        <v>118</v>
      </c>
      <c r="B120" s="133" t="s">
        <v>371</v>
      </c>
      <c r="C120" s="296"/>
      <c r="D120" s="559">
        <f>'9.1.1. sz. mell. '!C120+'9.1.2. sz. mell.'!C120</f>
        <v>0</v>
      </c>
      <c r="E120" s="561">
        <f t="shared" si="4"/>
        <v>0</v>
      </c>
      <c r="F120" s="558">
        <f t="shared" si="3"/>
        <v>0</v>
      </c>
    </row>
    <row r="121" spans="1:6" ht="12" customHeight="1" thickBot="1" x14ac:dyDescent="0.25">
      <c r="A121" s="236" t="s">
        <v>120</v>
      </c>
      <c r="B121" s="218" t="s">
        <v>314</v>
      </c>
      <c r="C121" s="125"/>
      <c r="D121" s="559">
        <f>'9.1.1. sz. mell. '!C121+'9.1.2. sz. mell.'!C121</f>
        <v>0</v>
      </c>
      <c r="E121" s="561">
        <f t="shared" si="4"/>
        <v>0</v>
      </c>
      <c r="F121" s="558">
        <f t="shared" si="3"/>
        <v>0</v>
      </c>
    </row>
    <row r="122" spans="1:6" ht="12" customHeight="1" thickBot="1" x14ac:dyDescent="0.25">
      <c r="A122" s="236" t="s">
        <v>153</v>
      </c>
      <c r="B122" s="82" t="s">
        <v>297</v>
      </c>
      <c r="C122" s="125"/>
      <c r="D122" s="559">
        <f>'9.1.1. sz. mell. '!C122+'9.1.2. sz. mell.'!C122</f>
        <v>0</v>
      </c>
      <c r="E122" s="561">
        <f t="shared" si="4"/>
        <v>0</v>
      </c>
      <c r="F122" s="558">
        <f t="shared" si="3"/>
        <v>0</v>
      </c>
    </row>
    <row r="123" spans="1:6" ht="12" customHeight="1" thickBot="1" x14ac:dyDescent="0.25">
      <c r="A123" s="236" t="s">
        <v>154</v>
      </c>
      <c r="B123" s="82" t="s">
        <v>313</v>
      </c>
      <c r="C123" s="125"/>
      <c r="D123" s="559">
        <f>'9.1.1. sz. mell. '!C123+'9.1.2. sz. mell.'!C123</f>
        <v>0</v>
      </c>
      <c r="E123" s="561">
        <f t="shared" si="4"/>
        <v>0</v>
      </c>
      <c r="F123" s="558">
        <f t="shared" si="3"/>
        <v>0</v>
      </c>
    </row>
    <row r="124" spans="1:6" ht="12" customHeight="1" thickBot="1" x14ac:dyDescent="0.25">
      <c r="A124" s="236" t="s">
        <v>155</v>
      </c>
      <c r="B124" s="82" t="s">
        <v>312</v>
      </c>
      <c r="C124" s="125"/>
      <c r="D124" s="559">
        <f>'9.1.1. sz. mell. '!C124+'9.1.2. sz. mell.'!C124</f>
        <v>0</v>
      </c>
      <c r="E124" s="561">
        <f t="shared" si="4"/>
        <v>0</v>
      </c>
      <c r="F124" s="558">
        <f t="shared" si="3"/>
        <v>0</v>
      </c>
    </row>
    <row r="125" spans="1:6" ht="12" customHeight="1" thickBot="1" x14ac:dyDescent="0.25">
      <c r="A125" s="236" t="s">
        <v>305</v>
      </c>
      <c r="B125" s="82" t="s">
        <v>300</v>
      </c>
      <c r="C125" s="125"/>
      <c r="D125" s="559">
        <f>'9.1.1. sz. mell. '!C125+'9.1.2. sz. mell.'!C125</f>
        <v>0</v>
      </c>
      <c r="E125" s="561">
        <f t="shared" si="4"/>
        <v>0</v>
      </c>
      <c r="F125" s="558">
        <f t="shared" si="3"/>
        <v>0</v>
      </c>
    </row>
    <row r="126" spans="1:6" ht="12" customHeight="1" thickBot="1" x14ac:dyDescent="0.25">
      <c r="A126" s="236" t="s">
        <v>306</v>
      </c>
      <c r="B126" s="82" t="s">
        <v>311</v>
      </c>
      <c r="C126" s="125"/>
      <c r="D126" s="559">
        <f>'9.1.1. sz. mell. '!C126+'9.1.2. sz. mell.'!C126</f>
        <v>0</v>
      </c>
      <c r="E126" s="561">
        <f t="shared" si="4"/>
        <v>0</v>
      </c>
      <c r="F126" s="558">
        <f t="shared" si="3"/>
        <v>0</v>
      </c>
    </row>
    <row r="127" spans="1:6" ht="12" customHeight="1" thickBot="1" x14ac:dyDescent="0.25">
      <c r="A127" s="245" t="s">
        <v>307</v>
      </c>
      <c r="B127" s="82" t="s">
        <v>310</v>
      </c>
      <c r="C127" s="300">
        <f>65710721+100000+510000</f>
        <v>66320721</v>
      </c>
      <c r="D127" s="559">
        <f>'9.1.1. sz. mell. '!C127+'9.1.2. sz. mell.'!C127</f>
        <v>66320721</v>
      </c>
      <c r="E127" s="562">
        <f t="shared" si="4"/>
        <v>0</v>
      </c>
      <c r="F127" s="558">
        <f t="shared" si="3"/>
        <v>0</v>
      </c>
    </row>
    <row r="128" spans="1:6" ht="12" customHeight="1" thickBot="1" x14ac:dyDescent="0.25">
      <c r="A128" s="31" t="s">
        <v>25</v>
      </c>
      <c r="B128" s="77" t="s">
        <v>498</v>
      </c>
      <c r="C128" s="137">
        <f>+C93+C114</f>
        <v>1385321805</v>
      </c>
      <c r="D128" s="559">
        <f>'9.1.1. sz. mell. '!C128+'9.1.2. sz. mell.'!C128</f>
        <v>1385321805</v>
      </c>
      <c r="E128" s="559">
        <f t="shared" si="4"/>
        <v>0</v>
      </c>
      <c r="F128" s="558">
        <f t="shared" si="3"/>
        <v>0</v>
      </c>
    </row>
    <row r="129" spans="1:9" ht="12" customHeight="1" thickBot="1" x14ac:dyDescent="0.25">
      <c r="A129" s="31" t="s">
        <v>26</v>
      </c>
      <c r="B129" s="77" t="s">
        <v>499</v>
      </c>
      <c r="C129" s="137">
        <f>+C130+C131+C132</f>
        <v>108486704</v>
      </c>
      <c r="D129" s="559">
        <f>'9.1.1. sz. mell. '!C129+'9.1.2. sz. mell.'!C129</f>
        <v>108486704</v>
      </c>
      <c r="E129" s="559">
        <f t="shared" si="4"/>
        <v>0</v>
      </c>
      <c r="F129" s="558">
        <f t="shared" si="3"/>
        <v>0</v>
      </c>
    </row>
    <row r="130" spans="1:9" s="58" customFormat="1" ht="12" customHeight="1" thickBot="1" x14ac:dyDescent="0.25">
      <c r="A130" s="236" t="s">
        <v>205</v>
      </c>
      <c r="B130" s="8" t="s">
        <v>544</v>
      </c>
      <c r="C130" s="296">
        <f>4042704+4444000</f>
        <v>8486704</v>
      </c>
      <c r="D130" s="559">
        <f>'9.1.1. sz. mell. '!C130+'9.1.2. sz. mell.'!C130</f>
        <v>8486704</v>
      </c>
      <c r="E130" s="560">
        <f t="shared" si="4"/>
        <v>0</v>
      </c>
      <c r="F130" s="558">
        <f t="shared" si="3"/>
        <v>0</v>
      </c>
    </row>
    <row r="131" spans="1:9" ht="12" customHeight="1" thickBot="1" x14ac:dyDescent="0.25">
      <c r="A131" s="236" t="s">
        <v>208</v>
      </c>
      <c r="B131" s="8" t="s">
        <v>501</v>
      </c>
      <c r="C131" s="125">
        <v>100000000</v>
      </c>
      <c r="D131" s="559">
        <f>'9.1.1. sz. mell. '!C131+'9.1.2. sz. mell.'!C131</f>
        <v>100000000</v>
      </c>
      <c r="E131" s="561">
        <f t="shared" si="4"/>
        <v>0</v>
      </c>
      <c r="F131" s="558">
        <f t="shared" si="3"/>
        <v>0</v>
      </c>
    </row>
    <row r="132" spans="1:9" ht="12" customHeight="1" thickBot="1" x14ac:dyDescent="0.25">
      <c r="A132" s="245" t="s">
        <v>209</v>
      </c>
      <c r="B132" s="6" t="s">
        <v>545</v>
      </c>
      <c r="C132" s="125"/>
      <c r="D132" s="559">
        <f>'9.1.1. sz. mell. '!C132+'9.1.2. sz. mell.'!C132</f>
        <v>0</v>
      </c>
      <c r="E132" s="562">
        <f t="shared" si="4"/>
        <v>0</v>
      </c>
      <c r="F132" s="558">
        <f t="shared" si="3"/>
        <v>0</v>
      </c>
    </row>
    <row r="133" spans="1:9" ht="12" customHeight="1" thickBot="1" x14ac:dyDescent="0.25">
      <c r="A133" s="31" t="s">
        <v>27</v>
      </c>
      <c r="B133" s="77" t="s">
        <v>503</v>
      </c>
      <c r="C133" s="137">
        <f>+C134+C135+C136+C137+C138+C139</f>
        <v>0</v>
      </c>
      <c r="D133" s="559">
        <f>'9.1.1. sz. mell. '!C133+'9.1.2. sz. mell.'!C133</f>
        <v>0</v>
      </c>
      <c r="E133" s="559">
        <f t="shared" si="4"/>
        <v>0</v>
      </c>
      <c r="F133" s="558">
        <f t="shared" si="3"/>
        <v>0</v>
      </c>
    </row>
    <row r="134" spans="1:9" ht="12" customHeight="1" thickBot="1" x14ac:dyDescent="0.25">
      <c r="A134" s="236" t="s">
        <v>92</v>
      </c>
      <c r="B134" s="8" t="s">
        <v>504</v>
      </c>
      <c r="C134" s="125"/>
      <c r="D134" s="559">
        <f>'9.1.1. sz. mell. '!C134+'9.1.2. sz. mell.'!C134</f>
        <v>0</v>
      </c>
      <c r="E134" s="560">
        <f t="shared" si="4"/>
        <v>0</v>
      </c>
      <c r="F134" s="558">
        <f t="shared" si="3"/>
        <v>0</v>
      </c>
    </row>
    <row r="135" spans="1:9" ht="12" customHeight="1" thickBot="1" x14ac:dyDescent="0.25">
      <c r="A135" s="236" t="s">
        <v>93</v>
      </c>
      <c r="B135" s="8" t="s">
        <v>505</v>
      </c>
      <c r="C135" s="125"/>
      <c r="D135" s="559">
        <f>'9.1.1. sz. mell. '!C135+'9.1.2. sz. mell.'!C135</f>
        <v>0</v>
      </c>
      <c r="E135" s="561">
        <f t="shared" si="4"/>
        <v>0</v>
      </c>
      <c r="F135" s="558">
        <f t="shared" si="3"/>
        <v>0</v>
      </c>
    </row>
    <row r="136" spans="1:9" ht="12" customHeight="1" thickBot="1" x14ac:dyDescent="0.25">
      <c r="A136" s="236" t="s">
        <v>94</v>
      </c>
      <c r="B136" s="8" t="s">
        <v>506</v>
      </c>
      <c r="C136" s="125"/>
      <c r="D136" s="559">
        <f>'9.1.1. sz. mell. '!C136+'9.1.2. sz. mell.'!C136</f>
        <v>0</v>
      </c>
      <c r="E136" s="561">
        <f t="shared" si="4"/>
        <v>0</v>
      </c>
      <c r="F136" s="558">
        <f t="shared" si="3"/>
        <v>0</v>
      </c>
    </row>
    <row r="137" spans="1:9" ht="12" customHeight="1" thickBot="1" x14ac:dyDescent="0.25">
      <c r="A137" s="236" t="s">
        <v>140</v>
      </c>
      <c r="B137" s="8" t="s">
        <v>546</v>
      </c>
      <c r="C137" s="125"/>
      <c r="D137" s="559">
        <f>'9.1.1. sz. mell. '!C137+'9.1.2. sz. mell.'!C137</f>
        <v>0</v>
      </c>
      <c r="E137" s="561">
        <f t="shared" si="4"/>
        <v>0</v>
      </c>
      <c r="F137" s="558">
        <f t="shared" ref="F137:F158" si="5">C137-D137</f>
        <v>0</v>
      </c>
    </row>
    <row r="138" spans="1:9" ht="12" customHeight="1" thickBot="1" x14ac:dyDescent="0.25">
      <c r="A138" s="236" t="s">
        <v>141</v>
      </c>
      <c r="B138" s="8" t="s">
        <v>508</v>
      </c>
      <c r="C138" s="125"/>
      <c r="D138" s="559">
        <f>'9.1.1. sz. mell. '!C138+'9.1.2. sz. mell.'!C138</f>
        <v>0</v>
      </c>
      <c r="E138" s="561">
        <f t="shared" si="4"/>
        <v>0</v>
      </c>
      <c r="F138" s="558">
        <f t="shared" si="5"/>
        <v>0</v>
      </c>
    </row>
    <row r="139" spans="1:9" s="58" customFormat="1" ht="12" customHeight="1" thickBot="1" x14ac:dyDescent="0.25">
      <c r="A139" s="245" t="s">
        <v>142</v>
      </c>
      <c r="B139" s="6" t="s">
        <v>509</v>
      </c>
      <c r="C139" s="125"/>
      <c r="D139" s="559">
        <f>'9.1.1. sz. mell. '!C139+'9.1.2. sz. mell.'!C139</f>
        <v>0</v>
      </c>
      <c r="E139" s="562">
        <f t="shared" si="4"/>
        <v>0</v>
      </c>
      <c r="F139" s="558">
        <f t="shared" si="5"/>
        <v>0</v>
      </c>
    </row>
    <row r="140" spans="1:9" ht="12" customHeight="1" thickBot="1" x14ac:dyDescent="0.25">
      <c r="A140" s="31" t="s">
        <v>28</v>
      </c>
      <c r="B140" s="77" t="s">
        <v>547</v>
      </c>
      <c r="C140" s="142">
        <f>+C141+C142+C144+C145+C143</f>
        <v>38167591</v>
      </c>
      <c r="D140" s="559">
        <f>'9.1.1. sz. mell. '!C140+'9.1.2. sz. mell.'!C140</f>
        <v>38167591</v>
      </c>
      <c r="E140" s="559">
        <f t="shared" si="4"/>
        <v>0</v>
      </c>
      <c r="F140" s="558">
        <f t="shared" si="5"/>
        <v>0</v>
      </c>
      <c r="I140" s="124"/>
    </row>
    <row r="141" spans="1:9" ht="13.5" thickBot="1" x14ac:dyDescent="0.25">
      <c r="A141" s="236" t="s">
        <v>95</v>
      </c>
      <c r="B141" s="8" t="s">
        <v>315</v>
      </c>
      <c r="C141" s="125"/>
      <c r="D141" s="559">
        <f>'9.1.1. sz. mell. '!C141+'9.1.2. sz. mell.'!C141</f>
        <v>0</v>
      </c>
      <c r="E141" s="560">
        <f t="shared" si="4"/>
        <v>0</v>
      </c>
      <c r="F141" s="558">
        <f t="shared" si="5"/>
        <v>0</v>
      </c>
    </row>
    <row r="142" spans="1:9" ht="12" customHeight="1" thickBot="1" x14ac:dyDescent="0.25">
      <c r="A142" s="236" t="s">
        <v>96</v>
      </c>
      <c r="B142" s="8" t="s">
        <v>316</v>
      </c>
      <c r="C142" s="125">
        <v>38167591</v>
      </c>
      <c r="D142" s="559">
        <f>'9.1.1. sz. mell. '!C142+'9.1.2. sz. mell.'!C142</f>
        <v>38167591</v>
      </c>
      <c r="E142" s="561">
        <f t="shared" si="4"/>
        <v>0</v>
      </c>
      <c r="F142" s="558">
        <f t="shared" si="5"/>
        <v>0</v>
      </c>
    </row>
    <row r="143" spans="1:9" ht="12" customHeight="1" thickBot="1" x14ac:dyDescent="0.25">
      <c r="A143" s="236" t="s">
        <v>229</v>
      </c>
      <c r="B143" s="8" t="s">
        <v>548</v>
      </c>
      <c r="C143" s="125"/>
      <c r="D143" s="559">
        <f>'9.1.1. sz. mell. '!C143+'9.1.2. sz. mell.'!C143</f>
        <v>0</v>
      </c>
      <c r="E143" s="561">
        <f t="shared" si="4"/>
        <v>0</v>
      </c>
      <c r="F143" s="558">
        <f t="shared" si="5"/>
        <v>0</v>
      </c>
    </row>
    <row r="144" spans="1:9" s="58" customFormat="1" ht="12" customHeight="1" thickBot="1" x14ac:dyDescent="0.25">
      <c r="A144" s="236" t="s">
        <v>230</v>
      </c>
      <c r="B144" s="8" t="s">
        <v>511</v>
      </c>
      <c r="C144" s="125"/>
      <c r="D144" s="559">
        <f>'9.1.1. sz. mell. '!C144+'9.1.2. sz. mell.'!C144</f>
        <v>0</v>
      </c>
      <c r="E144" s="561">
        <f t="shared" si="4"/>
        <v>0</v>
      </c>
      <c r="F144" s="558">
        <f t="shared" si="5"/>
        <v>0</v>
      </c>
    </row>
    <row r="145" spans="1:6" s="58" customFormat="1" ht="12" customHeight="1" thickBot="1" x14ac:dyDescent="0.25">
      <c r="A145" s="245" t="s">
        <v>231</v>
      </c>
      <c r="B145" s="6" t="s">
        <v>334</v>
      </c>
      <c r="C145" s="125"/>
      <c r="D145" s="559">
        <f>'9.1.1. sz. mell. '!C145+'9.1.2. sz. mell.'!C145</f>
        <v>0</v>
      </c>
      <c r="E145" s="562">
        <f t="shared" si="4"/>
        <v>0</v>
      </c>
      <c r="F145" s="558">
        <f t="shared" si="5"/>
        <v>0</v>
      </c>
    </row>
    <row r="146" spans="1:6" s="58" customFormat="1" ht="12" customHeight="1" thickBot="1" x14ac:dyDescent="0.25">
      <c r="A146" s="31" t="s">
        <v>29</v>
      </c>
      <c r="B146" s="77" t="s">
        <v>512</v>
      </c>
      <c r="C146" s="145">
        <f>+C147+C148+C149+C150+C151</f>
        <v>0</v>
      </c>
      <c r="D146" s="559">
        <f>'9.1.1. sz. mell. '!C146+'9.1.2. sz. mell.'!C146</f>
        <v>0</v>
      </c>
      <c r="E146" s="559">
        <f t="shared" si="4"/>
        <v>0</v>
      </c>
      <c r="F146" s="558">
        <f t="shared" si="5"/>
        <v>0</v>
      </c>
    </row>
    <row r="147" spans="1:6" s="58" customFormat="1" ht="12" customHeight="1" thickBot="1" x14ac:dyDescent="0.25">
      <c r="A147" s="236" t="s">
        <v>97</v>
      </c>
      <c r="B147" s="8" t="s">
        <v>513</v>
      </c>
      <c r="C147" s="125"/>
      <c r="D147" s="559">
        <f>'9.1.1. sz. mell. '!C147+'9.1.2. sz. mell.'!C147</f>
        <v>0</v>
      </c>
      <c r="E147" s="560">
        <f t="shared" si="4"/>
        <v>0</v>
      </c>
      <c r="F147" s="558">
        <f t="shared" si="5"/>
        <v>0</v>
      </c>
    </row>
    <row r="148" spans="1:6" s="58" customFormat="1" ht="12" customHeight="1" thickBot="1" x14ac:dyDescent="0.25">
      <c r="A148" s="236" t="s">
        <v>98</v>
      </c>
      <c r="B148" s="8" t="s">
        <v>514</v>
      </c>
      <c r="C148" s="125"/>
      <c r="D148" s="559">
        <f>'9.1.1. sz. mell. '!C148+'9.1.2. sz. mell.'!C148</f>
        <v>0</v>
      </c>
      <c r="E148" s="561">
        <f t="shared" si="4"/>
        <v>0</v>
      </c>
      <c r="F148" s="558">
        <f t="shared" si="5"/>
        <v>0</v>
      </c>
    </row>
    <row r="149" spans="1:6" s="58" customFormat="1" ht="12" customHeight="1" thickBot="1" x14ac:dyDescent="0.25">
      <c r="A149" s="236" t="s">
        <v>241</v>
      </c>
      <c r="B149" s="8" t="s">
        <v>515</v>
      </c>
      <c r="C149" s="125"/>
      <c r="D149" s="559">
        <f>'9.1.1. sz. mell. '!C149+'9.1.2. sz. mell.'!C149</f>
        <v>0</v>
      </c>
      <c r="E149" s="561">
        <f t="shared" si="4"/>
        <v>0</v>
      </c>
      <c r="F149" s="558">
        <f t="shared" si="5"/>
        <v>0</v>
      </c>
    </row>
    <row r="150" spans="1:6" s="58" customFormat="1" ht="12" customHeight="1" thickBot="1" x14ac:dyDescent="0.25">
      <c r="A150" s="236" t="s">
        <v>242</v>
      </c>
      <c r="B150" s="8" t="s">
        <v>549</v>
      </c>
      <c r="C150" s="125"/>
      <c r="D150" s="559">
        <f>'9.1.1. sz. mell. '!C150+'9.1.2. sz. mell.'!C150</f>
        <v>0</v>
      </c>
      <c r="E150" s="561">
        <f t="shared" si="4"/>
        <v>0</v>
      </c>
      <c r="F150" s="558">
        <f t="shared" si="5"/>
        <v>0</v>
      </c>
    </row>
    <row r="151" spans="1:6" ht="12.75" customHeight="1" thickBot="1" x14ac:dyDescent="0.25">
      <c r="A151" s="245" t="s">
        <v>517</v>
      </c>
      <c r="B151" s="6" t="s">
        <v>518</v>
      </c>
      <c r="C151" s="126"/>
      <c r="D151" s="559">
        <f>'9.1.1. sz. mell. '!C151+'9.1.2. sz. mell.'!C151</f>
        <v>0</v>
      </c>
      <c r="E151" s="562">
        <f t="shared" si="4"/>
        <v>0</v>
      </c>
      <c r="F151" s="558">
        <f t="shared" si="5"/>
        <v>0</v>
      </c>
    </row>
    <row r="152" spans="1:6" ht="12.75" customHeight="1" thickBot="1" x14ac:dyDescent="0.25">
      <c r="A152" s="291" t="s">
        <v>30</v>
      </c>
      <c r="B152" s="77" t="s">
        <v>519</v>
      </c>
      <c r="C152" s="145"/>
      <c r="D152" s="559">
        <f>'9.1.1. sz. mell. '!C152+'9.1.2. sz. mell.'!C152</f>
        <v>0</v>
      </c>
      <c r="E152" s="559">
        <f t="shared" si="4"/>
        <v>0</v>
      </c>
      <c r="F152" s="558">
        <f t="shared" si="5"/>
        <v>0</v>
      </c>
    </row>
    <row r="153" spans="1:6" ht="12.75" customHeight="1" thickBot="1" x14ac:dyDescent="0.25">
      <c r="A153" s="291" t="s">
        <v>31</v>
      </c>
      <c r="B153" s="77" t="s">
        <v>520</v>
      </c>
      <c r="C153" s="145"/>
      <c r="D153" s="559">
        <f>'9.1.1. sz. mell. '!C153+'9.1.2. sz. mell.'!C153</f>
        <v>0</v>
      </c>
      <c r="E153" s="563">
        <f t="shared" si="4"/>
        <v>0</v>
      </c>
      <c r="F153" s="558">
        <f t="shared" si="5"/>
        <v>0</v>
      </c>
    </row>
    <row r="154" spans="1:6" ht="12" customHeight="1" thickBot="1" x14ac:dyDescent="0.25">
      <c r="A154" s="31" t="s">
        <v>32</v>
      </c>
      <c r="B154" s="77" t="s">
        <v>521</v>
      </c>
      <c r="C154" s="232">
        <f>+C129+C133+C140+C146+C152+C153</f>
        <v>146654295</v>
      </c>
      <c r="D154" s="559">
        <f>'9.1.1. sz. mell. '!C154+'9.1.2. sz. mell.'!C154</f>
        <v>146654295</v>
      </c>
      <c r="E154" s="559">
        <f t="shared" si="4"/>
        <v>0</v>
      </c>
      <c r="F154" s="558">
        <f t="shared" si="5"/>
        <v>0</v>
      </c>
    </row>
    <row r="155" spans="1:6" ht="15" customHeight="1" thickBot="1" x14ac:dyDescent="0.25">
      <c r="A155" s="247" t="s">
        <v>33</v>
      </c>
      <c r="B155" s="207" t="s">
        <v>522</v>
      </c>
      <c r="C155" s="232">
        <f>+C128+C154</f>
        <v>1531976100</v>
      </c>
      <c r="D155" s="559">
        <f>'9.1.1. sz. mell. '!C155+'9.1.2. sz. mell.'!C155</f>
        <v>1531976100</v>
      </c>
      <c r="E155" s="559">
        <f t="shared" si="4"/>
        <v>0</v>
      </c>
      <c r="F155" s="558">
        <f t="shared" si="5"/>
        <v>0</v>
      </c>
    </row>
    <row r="156" spans="1:6" ht="13.5" thickBot="1" x14ac:dyDescent="0.25">
      <c r="D156" s="559">
        <f>'[1]9.1.1. sz. mell. '!C156+'[1]9.1.2. sz. mell.'!C156</f>
        <v>0</v>
      </c>
      <c r="F156" s="558">
        <f t="shared" si="5"/>
        <v>0</v>
      </c>
    </row>
    <row r="157" spans="1:6" ht="15" customHeight="1" thickBot="1" x14ac:dyDescent="0.25">
      <c r="A157" s="121" t="s">
        <v>550</v>
      </c>
      <c r="B157" s="122"/>
      <c r="C157" s="76">
        <v>6</v>
      </c>
      <c r="D157" s="559">
        <f>'[1]9.1.1. sz. mell. '!C157+'[1]9.1.2. sz. mell.'!C157</f>
        <v>6</v>
      </c>
      <c r="F157" s="558">
        <f t="shared" si="5"/>
        <v>0</v>
      </c>
    </row>
    <row r="158" spans="1:6" ht="14.25" customHeight="1" thickBot="1" x14ac:dyDescent="0.25">
      <c r="A158" s="121" t="s">
        <v>164</v>
      </c>
      <c r="B158" s="122"/>
      <c r="C158" s="76"/>
      <c r="D158" s="559">
        <f>'[1]9.1.1. sz. mell. '!C158+'[1]9.1.2. sz. mell.'!C158</f>
        <v>0</v>
      </c>
      <c r="F158" s="558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17/2018.(VII.27.)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7.sz.mell.</vt:lpstr>
      <vt:lpstr>9.1. sz. mell.</vt:lpstr>
      <vt:lpstr>9.1.1. sz. mell. </vt:lpstr>
      <vt:lpstr>9.1.2. sz. mell.</vt:lpstr>
      <vt:lpstr>9.2. sz. mell. </vt:lpstr>
      <vt:lpstr>9.2.3. sz. mell.</vt:lpstr>
      <vt:lpstr>9.3. sz. mell</vt:lpstr>
      <vt:lpstr>9.3.1. sz. mell EOI</vt:lpstr>
      <vt:lpstr>9.4. sz. mell EKIK</vt:lpstr>
      <vt:lpstr>9.4.1. sz. mell EKIK</vt:lpstr>
      <vt:lpstr>9.4.2.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2018-07-27T07:15:59Z</cp:lastPrinted>
  <dcterms:created xsi:type="dcterms:W3CDTF">1999-10-30T10:30:45Z</dcterms:created>
  <dcterms:modified xsi:type="dcterms:W3CDTF">2018-07-27T07:16:59Z</dcterms:modified>
</cp:coreProperties>
</file>