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05" windowWidth="5940" windowHeight="5355" tabRatio="598" firstSheet="12" activeTab="18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 " sheetId="6" r:id="rId6"/>
    <sheet name="6.mell - átadások" sheetId="7" r:id="rId7"/>
    <sheet name="7.mell. - ellátottak jutt." sheetId="8" r:id="rId8"/>
    <sheet name="8.mell. - beruházások" sheetId="9" r:id="rId9"/>
    <sheet name="9.mell.-felújítások " sheetId="10" r:id="rId10"/>
    <sheet name="10.mell. - közgazd.mérleg" sheetId="11" r:id="rId11"/>
    <sheet name="11.mell. -ei.felh.ütemt. 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externalReferences>
    <externalReference r:id="rId22"/>
  </externalReferences>
  <definedNames>
    <definedName name="_xlnm.Print_Titles" localSheetId="2">'2.mell - bevétel'!$10:$12</definedName>
    <definedName name="_xlnm.Print_Area" localSheetId="2">'2.mell - bevétel'!$A$1:$I$124</definedName>
  </definedNames>
  <calcPr fullCalcOnLoad="1"/>
</workbook>
</file>

<file path=xl/sharedStrings.xml><?xml version="1.0" encoding="utf-8"?>
<sst xmlns="http://schemas.openxmlformats.org/spreadsheetml/2006/main" count="1203" uniqueCount="663">
  <si>
    <t>Megnevezés</t>
  </si>
  <si>
    <t>Ft</t>
  </si>
  <si>
    <t>Összesen:</t>
  </si>
  <si>
    <t>létszám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</si>
  <si>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</si>
  <si>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</si>
  <si>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</si>
  <si>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</si>
  <si>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</si>
  <si>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</si>
  <si>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</si>
  <si>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</si>
  <si>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</si>
  <si>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</si>
  <si>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</si>
  <si>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</si>
  <si>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</si>
  <si>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</si>
  <si>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</si>
  <si>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</si>
  <si>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</si>
  <si>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</si>
  <si>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</si>
  <si>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</si>
  <si>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</si>
  <si>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</si>
  <si>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</si>
  <si>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</si>
  <si>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</si>
  <si>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</si>
  <si>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</si>
  <si>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</si>
  <si>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</si>
  <si>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</si>
  <si>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</si>
  <si>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</si>
  <si>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</si>
  <si>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</si>
  <si>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</si>
  <si>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</si>
  <si>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</si>
  <si>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</si>
  <si>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</si>
  <si>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</si>
  <si>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</si>
  <si>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</si>
  <si>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</si>
  <si>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</si>
  <si>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</si>
  <si>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</si>
  <si>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</si>
  <si>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</si>
  <si>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</si>
  <si>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</si>
  <si>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</si>
  <si>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</si>
  <si>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</si>
  <si>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</si>
  <si>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</si>
  <si>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</si>
  <si>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</si>
  <si>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</si>
  <si>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</si>
  <si>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</si>
  <si>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</si>
  <si>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</si>
  <si>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</si>
  <si>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</si>
  <si>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</si>
  <si>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</si>
  <si>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</si>
  <si>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</si>
  <si>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</si>
  <si>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</si>
  <si>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</si>
  <si>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</si>
  <si>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</si>
  <si>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</si>
  <si>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</si>
  <si>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</si>
  <si>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</si>
  <si>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</si>
  <si>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</si>
  <si>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</si>
  <si>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</si>
  <si>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</si>
  <si>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</si>
  <si>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</si>
  <si>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</si>
  <si>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</si>
  <si>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</si>
  <si>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</si>
  <si>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</si>
  <si>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</si>
  <si>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</si>
  <si>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</si>
  <si>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</si>
  <si>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</si>
  <si>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</si>
  <si>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</si>
  <si>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</si>
  <si>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</si>
  <si>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</si>
  <si>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</si>
  <si>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</si>
  <si>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</si>
  <si>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</si>
  <si>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</si>
  <si>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</si>
  <si>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</si>
  <si>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</si>
  <si>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</si>
  <si>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</si>
  <si>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</si>
  <si>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</si>
  <si>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</si>
  <si>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</si>
  <si>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</si>
  <si>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</si>
  <si>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</si>
  <si>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</si>
  <si>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</si>
  <si>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</si>
  <si>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</si>
  <si>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</si>
  <si>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</si>
  <si>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</si>
  <si>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</si>
  <si>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</si>
  <si>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</si>
  <si>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</si>
  <si>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</si>
  <si>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</si>
  <si>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</si>
  <si>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</si>
  <si>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</si>
  <si>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</si>
  <si>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</si>
  <si>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</si>
  <si>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</si>
  <si>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</si>
  <si>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</si>
  <si>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</si>
  <si>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</si>
  <si>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</si>
  <si>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</si>
  <si>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</si>
  <si>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</si>
  <si>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</si>
  <si>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</si>
  <si>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</si>
  <si>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</si>
  <si>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</si>
  <si>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</si>
  <si>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</si>
  <si>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</si>
  <si>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</si>
  <si>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</si>
  <si>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</si>
  <si>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</si>
  <si>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</si>
  <si>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</si>
  <si>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</si>
  <si>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</si>
  <si>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</si>
  <si>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</si>
  <si>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</si>
  <si>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</si>
  <si>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</si>
  <si>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</si>
  <si>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</si>
  <si>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</si>
  <si>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</si>
  <si>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</si>
  <si>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</si>
  <si>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</si>
  <si>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</si>
  <si>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</si>
  <si>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</si>
  <si>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</si>
  <si>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</si>
  <si>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</si>
  <si>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</si>
  <si>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</si>
  <si>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</si>
  <si>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</si>
  <si>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</si>
  <si>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</si>
  <si>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</si>
  <si>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</si>
  <si>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</si>
  <si>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</si>
  <si>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</si>
  <si>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</si>
  <si>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</si>
  <si>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</si>
  <si>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</si>
  <si>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</si>
  <si>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</si>
  <si>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</si>
  <si>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</si>
  <si>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</si>
  <si>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</si>
  <si>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</si>
  <si>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</si>
  <si>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</si>
  <si>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</si>
  <si>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</si>
  <si>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</si>
  <si>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</si>
  <si>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</si>
  <si>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</si>
  <si>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</si>
  <si>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</si>
  <si>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</si>
  <si>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</si>
  <si>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</si>
  <si>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</si>
  <si>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</si>
  <si>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</si>
  <si>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</si>
  <si>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</si>
  <si>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</si>
  <si>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</si>
  <si>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</si>
  <si>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</si>
  <si>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</si>
  <si>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</si>
  <si>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</si>
  <si>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</si>
  <si>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</si>
  <si>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</si>
  <si>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</si>
  <si>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</si>
  <si>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</si>
  <si>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</si>
  <si>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</si>
  <si>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</si>
  <si>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</si>
  <si>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</si>
  <si>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</si>
  <si>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</si>
  <si>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</si>
  <si>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</si>
  <si>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</si>
  <si>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</si>
  <si>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</si>
  <si>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</si>
  <si>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</si>
  <si>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</si>
  <si>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</si>
  <si>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</si>
  <si>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</si>
  <si>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</si>
  <si>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</si>
  <si>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</si>
  <si>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</si>
  <si>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</si>
  <si>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</si>
  <si>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</si>
  <si>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</si>
  <si>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</si>
  <si>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</si>
  <si>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</si>
  <si>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</si>
  <si>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</si>
  <si>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</si>
  <si>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</si>
  <si>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</si>
  <si>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</si>
  <si>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</si>
  <si>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</si>
  <si>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</si>
  <si>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</si>
  <si>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</si>
  <si>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</si>
  <si>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</si>
  <si>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</si>
  <si>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</si>
  <si>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</si>
  <si>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</si>
  <si>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</si>
  <si>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</si>
  <si>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</si>
  <si>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</si>
  <si>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</si>
  <si>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</si>
  <si>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</si>
  <si>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</si>
  <si>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</si>
  <si>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</si>
  <si>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</si>
  <si>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</si>
  <si>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</si>
  <si>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</si>
  <si>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</si>
  <si>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</si>
  <si>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</si>
  <si>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</si>
  <si>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</si>
  <si>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</si>
  <si>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</si>
  <si>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</si>
  <si>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</si>
  <si>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</si>
  <si>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</si>
  <si>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</si>
  <si>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</si>
  <si>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</si>
  <si>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</si>
  <si>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</si>
  <si>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</si>
  <si>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</si>
  <si>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</si>
  <si>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</si>
  <si>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</si>
  <si>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</si>
  <si>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</si>
  <si>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</si>
  <si>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</si>
  <si>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</si>
  <si>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</si>
  <si>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</si>
  <si>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</si>
  <si>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</si>
  <si>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</si>
  <si>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</si>
  <si>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</si>
  <si>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</si>
  <si>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</si>
  <si>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</si>
  <si>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</si>
  <si>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</si>
  <si>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</si>
  <si>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</si>
  <si>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</si>
  <si>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</si>
  <si>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</si>
  <si>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</si>
  <si>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</si>
  <si>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</si>
  <si>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</si>
  <si>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</si>
  <si>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</si>
  <si>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</si>
  <si>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</si>
  <si>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</si>
  <si>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</si>
  <si>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</si>
  <si>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</si>
  <si>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</si>
  <si>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</si>
  <si>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</si>
  <si>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</si>
  <si>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</si>
  <si>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</si>
  <si>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</si>
  <si>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</si>
  <si>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</si>
  <si>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</si>
  <si>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</si>
  <si>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</si>
  <si>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</si>
  <si>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</si>
  <si>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</si>
  <si>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</si>
  <si>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</si>
  <si>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</si>
  <si>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</si>
  <si>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</si>
  <si>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</si>
  <si>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</si>
  <si>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</si>
  <si>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</si>
  <si>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</si>
  <si>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</si>
  <si>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</si>
  <si>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</si>
  <si>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</si>
  <si>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</si>
  <si>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</si>
  <si>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</si>
  <si>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</si>
  <si>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</si>
  <si>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</si>
  <si>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</si>
  <si>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</si>
  <si>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</si>
  <si>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</si>
  <si>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</si>
  <si>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</si>
  <si>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</si>
  <si>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</si>
  <si>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</si>
  <si>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</si>
  <si>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</si>
  <si>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</si>
  <si>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</si>
  <si>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</si>
  <si>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</si>
  <si>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</si>
  <si>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</si>
  <si>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</si>
  <si>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</si>
  <si>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</si>
  <si>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</si>
  <si>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</si>
  <si>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</si>
  <si>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</si>
  <si>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</si>
  <si>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</si>
  <si>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</si>
  <si>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</si>
  <si>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</si>
  <si>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</si>
  <si>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</si>
  <si>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</si>
  <si>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</si>
  <si>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</si>
  <si>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</si>
  <si>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</si>
  <si>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</si>
  <si>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</si>
  <si>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</si>
  <si>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</si>
  <si>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</si>
  <si>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</si>
  <si>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</si>
  <si>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</si>
  <si>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</si>
  <si>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</si>
  <si>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</si>
  <si>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</si>
  <si>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</si>
  <si>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</si>
  <si>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</si>
  <si>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</si>
  <si>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</si>
  <si>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</si>
  <si>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</si>
  <si>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</si>
  <si>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</si>
  <si>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</si>
  <si>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</si>
  <si>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</si>
  <si>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</si>
  <si>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</si>
  <si>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</si>
  <si>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</si>
  <si>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</si>
  <si>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2019.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</si>
  <si>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</si>
  <si>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</si>
  <si>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</si>
  <si>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</si>
  <si>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107051 Szociális étkeztetés (889921)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</si>
  <si>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</si>
  <si>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</si>
  <si>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</si>
  <si>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</si>
  <si>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</si>
  <si>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</si>
  <si>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</si>
  <si>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</si>
  <si>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</si>
  <si>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</si>
  <si>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2017. év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</si>
  <si>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</si>
  <si>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</si>
  <si>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</si>
  <si>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</si>
  <si>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</si>
  <si>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</si>
  <si>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</si>
  <si>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</si>
  <si>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</si>
  <si>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</si>
  <si>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</si>
  <si>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</si>
  <si>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</si>
  <si>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</si>
  <si>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</si>
  <si>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</si>
  <si>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</si>
  <si>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</si>
  <si>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</si>
  <si>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</si>
  <si>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2020.</t>
  </si>
  <si>
    <t>adósságkonszolidációban nem részerült település önkormányzatok támogatása 2016. évről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</si>
  <si>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</si>
  <si>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</si>
  <si>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</si>
  <si>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</si>
  <si>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</si>
  <si>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</si>
  <si>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</si>
  <si>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</si>
  <si>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</si>
  <si>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</si>
  <si>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</si>
  <si>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</si>
  <si>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</si>
  <si>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</si>
  <si>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</si>
  <si>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</si>
  <si>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</si>
  <si>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</si>
  <si>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</si>
  <si>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</si>
  <si>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</si>
  <si>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</si>
  <si>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</si>
  <si>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</si>
  <si>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</si>
  <si>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</si>
  <si>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</si>
  <si>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</si>
  <si>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</si>
  <si>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</si>
  <si>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</si>
  <si>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</si>
  <si>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</si>
  <si>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</si>
  <si>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</si>
  <si>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 xml:space="preserve">       - Általános tartalék</t>
  </si>
  <si>
    <t>3.1.6.</t>
  </si>
  <si>
    <t>2.1.</t>
  </si>
  <si>
    <t>5.1</t>
  </si>
  <si>
    <t>6.1</t>
  </si>
  <si>
    <t>Bursa Hungarica ösztöndíj pályázat  támogatása</t>
  </si>
  <si>
    <t xml:space="preserve">2018. évi </t>
  </si>
  <si>
    <t>2018. évre</t>
  </si>
  <si>
    <t>2018. év</t>
  </si>
  <si>
    <t>2018.évre</t>
  </si>
  <si>
    <t>2018.év</t>
  </si>
  <si>
    <t>(2017. december 31-i állapot szerint)</t>
  </si>
  <si>
    <t>2018. 01.01-től</t>
  </si>
  <si>
    <t>2019-2021. év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</si>
  <si>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</si>
  <si>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</si>
  <si>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</si>
  <si>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</si>
  <si>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</si>
  <si>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</si>
  <si>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</si>
  <si>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</si>
  <si>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</si>
  <si>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</si>
  <si>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</si>
  <si>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</si>
  <si>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</si>
  <si>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</si>
  <si>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</si>
  <si>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</si>
  <si>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Sághegy Leader tagdíj ( 2017. és 2018.évi)</t>
  </si>
  <si>
    <t>Nyugdíjas Klub ( 2017. évről 90.000 Ft)</t>
  </si>
  <si>
    <t>Házi segítség nyújtás ellátására Sárvár Város Önkormányzattal kötött szerződés alapján fizetendő támogatás</t>
  </si>
  <si>
    <t>2015-2018. év</t>
  </si>
  <si>
    <t>Hunyadi utca burkolat felújítása (Sitke község fejlesztési feladatainak támogatása 2017. évi pályázat)</t>
  </si>
  <si>
    <t>1.1.3.</t>
  </si>
  <si>
    <t>Vadkert utca burkolatfelújítás (Önkormányzati feladat ellátást szolgáló pályázat 2017. évi)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</si>
  <si>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</si>
  <si>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</si>
  <si>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</si>
  <si>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</si>
  <si>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</si>
  <si>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</si>
  <si>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</si>
  <si>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</si>
  <si>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</si>
  <si>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</si>
  <si>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</si>
  <si>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</si>
  <si>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</si>
  <si>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</si>
  <si>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</si>
  <si>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</si>
  <si>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</si>
  <si>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</si>
  <si>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</si>
  <si>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</si>
  <si>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</si>
  <si>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</si>
  <si>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</si>
  <si>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</si>
  <si>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</si>
  <si>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</si>
  <si>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</si>
  <si>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</si>
  <si>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</si>
  <si>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</si>
  <si>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</si>
  <si>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>2017.ÉVBEN MEGELŐLEGEZETT ÁLLAMI TÁMOGATÁS</t>
  </si>
  <si>
    <t>052080 Szennyvízcsatorna építése, fenntartása, üzemeltetése</t>
  </si>
  <si>
    <t>1.2.1.</t>
  </si>
  <si>
    <t>Szennyvíztisztítő felújítás (gördülő fejtesztési terv alapján)</t>
  </si>
  <si>
    <t xml:space="preserve"> előirányzat     (  Ft)</t>
  </si>
  <si>
    <t xml:space="preserve"> - egyéb működési célú támogatások </t>
  </si>
  <si>
    <t>előző év költségvetési maradvány igénybevétele áthúzódó feladatokra</t>
  </si>
  <si>
    <t>ELŐZŐ ÉVEK KÖLTSÉGVETÉSI MARADVÁNY IGÉNYBEVÉTELE 2017. ÉVRŐL ÁTHÚZÓDÓ FELADATOKRA</t>
  </si>
  <si>
    <t xml:space="preserve">Áht-n belüli megelőlegezések </t>
  </si>
  <si>
    <t>1.1.5.</t>
  </si>
  <si>
    <t>1. melléklet  a  2/2018. (II. 13.) önkormányzati rendelethez</t>
  </si>
  <si>
    <t>2. melléklet  a  2./2018. (II.13.) önkormányzati rendelethez</t>
  </si>
  <si>
    <t>3. melléklet  a  2/2018. (II. 13.) önkormányzati rendelethez</t>
  </si>
  <si>
    <t>4. melléklet  a  2/2018. (II.13.) önkormányzati rendelethez</t>
  </si>
  <si>
    <t>5. melléklet  a 2/2018. (II.13. ) önkormányzati rendelethez</t>
  </si>
  <si>
    <t>6. melléklet  a  2/2018. (II.13.) önkormányzati rendelethez</t>
  </si>
  <si>
    <t>7. melléklet  a  2/2018. (II.13.) önkormányzati rendelethez</t>
  </si>
  <si>
    <t>8. melléklet a 2/2018. (II. 13.) önkormányzati rendelethez</t>
  </si>
  <si>
    <t xml:space="preserve">Zrínyi-Kossuth  utca sarok árok jókarba helyezése felújítása (kistelepülési önkormányzatok alacsony összegű fejlesztseinek támogatásának felhasználása 2017.évi </t>
  </si>
  <si>
    <t>9. melléklet a 2/2018.(II.13.) sz. önkormányzati rendelethez</t>
  </si>
  <si>
    <t>10. melléklet a 2/2018. (II.13.) önkormányzati rendelethez</t>
  </si>
  <si>
    <t>11. melléklet a 2/2018. (II.13.) önkormányzati rendelethez</t>
  </si>
  <si>
    <t>12. melléklet a 2/2018. (II.13.) önkormányzati rendelethez</t>
  </si>
  <si>
    <t>13. melléklet a 2/2018. (II.13.) önkormányzati rendelethez</t>
  </si>
  <si>
    <t>14. melléklet  a  2/2018. (II.13.) önkormányzati rendelethez</t>
  </si>
  <si>
    <t>15. melléklet  a  2/2018. (II. 13.) önkormányzati rendelethez</t>
  </si>
  <si>
    <t>16. melléklet  a  2/2018. (II.13.) önkormányzati rendelethez</t>
  </si>
  <si>
    <t xml:space="preserve"> 17. melléklet a 2/2018. (II.13.) önkormányzati rendelethez </t>
  </si>
  <si>
    <t xml:space="preserve"> 18. melléklet a 2/2018.(II.13.) önkormányzati rendelethez </t>
  </si>
  <si>
    <t>Jóváhagyva: 2/2018.(II.13.) ÖR.</t>
  </si>
  <si>
    <t>Sitke Község Önkormányzta</t>
  </si>
  <si>
    <t>Sitke Község Önkormányzata saját bevételeinek, valamint az adósságot keletkeztető ügyleteiből eredő</t>
  </si>
  <si>
    <t xml:space="preserve">ELŐZŐ ÉVEK KÖLTSÉGVETÉSI MARADVÁNY IGÉNYBEVÉTELE </t>
  </si>
  <si>
    <t>Működési célú költségvetési és kiegészítő támogatás összesen:</t>
  </si>
  <si>
    <t>Szociális célú tűzifavásárlás támogatása</t>
  </si>
  <si>
    <t xml:space="preserve">2. </t>
  </si>
  <si>
    <t>2017.évi bérkompenzációs támogatás</t>
  </si>
  <si>
    <t>Működési célú költségvetési és kiegészítő támogatás</t>
  </si>
  <si>
    <t>Szent László Katolikus Ált.Iskola  támogatása ( táborozás)</t>
  </si>
  <si>
    <t>9.1</t>
  </si>
  <si>
    <t>8.1</t>
  </si>
  <si>
    <t>096025 Munkahelyi étkeztetés köznevelési int.(562920) (vendég)</t>
  </si>
  <si>
    <t>7.1</t>
  </si>
  <si>
    <t>082092 Közművelődés- Hagyományos Közösségi Kulturális értékek gondozása</t>
  </si>
  <si>
    <t>082044 Könyvtári szolgáltatások</t>
  </si>
  <si>
    <t>Kis értékű egyéb gép, berendezés, felszerelés beszerzése ( fűkasza )</t>
  </si>
  <si>
    <t>064020 Város- és községgazdálkodási egyéb szolgáltatások</t>
  </si>
  <si>
    <t>Dózsa utca közvilagítás hálózat bővítés</t>
  </si>
  <si>
    <t>064010 Közvilágítás</t>
  </si>
  <si>
    <t>Kis értékű egyéb gép, berendezés, felszerelés beszerzése ( bojler)</t>
  </si>
  <si>
    <t xml:space="preserve"> 013350 Önkormányzati vagyonnal való gazdálkodással kapcsolatok feladatok</t>
  </si>
  <si>
    <t>Vadkert utca burkolatfelújítás (Önkormányzati feladat ellátást szolgáló pályázat 2017. évi) önrész ás saját erő felhasználása</t>
  </si>
  <si>
    <t>7/2018. (IX.24.) ÖR.</t>
  </si>
  <si>
    <t>Módosította: 6/2018. (V.29.) ÖR.</t>
  </si>
  <si>
    <t>Közfoglalkoztatottak támogatása (Önkormányzat)</t>
  </si>
  <si>
    <t>Közfoglalkoztatottak támogatása ( Konyha)</t>
  </si>
  <si>
    <t>Vis major támogatás</t>
  </si>
  <si>
    <t xml:space="preserve">FELHALMOZÁSI CÉLÚ TÁMOGATÁSOK ÁLLAMHÁZTARTÁSON BELÜLRŐL ÖSSZESEN: </t>
  </si>
  <si>
    <t>Esküvők bevétele</t>
  </si>
  <si>
    <t>Hosszabb idejű közfoglalkoztatás</t>
  </si>
  <si>
    <t>Hosszabb időtartamú lözfoglalkoztatás</t>
  </si>
  <si>
    <t>31.</t>
  </si>
  <si>
    <t>2017. évi állami támogatások elszámolás utáni visszafizetési kötelezettség</t>
  </si>
  <si>
    <t xml:space="preserve">Sitke Község Önkormányzata   </t>
  </si>
  <si>
    <t>Első lakáshoz jutók lakásépítésének és -vásárlásnak viszzatérítendő támogatása        ( kamatmentes kölcsön)</t>
  </si>
  <si>
    <t>Egyéb informatikaieszközbeszerzés</t>
  </si>
  <si>
    <t>Dózsa György, Bassiana utcában út helyreállítás, valamint Bassiana utcában ár- belvízvédelmi vízi létesítmány helyreállítása ( Vis major pályzat)</t>
  </si>
  <si>
    <t>1.1.6.</t>
  </si>
  <si>
    <t>Dózsa György, Bassiana utcában út helyreállítás, valamint Bassiana utcában ár- belvízvédelmi vízi létesítmány helyreállítása ( Vis major pályzat önrész)</t>
  </si>
  <si>
    <t>1.1.7.</t>
  </si>
  <si>
    <t>Felhelmozási célú támogatások államháztatrtáson belülről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</si>
</sst>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87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>
      <alignment horizontal="left" wrapText="1"/>
      <protection/>
    </xf>
    <xf numFmtId="0" fontId="11" fillId="0" borderId="27" xfId="60" applyFont="1" applyBorder="1" applyAlignment="1" quotePrefix="1">
      <alignment horizontal="center" vertical="center" wrapText="1"/>
      <protection/>
    </xf>
    <xf numFmtId="0" fontId="11" fillId="0" borderId="28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1" applyFont="1" applyAlignment="1">
      <alignment horizontal="center"/>
      <protection/>
    </xf>
    <xf numFmtId="0" fontId="11" fillId="0" borderId="29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9" xfId="58" applyFont="1" applyBorder="1" applyAlignment="1">
      <alignment horizontal="right"/>
      <protection/>
    </xf>
    <xf numFmtId="0" fontId="12" fillId="0" borderId="29" xfId="58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6" fillId="0" borderId="30" xfId="58" applyFont="1" applyBorder="1" applyAlignment="1">
      <alignment horizontal="right"/>
      <protection/>
    </xf>
    <xf numFmtId="0" fontId="6" fillId="0" borderId="3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0" fontId="23" fillId="0" borderId="30" xfId="58" applyFont="1" applyBorder="1" applyAlignment="1">
      <alignment horizontal="center"/>
      <protection/>
    </xf>
    <xf numFmtId="0" fontId="7" fillId="0" borderId="30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5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30" xfId="0" applyFont="1" applyBorder="1" applyAlignment="1">
      <alignment/>
    </xf>
    <xf numFmtId="0" fontId="10" fillId="0" borderId="30" xfId="60" applyFont="1" applyBorder="1">
      <alignment/>
      <protection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right"/>
      <protection/>
    </xf>
    <xf numFmtId="0" fontId="12" fillId="0" borderId="0" xfId="61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0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1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2" fillId="0" borderId="35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7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2" fillId="0" borderId="0" xfId="57" applyFont="1" applyBorder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58" applyFont="1" applyBorder="1" applyAlignment="1">
      <alignment horizontal="center"/>
      <protection/>
    </xf>
    <xf numFmtId="168" fontId="12" fillId="0" borderId="0" xfId="61" applyNumberFormat="1" applyFont="1" applyBorder="1" applyAlignment="1">
      <alignment horizontal="right"/>
      <protection/>
    </xf>
    <xf numFmtId="168" fontId="12" fillId="0" borderId="35" xfId="61" applyNumberFormat="1" applyFont="1" applyBorder="1" applyAlignment="1">
      <alignment horizontal="right"/>
      <protection/>
    </xf>
    <xf numFmtId="168" fontId="12" fillId="0" borderId="0" xfId="61" applyNumberFormat="1" applyFont="1" applyBorder="1" applyAlignment="1">
      <alignment horizontal="center"/>
      <protection/>
    </xf>
    <xf numFmtId="168" fontId="12" fillId="0" borderId="35" xfId="61" applyNumberFormat="1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8" applyNumberFormat="1" applyFont="1" applyAlignment="1">
      <alignment horizontal="right"/>
      <protection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22" fillId="0" borderId="29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22" fillId="0" borderId="41" xfId="60" applyNumberFormat="1" applyFont="1" applyBorder="1">
      <alignment/>
      <protection/>
    </xf>
    <xf numFmtId="3" fontId="11" fillId="0" borderId="41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0" fillId="0" borderId="34" xfId="60" applyNumberFormat="1" applyFont="1" applyBorder="1" applyAlignment="1">
      <alignment horizontal="right"/>
      <protection/>
    </xf>
    <xf numFmtId="3" fontId="10" fillId="0" borderId="43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4" xfId="61" applyFont="1" applyBorder="1">
      <alignment/>
      <protection/>
    </xf>
    <xf numFmtId="0" fontId="6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0" xfId="58" applyFont="1" applyBorder="1">
      <alignment/>
      <protection/>
    </xf>
    <xf numFmtId="0" fontId="12" fillId="0" borderId="0" xfId="0" applyFont="1" applyAlignment="1">
      <alignment vertical="top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2" xfId="60" applyFont="1" applyBorder="1" applyAlignment="1">
      <alignment horizontal="right"/>
      <protection/>
    </xf>
    <xf numFmtId="0" fontId="10" fillId="0" borderId="34" xfId="61" applyFont="1" applyBorder="1">
      <alignment/>
      <protection/>
    </xf>
    <xf numFmtId="168" fontId="4" fillId="0" borderId="45" xfId="60" applyNumberFormat="1" applyFont="1" applyBorder="1" applyAlignment="1">
      <alignment/>
      <protection/>
    </xf>
    <xf numFmtId="168" fontId="4" fillId="0" borderId="45" xfId="60" applyNumberFormat="1" applyFont="1" applyBorder="1" applyAlignment="1">
      <alignment horizontal="right"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 applyAlignment="1">
      <alignment/>
      <protection/>
    </xf>
    <xf numFmtId="0" fontId="6" fillId="0" borderId="30" xfId="59" applyFont="1" applyBorder="1" applyAlignment="1">
      <alignment vertical="center"/>
      <protection/>
    </xf>
    <xf numFmtId="168" fontId="6" fillId="0" borderId="30" xfId="59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60" applyFont="1">
      <alignment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 quotePrefix="1">
      <alignment horizontal="left" wrapText="1"/>
      <protection/>
    </xf>
    <xf numFmtId="0" fontId="12" fillId="0" borderId="0" xfId="60" applyFont="1" applyBorder="1" applyAlignment="1" quotePrefix="1">
      <alignment horizontal="left" wrapText="1"/>
      <protection/>
    </xf>
    <xf numFmtId="0" fontId="14" fillId="0" borderId="0" xfId="61" applyFont="1" applyBorder="1" quotePrefix="1">
      <alignment/>
      <protection/>
    </xf>
    <xf numFmtId="0" fontId="11" fillId="0" borderId="46" xfId="60" applyFont="1" applyBorder="1" applyAlignment="1" quotePrefix="1">
      <alignment horizontal="center" vertical="center" wrapText="1"/>
      <protection/>
    </xf>
    <xf numFmtId="0" fontId="10" fillId="0" borderId="44" xfId="60" applyFont="1" applyBorder="1">
      <alignment/>
      <protection/>
    </xf>
    <xf numFmtId="0" fontId="11" fillId="0" borderId="29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7" fillId="0" borderId="0" xfId="60" applyNumberFormat="1" applyFont="1">
      <alignment/>
      <protection/>
    </xf>
    <xf numFmtId="49" fontId="12" fillId="0" borderId="0" xfId="61" applyNumberFormat="1" applyFont="1">
      <alignment/>
      <protection/>
    </xf>
    <xf numFmtId="4" fontId="11" fillId="0" borderId="43" xfId="61" applyNumberFormat="1" applyFont="1" applyBorder="1">
      <alignment/>
      <protection/>
    </xf>
    <xf numFmtId="4" fontId="11" fillId="0" borderId="22" xfId="61" applyNumberFormat="1" applyFont="1" applyBorder="1">
      <alignment/>
      <protection/>
    </xf>
    <xf numFmtId="4" fontId="11" fillId="0" borderId="47" xfId="61" applyNumberFormat="1" applyFont="1" applyBorder="1">
      <alignment/>
      <protection/>
    </xf>
    <xf numFmtId="4" fontId="11" fillId="0" borderId="29" xfId="61" applyNumberFormat="1" applyFont="1" applyBorder="1">
      <alignment/>
      <protection/>
    </xf>
    <xf numFmtId="4" fontId="11" fillId="0" borderId="41" xfId="61" applyNumberFormat="1" applyFont="1" applyBorder="1">
      <alignment/>
      <protection/>
    </xf>
    <xf numFmtId="4" fontId="10" fillId="0" borderId="30" xfId="61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9" xfId="0" applyFont="1" applyBorder="1" applyAlignment="1">
      <alignment horizontal="center"/>
    </xf>
    <xf numFmtId="3" fontId="71" fillId="0" borderId="0" xfId="58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45" xfId="60" applyNumberFormat="1" applyFont="1" applyBorder="1" applyAlignment="1">
      <alignment horizontal="right"/>
      <protection/>
    </xf>
    <xf numFmtId="3" fontId="10" fillId="0" borderId="29" xfId="60" applyNumberFormat="1" applyFont="1" applyBorder="1" applyAlignment="1">
      <alignment horizontal="right"/>
      <protection/>
    </xf>
    <xf numFmtId="3" fontId="10" fillId="0" borderId="22" xfId="60" applyNumberFormat="1" applyFont="1" applyBorder="1" applyAlignment="1">
      <alignment horizontal="right"/>
      <protection/>
    </xf>
    <xf numFmtId="0" fontId="11" fillId="0" borderId="32" xfId="61" applyFont="1" applyBorder="1">
      <alignment/>
      <protection/>
    </xf>
    <xf numFmtId="0" fontId="11" fillId="0" borderId="31" xfId="61" applyFont="1" applyBorder="1">
      <alignment/>
      <protection/>
    </xf>
    <xf numFmtId="3" fontId="10" fillId="0" borderId="21" xfId="60" applyNumberFormat="1" applyFont="1" applyBorder="1" applyAlignment="1">
      <alignment horizontal="right"/>
      <protection/>
    </xf>
    <xf numFmtId="3" fontId="11" fillId="0" borderId="48" xfId="60" applyNumberFormat="1" applyFont="1" applyBorder="1" applyAlignment="1">
      <alignment horizontal="right"/>
      <protection/>
    </xf>
    <xf numFmtId="3" fontId="11" fillId="0" borderId="32" xfId="60" applyNumberFormat="1" applyFont="1" applyBorder="1" applyAlignment="1">
      <alignment horizontal="right"/>
      <protection/>
    </xf>
    <xf numFmtId="3" fontId="22" fillId="0" borderId="32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2" fillId="0" borderId="47" xfId="60" applyNumberFormat="1" applyFont="1" applyBorder="1">
      <alignment/>
      <protection/>
    </xf>
    <xf numFmtId="3" fontId="11" fillId="0" borderId="47" xfId="60" applyNumberFormat="1" applyFont="1" applyBorder="1">
      <alignment/>
      <protection/>
    </xf>
    <xf numFmtId="3" fontId="11" fillId="0" borderId="49" xfId="60" applyNumberFormat="1" applyFont="1" applyBorder="1">
      <alignment/>
      <protection/>
    </xf>
    <xf numFmtId="4" fontId="11" fillId="0" borderId="32" xfId="61" applyNumberFormat="1" applyFont="1" applyBorder="1">
      <alignment/>
      <protection/>
    </xf>
    <xf numFmtId="0" fontId="4" fillId="0" borderId="30" xfId="61" applyFont="1" applyBorder="1">
      <alignment/>
      <protection/>
    </xf>
    <xf numFmtId="0" fontId="7" fillId="0" borderId="29" xfId="61" applyFont="1" applyBorder="1">
      <alignment/>
      <protection/>
    </xf>
    <xf numFmtId="0" fontId="7" fillId="0" borderId="30" xfId="61" applyFont="1" applyBorder="1">
      <alignment/>
      <protection/>
    </xf>
    <xf numFmtId="0" fontId="10" fillId="0" borderId="30" xfId="61" applyFont="1" applyBorder="1">
      <alignment/>
      <protection/>
    </xf>
    <xf numFmtId="0" fontId="6" fillId="0" borderId="30" xfId="61" applyFont="1" applyBorder="1">
      <alignment/>
      <protection/>
    </xf>
    <xf numFmtId="0" fontId="10" fillId="0" borderId="0" xfId="60" applyFont="1" applyBorder="1">
      <alignment/>
      <protection/>
    </xf>
    <xf numFmtId="3" fontId="10" fillId="0" borderId="0" xfId="60" applyNumberFormat="1" applyFont="1" applyBorder="1" applyAlignment="1">
      <alignment horizontal="right"/>
      <protection/>
    </xf>
    <xf numFmtId="4" fontId="10" fillId="0" borderId="0" xfId="61" applyNumberFormat="1" applyFont="1" applyBorder="1">
      <alignment/>
      <protection/>
    </xf>
    <xf numFmtId="3" fontId="10" fillId="0" borderId="30" xfId="61" applyNumberFormat="1" applyFont="1" applyBorder="1">
      <alignment/>
      <protection/>
    </xf>
    <xf numFmtId="3" fontId="4" fillId="0" borderId="0" xfId="61" applyNumberFormat="1" applyFont="1">
      <alignment/>
      <protection/>
    </xf>
    <xf numFmtId="0" fontId="4" fillId="0" borderId="50" xfId="0" applyFont="1" applyBorder="1" applyAlignment="1">
      <alignment/>
    </xf>
    <xf numFmtId="0" fontId="11" fillId="0" borderId="51" xfId="61" applyFont="1" applyBorder="1">
      <alignment/>
      <protection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52" xfId="0" applyFont="1" applyBorder="1" applyAlignment="1">
      <alignment/>
    </xf>
    <xf numFmtId="168" fontId="7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3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3" fontId="12" fillId="32" borderId="0" xfId="58" applyNumberFormat="1" applyFont="1" applyFill="1" applyAlignment="1">
      <alignment horizontal="right"/>
      <protection/>
    </xf>
    <xf numFmtId="0" fontId="7" fillId="0" borderId="30" xfId="0" applyFont="1" applyBorder="1" applyAlignment="1">
      <alignment/>
    </xf>
    <xf numFmtId="4" fontId="10" fillId="0" borderId="30" xfId="61" applyNumberFormat="1" applyFont="1" applyBorder="1">
      <alignment/>
      <protection/>
    </xf>
    <xf numFmtId="0" fontId="22" fillId="0" borderId="0" xfId="0" applyFont="1" applyAlignment="1">
      <alignment horizontal="right"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 wrapText="1"/>
    </xf>
    <xf numFmtId="3" fontId="18" fillId="0" borderId="0" xfId="58" applyNumberFormat="1" applyFont="1" applyAlignment="1">
      <alignment horizontal="right"/>
      <protection/>
    </xf>
    <xf numFmtId="3" fontId="18" fillId="0" borderId="0" xfId="42" applyNumberFormat="1" applyFont="1" applyAlignment="1">
      <alignment horizontal="right"/>
    </xf>
    <xf numFmtId="3" fontId="18" fillId="0" borderId="0" xfId="42" applyNumberFormat="1" applyFont="1" applyAlignment="1">
      <alignment horizontal="right" wrapText="1"/>
    </xf>
    <xf numFmtId="168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49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168" fontId="4" fillId="0" borderId="42" xfId="42" applyNumberFormat="1" applyFont="1" applyBorder="1" applyAlignment="1">
      <alignment/>
    </xf>
    <xf numFmtId="168" fontId="4" fillId="0" borderId="29" xfId="42" applyNumberFormat="1" applyFont="1" applyBorder="1" applyAlignment="1">
      <alignment/>
    </xf>
    <xf numFmtId="168" fontId="4" fillId="0" borderId="53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4" fillId="0" borderId="54" xfId="42" applyNumberFormat="1" applyFont="1" applyBorder="1" applyAlignment="1">
      <alignment/>
    </xf>
    <xf numFmtId="168" fontId="10" fillId="0" borderId="30" xfId="42" applyNumberFormat="1" applyFont="1" applyBorder="1" applyAlignment="1">
      <alignment/>
    </xf>
    <xf numFmtId="168" fontId="23" fillId="0" borderId="55" xfId="42" applyNumberFormat="1" applyFont="1" applyBorder="1" applyAlignment="1">
      <alignment horizontal="center" vertical="center"/>
    </xf>
    <xf numFmtId="168" fontId="23" fillId="0" borderId="11" xfId="42" applyNumberFormat="1" applyFont="1" applyBorder="1" applyAlignment="1">
      <alignment horizontal="center" vertical="center" wrapText="1"/>
    </xf>
    <xf numFmtId="168" fontId="23" fillId="0" borderId="11" xfId="42" applyNumberFormat="1" applyFont="1" applyBorder="1" applyAlignment="1">
      <alignment horizontal="center" vertic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0" fontId="7" fillId="0" borderId="32" xfId="61" applyFont="1" applyBorder="1">
      <alignment/>
      <protection/>
    </xf>
    <xf numFmtId="168" fontId="4" fillId="0" borderId="48" xfId="42" applyNumberFormat="1" applyFont="1" applyBorder="1" applyAlignment="1">
      <alignment/>
    </xf>
    <xf numFmtId="168" fontId="7" fillId="0" borderId="50" xfId="42" applyNumberFormat="1" applyFont="1" applyBorder="1" applyAlignment="1">
      <alignment/>
    </xf>
    <xf numFmtId="168" fontId="4" fillId="0" borderId="45" xfId="42" applyNumberFormat="1" applyFont="1" applyBorder="1" applyAlignment="1">
      <alignment/>
    </xf>
    <xf numFmtId="168" fontId="7" fillId="0" borderId="27" xfId="42" applyNumberFormat="1" applyFont="1" applyBorder="1" applyAlignment="1">
      <alignment/>
    </xf>
    <xf numFmtId="168" fontId="10" fillId="0" borderId="52" xfId="42" applyNumberFormat="1" applyFont="1" applyBorder="1" applyAlignment="1">
      <alignment/>
    </xf>
    <xf numFmtId="168" fontId="4" fillId="0" borderId="56" xfId="42" applyNumberFormat="1" applyFont="1" applyBorder="1" applyAlignment="1">
      <alignment/>
    </xf>
    <xf numFmtId="168" fontId="7" fillId="0" borderId="40" xfId="42" applyNumberFormat="1" applyFont="1" applyBorder="1" applyAlignment="1">
      <alignment/>
    </xf>
    <xf numFmtId="168" fontId="4" fillId="0" borderId="57" xfId="42" applyNumberFormat="1" applyFont="1" applyBorder="1" applyAlignment="1">
      <alignment/>
    </xf>
    <xf numFmtId="168" fontId="4" fillId="0" borderId="58" xfId="42" applyNumberFormat="1" applyFont="1" applyBorder="1" applyAlignment="1">
      <alignment/>
    </xf>
    <xf numFmtId="168" fontId="7" fillId="0" borderId="59" xfId="42" applyNumberFormat="1" applyFont="1" applyBorder="1" applyAlignment="1">
      <alignment/>
    </xf>
    <xf numFmtId="0" fontId="11" fillId="0" borderId="60" xfId="60" applyFont="1" applyBorder="1" applyAlignment="1">
      <alignment horizontal="left" wrapText="1"/>
      <protection/>
    </xf>
    <xf numFmtId="0" fontId="4" fillId="0" borderId="59" xfId="0" applyFont="1" applyBorder="1" applyAlignment="1">
      <alignment/>
    </xf>
    <xf numFmtId="168" fontId="10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0" fontId="12" fillId="0" borderId="0" xfId="60" applyFont="1" applyBorder="1" applyAlignment="1">
      <alignment horizontal="center"/>
      <protection/>
    </xf>
    <xf numFmtId="168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168" fontId="6" fillId="0" borderId="0" xfId="42" applyNumberFormat="1" applyFont="1" applyBorder="1" applyAlignment="1">
      <alignment horizontal="right"/>
    </xf>
    <xf numFmtId="16" fontId="12" fillId="0" borderId="0" xfId="61" applyNumberFormat="1" applyFont="1" quotePrefix="1">
      <alignment/>
      <protection/>
    </xf>
    <xf numFmtId="168" fontId="12" fillId="0" borderId="35" xfId="42" applyNumberFormat="1" applyFont="1" applyBorder="1" applyAlignment="1">
      <alignment horizontal="right"/>
    </xf>
    <xf numFmtId="168" fontId="12" fillId="0" borderId="0" xfId="42" applyNumberFormat="1" applyFont="1" applyBorder="1" applyAlignment="1">
      <alignment horizontal="right"/>
    </xf>
    <xf numFmtId="168" fontId="12" fillId="0" borderId="0" xfId="42" applyNumberFormat="1" applyFont="1" applyAlignment="1">
      <alignment/>
    </xf>
    <xf numFmtId="168" fontId="6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0" fontId="6" fillId="0" borderId="0" xfId="58" applyFont="1" applyBorder="1" applyAlignment="1">
      <alignment/>
      <protection/>
    </xf>
    <xf numFmtId="0" fontId="6" fillId="0" borderId="0" xfId="58" applyFont="1" applyBorder="1" applyAlignment="1">
      <alignment horizontal="right"/>
      <protection/>
    </xf>
    <xf numFmtId="168" fontId="12" fillId="0" borderId="0" xfId="42" applyNumberFormat="1" applyFont="1" applyAlignment="1">
      <alignment horizontal="right"/>
    </xf>
    <xf numFmtId="168" fontId="12" fillId="0" borderId="0" xfId="42" applyNumberFormat="1" applyFont="1" applyBorder="1" applyAlignment="1">
      <alignment/>
    </xf>
    <xf numFmtId="168" fontId="18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8" fontId="12" fillId="0" borderId="61" xfId="42" applyNumberFormat="1" applyFont="1" applyBorder="1" applyAlignment="1">
      <alignment/>
    </xf>
    <xf numFmtId="168" fontId="12" fillId="0" borderId="62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63" xfId="42" applyNumberFormat="1" applyFont="1" applyBorder="1" applyAlignment="1">
      <alignment/>
    </xf>
    <xf numFmtId="168" fontId="12" fillId="0" borderId="42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64" xfId="42" applyNumberFormat="1" applyFont="1" applyBorder="1" applyAlignment="1">
      <alignment/>
    </xf>
    <xf numFmtId="168" fontId="12" fillId="0" borderId="29" xfId="42" applyNumberFormat="1" applyFont="1" applyFill="1" applyBorder="1" applyAlignment="1">
      <alignment/>
    </xf>
    <xf numFmtId="168" fontId="12" fillId="0" borderId="41" xfId="42" applyNumberFormat="1" applyFont="1" applyFill="1" applyBorder="1" applyAlignment="1">
      <alignment/>
    </xf>
    <xf numFmtId="168" fontId="28" fillId="0" borderId="41" xfId="42" applyNumberFormat="1" applyFont="1" applyFill="1" applyBorder="1" applyAlignment="1">
      <alignment/>
    </xf>
    <xf numFmtId="168" fontId="28" fillId="0" borderId="29" xfId="42" applyNumberFormat="1" applyFont="1" applyFill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65" xfId="42" applyNumberFormat="1" applyFont="1" applyBorder="1" applyAlignment="1">
      <alignment/>
    </xf>
    <xf numFmtId="168" fontId="12" fillId="0" borderId="66" xfId="42" applyNumberFormat="1" applyFont="1" applyBorder="1" applyAlignment="1">
      <alignment/>
    </xf>
    <xf numFmtId="168" fontId="12" fillId="0" borderId="67" xfId="42" applyNumberFormat="1" applyFont="1" applyBorder="1" applyAlignment="1">
      <alignment/>
    </xf>
    <xf numFmtId="168" fontId="12" fillId="0" borderId="68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69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70" xfId="42" applyNumberFormat="1" applyFont="1" applyBorder="1" applyAlignment="1">
      <alignment/>
    </xf>
    <xf numFmtId="168" fontId="12" fillId="0" borderId="71" xfId="42" applyNumberFormat="1" applyFont="1" applyBorder="1" applyAlignment="1">
      <alignment/>
    </xf>
    <xf numFmtId="168" fontId="6" fillId="0" borderId="71" xfId="42" applyNumberFormat="1" applyFont="1" applyBorder="1" applyAlignment="1">
      <alignment/>
    </xf>
    <xf numFmtId="168" fontId="6" fillId="0" borderId="70" xfId="42" applyNumberFormat="1" applyFont="1" applyBorder="1" applyAlignment="1">
      <alignment/>
    </xf>
    <xf numFmtId="168" fontId="6" fillId="0" borderId="72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12" fillId="0" borderId="0" xfId="58" applyFont="1" applyAlignment="1">
      <alignment horizontal="left" wrapText="1"/>
      <protection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6" xfId="58" applyFont="1" applyBorder="1" applyAlignment="1">
      <alignment horizontal="center" vertical="center"/>
      <protection/>
    </xf>
    <xf numFmtId="0" fontId="6" fillId="0" borderId="55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73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74" xfId="58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73" xfId="60" applyFont="1" applyBorder="1" applyAlignment="1">
      <alignment horizontal="center" vertical="center" wrapText="1"/>
      <protection/>
    </xf>
    <xf numFmtId="0" fontId="11" fillId="0" borderId="74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44" xfId="42" applyNumberFormat="1" applyFont="1" applyBorder="1" applyAlignment="1">
      <alignment horizontal="center" vertical="center"/>
    </xf>
    <xf numFmtId="168" fontId="23" fillId="0" borderId="52" xfId="42" applyNumberFormat="1" applyFont="1" applyBorder="1" applyAlignment="1">
      <alignment horizontal="center" vertical="center"/>
    </xf>
    <xf numFmtId="168" fontId="23" fillId="0" borderId="10" xfId="42" applyNumberFormat="1" applyFont="1" applyBorder="1" applyAlignment="1">
      <alignment horizontal="center" vertical="center"/>
    </xf>
    <xf numFmtId="168" fontId="23" fillId="0" borderId="36" xfId="42" applyNumberFormat="1" applyFont="1" applyBorder="1" applyAlignment="1">
      <alignment horizontal="center" vertical="center"/>
    </xf>
    <xf numFmtId="168" fontId="23" fillId="0" borderId="55" xfId="42" applyNumberFormat="1" applyFont="1" applyBorder="1" applyAlignment="1">
      <alignment horizontal="center" vertical="center"/>
    </xf>
    <xf numFmtId="168" fontId="23" fillId="0" borderId="14" xfId="42" applyNumberFormat="1" applyFont="1" applyBorder="1" applyAlignment="1">
      <alignment horizontal="center" vertical="center"/>
    </xf>
    <xf numFmtId="168" fontId="23" fillId="0" borderId="16" xfId="42" applyNumberFormat="1" applyFont="1" applyBorder="1" applyAlignment="1">
      <alignment horizontal="center" vertical="center"/>
    </xf>
    <xf numFmtId="168" fontId="23" fillId="0" borderId="74" xfId="42" applyNumberFormat="1" applyFont="1" applyBorder="1" applyAlignment="1">
      <alignment horizontal="center" vertical="center"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73" xfId="60" applyFont="1" applyBorder="1" applyAlignment="1">
      <alignment horizontal="center" vertical="center" wrapText="1"/>
      <protection/>
    </xf>
    <xf numFmtId="0" fontId="11" fillId="0" borderId="74" xfId="60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11" fillId="0" borderId="22" xfId="58" applyFont="1" applyBorder="1" applyAlignment="1">
      <alignment horizontal="center" vertical="center" textRotation="180"/>
      <protection/>
    </xf>
    <xf numFmtId="0" fontId="7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1" fillId="0" borderId="16" xfId="61" applyFont="1" applyBorder="1" applyAlignment="1">
      <alignment horizontal="right"/>
      <protection/>
    </xf>
    <xf numFmtId="0" fontId="7" fillId="0" borderId="34" xfId="58" applyFont="1" applyBorder="1" applyAlignment="1">
      <alignment horizontal="center"/>
      <protection/>
    </xf>
    <xf numFmtId="0" fontId="7" fillId="0" borderId="52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44" xfId="58" applyFont="1" applyBorder="1" applyAlignment="1">
      <alignment horizontal="center"/>
      <protection/>
    </xf>
    <xf numFmtId="0" fontId="11" fillId="0" borderId="52" xfId="58" applyFont="1" applyBorder="1" applyAlignment="1">
      <alignment horizontal="center"/>
      <protection/>
    </xf>
    <xf numFmtId="44" fontId="11" fillId="0" borderId="34" xfId="65" applyFont="1" applyBorder="1" applyAlignment="1">
      <alignment horizontal="center" vertical="center"/>
    </xf>
    <xf numFmtId="44" fontId="11" fillId="0" borderId="44" xfId="65" applyFont="1" applyBorder="1" applyAlignment="1">
      <alignment horizontal="center" vertical="center"/>
    </xf>
    <xf numFmtId="44" fontId="11" fillId="0" borderId="52" xfId="65" applyFont="1" applyBorder="1" applyAlignment="1">
      <alignment horizontal="center" vertical="center"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52" xfId="58" applyFont="1" applyBorder="1" applyAlignment="1">
      <alignment horizontal="center" vertical="center" wrapText="1"/>
      <protection/>
    </xf>
    <xf numFmtId="0" fontId="26" fillId="0" borderId="11" xfId="58" applyFont="1" applyBorder="1" applyAlignment="1">
      <alignment horizontal="center" vertical="center" wrapText="1"/>
      <protection/>
    </xf>
    <xf numFmtId="0" fontId="26" fillId="0" borderId="13" xfId="58" applyFont="1" applyBorder="1" applyAlignment="1">
      <alignment horizontal="center" vertical="center" wrapText="1"/>
      <protection/>
    </xf>
    <xf numFmtId="0" fontId="26" fillId="0" borderId="15" xfId="58" applyFont="1" applyBorder="1" applyAlignment="1">
      <alignment horizontal="center" vertical="center" wrapText="1"/>
      <protection/>
    </xf>
    <xf numFmtId="0" fontId="7" fillId="0" borderId="14" xfId="58" applyFont="1" applyBorder="1" applyAlignment="1">
      <alignment horizontal="center"/>
      <protection/>
    </xf>
    <xf numFmtId="0" fontId="7" fillId="0" borderId="7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 vertical="center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52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73" xfId="58" applyFont="1" applyBorder="1" applyAlignment="1">
      <alignment horizontal="center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1" xfId="58" applyFont="1" applyBorder="1" applyAlignment="1">
      <alignment horizontal="center" textRotation="255"/>
      <protection/>
    </xf>
    <xf numFmtId="0" fontId="25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168" fontId="23" fillId="0" borderId="12" xfId="42" applyNumberFormat="1" applyFont="1" applyBorder="1" applyAlignment="1">
      <alignment horizontal="center" vertical="center"/>
    </xf>
    <xf numFmtId="168" fontId="23" fillId="0" borderId="0" xfId="42" applyNumberFormat="1" applyFont="1" applyBorder="1" applyAlignment="1">
      <alignment horizontal="center" vertical="center"/>
    </xf>
    <xf numFmtId="168" fontId="23" fillId="0" borderId="73" xfId="42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2" fillId="0" borderId="0" xfId="60" applyFont="1" applyAlignment="1">
      <alignment wrapText="1"/>
      <protection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12" fillId="0" borderId="11" xfId="61" applyFont="1" applyBorder="1" applyAlignment="1">
      <alignment horizontal="center" textRotation="180"/>
      <protection/>
    </xf>
    <xf numFmtId="0" fontId="12" fillId="0" borderId="13" xfId="61" applyFont="1" applyBorder="1" applyAlignment="1">
      <alignment horizontal="center" textRotation="180"/>
      <protection/>
    </xf>
    <xf numFmtId="0" fontId="12" fillId="0" borderId="15" xfId="61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" fillId="0" borderId="78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168" fontId="4" fillId="0" borderId="79" xfId="40" applyNumberFormat="1" applyFont="1" applyBorder="1" applyAlignment="1">
      <alignment horizontal="center" vertical="center"/>
    </xf>
    <xf numFmtId="168" fontId="4" fillId="0" borderId="80" xfId="40" applyNumberFormat="1" applyFont="1" applyBorder="1" applyAlignment="1">
      <alignment horizontal="center" vertical="center"/>
    </xf>
    <xf numFmtId="0" fontId="4" fillId="0" borderId="81" xfId="58" applyFont="1" applyBorder="1" applyAlignment="1">
      <alignment horizontal="center" vertical="center"/>
      <protection/>
    </xf>
    <xf numFmtId="0" fontId="4" fillId="0" borderId="80" xfId="58" applyFont="1" applyBorder="1" applyAlignment="1">
      <alignment horizontal="center" vertical="center"/>
      <protection/>
    </xf>
    <xf numFmtId="0" fontId="4" fillId="0" borderId="82" xfId="58" applyFont="1" applyBorder="1" applyAlignment="1">
      <alignment horizontal="center" vertical="center"/>
      <protection/>
    </xf>
    <xf numFmtId="168" fontId="4" fillId="0" borderId="71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83" xfId="58" applyFont="1" applyBorder="1" applyAlignment="1">
      <alignment horizontal="center"/>
      <protection/>
    </xf>
    <xf numFmtId="0" fontId="4" fillId="0" borderId="84" xfId="58" applyFont="1" applyBorder="1" applyAlignment="1">
      <alignment horizontal="center"/>
      <protection/>
    </xf>
    <xf numFmtId="0" fontId="4" fillId="0" borderId="7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2" fillId="0" borderId="8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1" xfId="40" applyNumberFormat="1" applyFont="1" applyBorder="1" applyAlignment="1">
      <alignment horizontal="center" vertical="center"/>
    </xf>
    <xf numFmtId="168" fontId="12" fillId="0" borderId="92" xfId="40" applyNumberFormat="1" applyFont="1" applyBorder="1" applyAlignment="1">
      <alignment horizontal="center" vertical="center"/>
    </xf>
    <xf numFmtId="168" fontId="12" fillId="0" borderId="93" xfId="40" applyNumberFormat="1" applyFont="1" applyBorder="1" applyAlignment="1">
      <alignment horizontal="center" vertical="center"/>
    </xf>
    <xf numFmtId="168" fontId="12" fillId="0" borderId="94" xfId="40" applyNumberFormat="1" applyFont="1" applyBorder="1" applyAlignment="1">
      <alignment horizontal="center" vertical="center"/>
    </xf>
    <xf numFmtId="168" fontId="12" fillId="0" borderId="95" xfId="40" applyNumberFormat="1" applyFont="1" applyBorder="1" applyAlignment="1">
      <alignment horizontal="center" vertical="center"/>
    </xf>
    <xf numFmtId="168" fontId="12" fillId="0" borderId="96" xfId="4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2" fontId="12" fillId="0" borderId="91" xfId="0" applyNumberFormat="1" applyFont="1" applyBorder="1" applyAlignment="1">
      <alignment horizontal="center" vertical="center" wrapText="1"/>
    </xf>
    <xf numFmtId="2" fontId="12" fillId="0" borderId="92" xfId="0" applyNumberFormat="1" applyFont="1" applyBorder="1" applyAlignment="1">
      <alignment horizontal="center" vertical="center" wrapText="1"/>
    </xf>
    <xf numFmtId="2" fontId="12" fillId="0" borderId="93" xfId="0" applyNumberFormat="1" applyFont="1" applyBorder="1" applyAlignment="1">
      <alignment horizontal="center" vertical="center" wrapText="1"/>
    </xf>
    <xf numFmtId="168" fontId="12" fillId="0" borderId="98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168" fontId="12" fillId="0" borderId="9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168" fontId="12" fillId="0" borderId="71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66" xfId="40" applyNumberFormat="1" applyFont="1" applyBorder="1" applyAlignment="1">
      <alignment horizontal="center" vertical="center"/>
    </xf>
    <xf numFmtId="168" fontId="18" fillId="0" borderId="101" xfId="40" applyNumberFormat="1" applyFont="1" applyBorder="1" applyAlignment="1">
      <alignment horizontal="center" vertical="center"/>
    </xf>
    <xf numFmtId="168" fontId="18" fillId="0" borderId="102" xfId="40" applyNumberFormat="1" applyFont="1" applyBorder="1" applyAlignment="1">
      <alignment horizontal="center" vertical="center"/>
    </xf>
    <xf numFmtId="168" fontId="18" fillId="0" borderId="103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104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10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07" xfId="0" applyFont="1" applyBorder="1" applyAlignment="1">
      <alignment horizontal="left" vertical="center"/>
    </xf>
    <xf numFmtId="0" fontId="12" fillId="0" borderId="10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32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7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4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4" xfId="40" applyNumberFormat="1" applyFont="1" applyBorder="1" applyAlignment="1">
      <alignment horizontal="center"/>
    </xf>
    <xf numFmtId="168" fontId="12" fillId="0" borderId="112" xfId="40" applyNumberFormat="1" applyFont="1" applyBorder="1" applyAlignment="1">
      <alignment horizontal="center"/>
    </xf>
    <xf numFmtId="168" fontId="12" fillId="0" borderId="113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4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3" fontId="12" fillId="0" borderId="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1" fillId="0" borderId="29" xfId="0" applyFont="1" applyBorder="1" applyAlignment="1" quotePrefix="1">
      <alignment horizontal="center" vertical="center"/>
    </xf>
    <xf numFmtId="0" fontId="11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22" xfId="60" applyFont="1" applyBorder="1" applyAlignment="1" quotePrefix="1">
      <alignment horizontal="center" vertical="center" wrapText="1"/>
      <protection/>
    </xf>
    <xf numFmtId="0" fontId="11" fillId="0" borderId="22" xfId="60" applyFont="1" applyBorder="1" applyAlignment="1">
      <alignment horizontal="left" wrapText="1"/>
      <protection/>
    </xf>
    <xf numFmtId="0" fontId="4" fillId="0" borderId="22" xfId="0" applyFont="1" applyBorder="1" applyAlignment="1">
      <alignment/>
    </xf>
    <xf numFmtId="0" fontId="4" fillId="0" borderId="53" xfId="0" applyFont="1" applyBorder="1" applyAlignment="1">
      <alignment/>
    </xf>
    <xf numFmtId="0" fontId="11" fillId="0" borderId="29" xfId="60" applyFont="1" applyBorder="1" quotePrefix="1">
      <alignment/>
      <protection/>
    </xf>
    <xf numFmtId="0" fontId="11" fillId="0" borderId="29" xfId="60" applyFont="1" applyBorder="1">
      <alignment/>
      <protection/>
    </xf>
    <xf numFmtId="4" fontId="10" fillId="0" borderId="29" xfId="61" applyNumberFormat="1" applyFont="1" applyBorder="1">
      <alignment/>
      <protection/>
    </xf>
    <xf numFmtId="0" fontId="7" fillId="0" borderId="50" xfId="0" applyFont="1" applyBorder="1" applyAlignment="1">
      <alignment/>
    </xf>
    <xf numFmtId="0" fontId="10" fillId="0" borderId="0" xfId="61" applyFont="1" applyBorder="1">
      <alignment/>
      <protection/>
    </xf>
    <xf numFmtId="168" fontId="10" fillId="0" borderId="0" xfId="42" applyNumberFormat="1" applyFont="1" applyBorder="1" applyAlignment="1">
      <alignment/>
    </xf>
    <xf numFmtId="0" fontId="4" fillId="0" borderId="29" xfId="0" applyFont="1" applyBorder="1" applyAlignment="1" quotePrefix="1">
      <alignment/>
    </xf>
    <xf numFmtId="49" fontId="11" fillId="0" borderId="0" xfId="60" applyNumberFormat="1" applyFont="1" applyAlignment="1">
      <alignment vertical="center"/>
      <protection/>
    </xf>
    <xf numFmtId="0" fontId="11" fillId="0" borderId="0" xfId="60" applyFont="1" applyAlignment="1">
      <alignment wrapText="1"/>
      <protection/>
    </xf>
    <xf numFmtId="49" fontId="0" fillId="0" borderId="0" xfId="0" applyNumberFormat="1" applyAlignment="1" quotePrefix="1">
      <alignment vertical="top"/>
    </xf>
    <xf numFmtId="0" fontId="12" fillId="0" borderId="0" xfId="0" applyFont="1" applyAlignment="1">
      <alignment vertical="top" wrapText="1"/>
    </xf>
    <xf numFmtId="49" fontId="0" fillId="0" borderId="0" xfId="0" applyNumberFormat="1" applyAlignment="1">
      <alignment vertical="top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29" xfId="0" applyFont="1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118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119" xfId="0" applyBorder="1" applyAlignment="1">
      <alignment/>
    </xf>
    <xf numFmtId="0" fontId="35" fillId="0" borderId="120" xfId="0" applyFont="1" applyBorder="1" applyAlignment="1">
      <alignment/>
    </xf>
    <xf numFmtId="3" fontId="35" fillId="0" borderId="120" xfId="0" applyNumberFormat="1" applyFont="1" applyBorder="1" applyAlignment="1">
      <alignment/>
    </xf>
    <xf numFmtId="3" fontId="35" fillId="0" borderId="120" xfId="0" applyNumberFormat="1" applyFont="1" applyBorder="1" applyAlignment="1">
      <alignment/>
    </xf>
    <xf numFmtId="0" fontId="35" fillId="0" borderId="121" xfId="0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_2_Sitke%202018.%20&#233;vi%20k&#246;lts&#233;gvet&#233;s%20%202.sz.%20m&#246;d.-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 - átadások"/>
      <sheetName val="7.mell. - ellátottak jutt."/>
      <sheetName val="8.mell. - beruházások"/>
      <sheetName val="9.mell.-felújítások"/>
      <sheetName val="10.mell. - közgazd.mérleg"/>
      <sheetName val="11.mell. -ei.felh.ütemt."/>
      <sheetName val="12.mell."/>
      <sheetName val="13.mell."/>
    </sheetNames>
    <sheetDataSet>
      <sheetData sheetId="2">
        <row r="56">
          <cell r="H56">
            <v>35528011</v>
          </cell>
        </row>
        <row r="62">
          <cell r="H62">
            <v>726202</v>
          </cell>
        </row>
        <row r="65">
          <cell r="H65">
            <v>29335000</v>
          </cell>
        </row>
        <row r="66">
          <cell r="H66">
            <v>29335000</v>
          </cell>
        </row>
        <row r="82">
          <cell r="G82">
            <v>7813000</v>
          </cell>
          <cell r="H82">
            <v>7813000</v>
          </cell>
        </row>
        <row r="105">
          <cell r="H105">
            <v>10623846</v>
          </cell>
        </row>
        <row r="110">
          <cell r="H110">
            <v>121800</v>
          </cell>
        </row>
        <row r="112">
          <cell r="H112">
            <v>121800</v>
          </cell>
        </row>
        <row r="118">
          <cell r="H118">
            <v>59598107</v>
          </cell>
        </row>
        <row r="121">
          <cell r="H121">
            <v>44030785</v>
          </cell>
        </row>
      </sheetData>
      <sheetData sheetId="4">
        <row r="19">
          <cell r="O19">
            <v>1417579</v>
          </cell>
        </row>
        <row r="47">
          <cell r="E47">
            <v>23020575</v>
          </cell>
          <cell r="F47">
            <v>4545417</v>
          </cell>
          <cell r="G47">
            <v>22990174</v>
          </cell>
          <cell r="H47">
            <v>3001400</v>
          </cell>
          <cell r="I47">
            <v>35973223</v>
          </cell>
          <cell r="K47">
            <v>1428429</v>
          </cell>
          <cell r="L47">
            <v>94817533</v>
          </cell>
          <cell r="M47">
            <v>2000000</v>
          </cell>
          <cell r="R47">
            <v>1417579</v>
          </cell>
        </row>
      </sheetData>
      <sheetData sheetId="10">
        <row r="33">
          <cell r="C33">
            <v>33371723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8:Y63"/>
  <sheetViews>
    <sheetView zoomScalePageLayoutView="0" workbookViewId="0" topLeftCell="C25">
      <selection activeCell="K52" sqref="K52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4"/>
      <c r="J39" s="2"/>
      <c r="L39" s="497" t="s">
        <v>578</v>
      </c>
      <c r="M39" s="497"/>
      <c r="N39" s="497"/>
      <c r="O39" s="497"/>
      <c r="P39" s="497"/>
      <c r="Q39" s="497"/>
      <c r="R39" s="497"/>
      <c r="S39" s="497"/>
      <c r="T39" s="497"/>
      <c r="U39" s="54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3"/>
      <c r="J41" s="2"/>
      <c r="L41" s="497" t="s">
        <v>530</v>
      </c>
      <c r="M41" s="497"/>
      <c r="N41" s="497"/>
      <c r="O41" s="497"/>
      <c r="P41" s="497"/>
      <c r="Q41" s="497"/>
      <c r="R41" s="497"/>
      <c r="S41" s="497"/>
      <c r="T41" s="497"/>
      <c r="U41" s="54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3"/>
      <c r="J43" s="2"/>
      <c r="L43" s="497" t="s">
        <v>436</v>
      </c>
      <c r="M43" s="497"/>
      <c r="N43" s="497"/>
      <c r="O43" s="497"/>
      <c r="P43" s="497"/>
      <c r="Q43" s="497"/>
      <c r="R43" s="497"/>
      <c r="S43" s="497"/>
      <c r="T43" s="497"/>
      <c r="U43" s="54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98" t="s">
        <v>621</v>
      </c>
      <c r="M45" s="498"/>
      <c r="N45" s="498"/>
      <c r="O45" s="498"/>
      <c r="P45" s="498"/>
      <c r="Q45" s="498"/>
      <c r="R45" s="498"/>
      <c r="S45" s="498"/>
      <c r="T45" s="498"/>
    </row>
    <row r="46" spans="2:20" ht="27.75">
      <c r="B46" s="2"/>
      <c r="C46" s="2"/>
      <c r="D46" s="2"/>
      <c r="E46" s="2"/>
      <c r="F46" s="2"/>
      <c r="G46" s="2"/>
      <c r="H46" s="2"/>
      <c r="I46" s="2"/>
      <c r="J46" s="2"/>
      <c r="L46" s="498" t="s">
        <v>645</v>
      </c>
      <c r="M46" s="498"/>
      <c r="N46" s="498"/>
      <c r="O46" s="498"/>
      <c r="P46" s="498"/>
      <c r="Q46" s="498"/>
      <c r="R46" s="498"/>
      <c r="S46" s="498"/>
      <c r="T46" s="498"/>
    </row>
    <row r="47" spans="1:25" ht="27.75">
      <c r="A47" s="55"/>
      <c r="B47" s="56"/>
      <c r="C47" s="2"/>
      <c r="D47" s="2"/>
      <c r="E47" s="2"/>
      <c r="F47" s="2"/>
      <c r="G47" s="2"/>
      <c r="H47" s="2"/>
      <c r="I47" s="2"/>
      <c r="J47" s="2"/>
      <c r="P47" s="823" t="s">
        <v>644</v>
      </c>
      <c r="Q47" s="824"/>
      <c r="R47" s="824"/>
      <c r="S47" s="824"/>
      <c r="T47" s="824"/>
      <c r="U47" s="824"/>
      <c r="V47" s="824"/>
      <c r="W47" s="824"/>
      <c r="X47" s="824"/>
      <c r="Y47" s="824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5">
    <mergeCell ref="L39:T39"/>
    <mergeCell ref="L41:T41"/>
    <mergeCell ref="L43:T43"/>
    <mergeCell ref="L45:T45"/>
    <mergeCell ref="L46:T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8"/>
  <sheetViews>
    <sheetView view="pageBreakPreview" zoomScaleSheetLayoutView="100" zoomScalePageLayoutView="0" workbookViewId="0" topLeftCell="A1">
      <selection activeCell="F47" sqref="F47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1:3" ht="15.75">
      <c r="A1" s="623"/>
      <c r="B1" s="503"/>
      <c r="C1" s="503"/>
    </row>
    <row r="3" spans="1:4" ht="15.75">
      <c r="A3" s="623" t="s">
        <v>611</v>
      </c>
      <c r="B3" s="503"/>
      <c r="C3" s="503"/>
      <c r="D3" s="21"/>
    </row>
    <row r="4" spans="2:4" ht="15.75">
      <c r="B4" s="21"/>
      <c r="C4" s="21"/>
      <c r="D4" s="21"/>
    </row>
    <row r="5" spans="2:4" ht="15.75">
      <c r="B5" s="21"/>
      <c r="C5" s="21"/>
      <c r="D5" s="21"/>
    </row>
    <row r="6" spans="2:4" ht="15.75">
      <c r="B6" s="613"/>
      <c r="C6" s="613"/>
      <c r="D6" s="21"/>
    </row>
    <row r="7" spans="2:4" ht="15.75">
      <c r="B7" s="21"/>
      <c r="C7" s="21"/>
      <c r="D7" s="21"/>
    </row>
    <row r="8" spans="2:12" ht="15.75">
      <c r="B8" s="613" t="s">
        <v>39</v>
      </c>
      <c r="C8" s="613"/>
      <c r="D8" s="21"/>
      <c r="L8" s="265"/>
    </row>
    <row r="9" spans="2:4" ht="15.75">
      <c r="B9" s="613" t="s">
        <v>460</v>
      </c>
      <c r="C9" s="613"/>
      <c r="D9" s="21"/>
    </row>
    <row r="10" spans="2:4" ht="15.75">
      <c r="B10" s="613" t="s">
        <v>532</v>
      </c>
      <c r="C10" s="613"/>
      <c r="D10" s="21"/>
    </row>
    <row r="11" spans="2:4" ht="16.5" thickBot="1">
      <c r="B11" s="21"/>
      <c r="C11" s="21"/>
      <c r="D11" s="21"/>
    </row>
    <row r="12" spans="1:4" ht="16.5" customHeight="1" thickTop="1">
      <c r="A12" s="624" t="s">
        <v>485</v>
      </c>
      <c r="B12" s="847" t="s">
        <v>0</v>
      </c>
      <c r="C12" s="627" t="s">
        <v>596</v>
      </c>
      <c r="D12" s="21"/>
    </row>
    <row r="13" spans="1:4" ht="15.75">
      <c r="A13" s="625"/>
      <c r="B13" s="848"/>
      <c r="C13" s="628"/>
      <c r="D13" s="21"/>
    </row>
    <row r="14" spans="1:4" ht="21" customHeight="1" thickBot="1">
      <c r="A14" s="626"/>
      <c r="B14" s="849"/>
      <c r="C14" s="629"/>
      <c r="D14" s="21"/>
    </row>
    <row r="15" spans="1:4" ht="21" customHeight="1">
      <c r="A15" s="379"/>
      <c r="B15" s="380"/>
      <c r="C15" s="381"/>
      <c r="D15" s="21"/>
    </row>
    <row r="16" spans="1:4" ht="15.75">
      <c r="A16" s="314" t="s">
        <v>42</v>
      </c>
      <c r="B16" s="18" t="s">
        <v>519</v>
      </c>
      <c r="C16" s="21"/>
      <c r="D16" s="21"/>
    </row>
    <row r="17" spans="1:4" ht="15.75">
      <c r="A17" s="313"/>
      <c r="B17" s="21"/>
      <c r="C17" s="21"/>
      <c r="D17" s="21"/>
    </row>
    <row r="18" spans="1:4" ht="15.75">
      <c r="A18" s="382" t="s">
        <v>490</v>
      </c>
      <c r="B18" s="295" t="s">
        <v>520</v>
      </c>
      <c r="C18" s="21"/>
      <c r="D18" s="296"/>
    </row>
    <row r="19" spans="1:4" ht="51.75" customHeight="1">
      <c r="A19" s="844" t="s">
        <v>491</v>
      </c>
      <c r="B19" s="845" t="s">
        <v>610</v>
      </c>
      <c r="C19" s="333">
        <v>984252</v>
      </c>
      <c r="D19" s="296"/>
    </row>
    <row r="20" spans="1:4" ht="35.25" customHeight="1">
      <c r="A20" s="844"/>
      <c r="B20" s="845"/>
      <c r="C20" s="333"/>
      <c r="D20" s="296"/>
    </row>
    <row r="21" spans="1:4" ht="33" customHeight="1">
      <c r="A21" s="844" t="s">
        <v>492</v>
      </c>
      <c r="B21" s="845" t="s">
        <v>558</v>
      </c>
      <c r="C21" s="333">
        <v>31496063</v>
      </c>
      <c r="D21" s="296"/>
    </row>
    <row r="22" spans="1:4" ht="33" customHeight="1">
      <c r="A22" s="844"/>
      <c r="B22" s="845"/>
      <c r="C22" s="333"/>
      <c r="D22" s="296"/>
    </row>
    <row r="23" spans="1:4" ht="18.75" customHeight="1">
      <c r="A23" s="844" t="s">
        <v>559</v>
      </c>
      <c r="B23" s="845" t="s">
        <v>560</v>
      </c>
      <c r="C23" s="333">
        <v>9945265</v>
      </c>
      <c r="D23" s="21"/>
    </row>
    <row r="24" spans="1:4" ht="18.75" customHeight="1">
      <c r="A24" s="844"/>
      <c r="B24" s="845"/>
      <c r="C24" s="333"/>
      <c r="D24" s="21"/>
    </row>
    <row r="25" spans="1:4" ht="18.75" customHeight="1">
      <c r="A25" s="844" t="s">
        <v>561</v>
      </c>
      <c r="B25" s="845" t="s">
        <v>643</v>
      </c>
      <c r="C25" s="333">
        <f>1755046+878534+1984979</f>
        <v>4618559</v>
      </c>
      <c r="D25" s="21"/>
    </row>
    <row r="26" spans="1:4" ht="18.75" customHeight="1">
      <c r="A26" s="844"/>
      <c r="B26" s="845"/>
      <c r="C26" s="333"/>
      <c r="D26" s="21"/>
    </row>
    <row r="27" spans="1:4" ht="18.75" customHeight="1">
      <c r="A27" s="846" t="s">
        <v>601</v>
      </c>
      <c r="B27" s="845" t="s">
        <v>658</v>
      </c>
      <c r="C27" s="333">
        <v>23098425</v>
      </c>
      <c r="D27" s="21"/>
    </row>
    <row r="28" spans="1:4" ht="18.75" customHeight="1">
      <c r="A28" s="846"/>
      <c r="B28" s="845"/>
      <c r="C28" s="333"/>
      <c r="D28" s="21"/>
    </row>
    <row r="29" spans="1:4" ht="18.75" customHeight="1">
      <c r="A29" s="846" t="s">
        <v>659</v>
      </c>
      <c r="B29" s="845" t="s">
        <v>660</v>
      </c>
      <c r="C29" s="333">
        <v>2566910</v>
      </c>
      <c r="D29" s="21"/>
    </row>
    <row r="30" spans="1:4" s="266" customFormat="1" ht="15.75">
      <c r="A30" s="846"/>
      <c r="B30" s="845"/>
      <c r="C30" s="333"/>
      <c r="D30" s="18"/>
    </row>
    <row r="31" spans="1:4" ht="15.75">
      <c r="A31" s="313" t="s">
        <v>661</v>
      </c>
      <c r="B31" s="21" t="s">
        <v>463</v>
      </c>
      <c r="C31" s="383">
        <f>(C19+C21+C23+C25+C27+C29)*0.27+1</f>
        <v>19631558.98</v>
      </c>
      <c r="D31" s="21"/>
    </row>
    <row r="32" spans="1:4" ht="15.75">
      <c r="A32" s="313"/>
      <c r="B32" s="18" t="s">
        <v>461</v>
      </c>
      <c r="C32" s="19">
        <f>SUM(C19:C31)</f>
        <v>92341032.98</v>
      </c>
      <c r="D32" s="21"/>
    </row>
    <row r="33" spans="1:4" ht="15.75">
      <c r="A33" s="313"/>
      <c r="B33" s="18"/>
      <c r="C33" s="19"/>
      <c r="D33" s="21"/>
    </row>
    <row r="34" spans="1:4" ht="15.75">
      <c r="A34" s="369" t="s">
        <v>493</v>
      </c>
      <c r="B34" s="18" t="s">
        <v>593</v>
      </c>
      <c r="C34" s="19"/>
      <c r="D34" s="21"/>
    </row>
    <row r="35" spans="1:4" ht="15.75">
      <c r="A35" s="369" t="s">
        <v>594</v>
      </c>
      <c r="B35" s="21" t="s">
        <v>595</v>
      </c>
      <c r="C35" s="384">
        <f>1500000+450000+526500</f>
        <v>2476500</v>
      </c>
      <c r="D35" s="21"/>
    </row>
    <row r="36" spans="1:4" ht="15.75">
      <c r="A36" s="313"/>
      <c r="B36" s="18" t="s">
        <v>461</v>
      </c>
      <c r="C36" s="19">
        <f>C35</f>
        <v>2476500</v>
      </c>
      <c r="D36" s="21"/>
    </row>
    <row r="37" spans="1:3" ht="15.75">
      <c r="A37" s="313"/>
      <c r="B37" s="18"/>
      <c r="C37" s="19"/>
    </row>
    <row r="38" spans="1:3" ht="15.75">
      <c r="A38" s="314"/>
      <c r="B38" s="18" t="s">
        <v>462</v>
      </c>
      <c r="C38" s="19">
        <f>C32+C36</f>
        <v>94817532.98</v>
      </c>
    </row>
  </sheetData>
  <sheetProtection password="AF00" sheet="1"/>
  <mergeCells count="9">
    <mergeCell ref="A3:C3"/>
    <mergeCell ref="A1:C1"/>
    <mergeCell ref="B6:C6"/>
    <mergeCell ref="A12:A14"/>
    <mergeCell ref="B12:B14"/>
    <mergeCell ref="C12:C14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71"/>
  <sheetViews>
    <sheetView view="pageBreakPreview" zoomScaleSheetLayoutView="100" zoomScalePageLayoutView="0" workbookViewId="0" topLeftCell="A1">
      <selection activeCell="F70" sqref="F70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50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02"/>
      <c r="B1" s="502"/>
      <c r="C1" s="502"/>
    </row>
    <row r="3" spans="1:3" ht="15.75">
      <c r="A3" s="502" t="s">
        <v>612</v>
      </c>
      <c r="B3" s="502"/>
      <c r="C3" s="502"/>
    </row>
    <row r="4" s="127" customFormat="1" ht="15.75">
      <c r="C4" s="465"/>
    </row>
    <row r="5" spans="1:3" s="118" customFormat="1" ht="15">
      <c r="A5" s="632"/>
      <c r="B5" s="632"/>
      <c r="C5" s="632"/>
    </row>
    <row r="6" spans="1:3" s="118" customFormat="1" ht="6.75" customHeight="1">
      <c r="A6" s="128"/>
      <c r="B6" s="68"/>
      <c r="C6" s="68"/>
    </row>
    <row r="7" spans="1:3" ht="15.75">
      <c r="A7" s="515" t="s">
        <v>578</v>
      </c>
      <c r="B7" s="515"/>
      <c r="C7" s="515"/>
    </row>
    <row r="8" spans="1:3" ht="15.75">
      <c r="A8" s="512" t="s">
        <v>284</v>
      </c>
      <c r="B8" s="512"/>
      <c r="C8" s="512"/>
    </row>
    <row r="9" spans="1:3" ht="15.75">
      <c r="A9" s="512" t="s">
        <v>228</v>
      </c>
      <c r="B9" s="512"/>
      <c r="C9" s="512"/>
    </row>
    <row r="10" spans="1:3" ht="15.75">
      <c r="A10" s="512" t="s">
        <v>532</v>
      </c>
      <c r="B10" s="512"/>
      <c r="C10" s="512"/>
    </row>
    <row r="11" ht="16.5" thickBot="1"/>
    <row r="12" spans="1:3" ht="15.75">
      <c r="A12" s="134" t="s">
        <v>40</v>
      </c>
      <c r="B12" s="129"/>
      <c r="C12" s="459" t="s">
        <v>18</v>
      </c>
    </row>
    <row r="13" spans="1:3" ht="15.75">
      <c r="A13" s="130"/>
      <c r="B13" s="131" t="s">
        <v>0</v>
      </c>
      <c r="C13" s="458" t="s">
        <v>9</v>
      </c>
    </row>
    <row r="14" spans="1:4" ht="18" customHeight="1" thickBot="1">
      <c r="A14" s="132" t="s">
        <v>41</v>
      </c>
      <c r="B14" s="135"/>
      <c r="C14" s="457" t="s">
        <v>1</v>
      </c>
      <c r="D14" s="297"/>
    </row>
    <row r="15" spans="2:4" ht="8.25" customHeight="1">
      <c r="B15" s="261"/>
      <c r="C15" s="262"/>
      <c r="D15" s="454"/>
    </row>
    <row r="16" spans="1:3" ht="20.25" customHeight="1">
      <c r="A16" s="634" t="s">
        <v>229</v>
      </c>
      <c r="B16" s="634"/>
      <c r="C16" s="634"/>
    </row>
    <row r="17" spans="1:3" ht="20.25" customHeight="1">
      <c r="A17" s="136" t="s">
        <v>42</v>
      </c>
      <c r="B17" s="137" t="s">
        <v>230</v>
      </c>
      <c r="C17" s="464"/>
    </row>
    <row r="18" spans="1:3" ht="20.25" customHeight="1">
      <c r="A18" s="136"/>
      <c r="B18" s="21" t="s">
        <v>231</v>
      </c>
      <c r="C18" s="464">
        <f>'[1]2.mell - bevétel'!H56</f>
        <v>35528011</v>
      </c>
    </row>
    <row r="19" spans="1:5" ht="20.25" customHeight="1">
      <c r="A19" s="136"/>
      <c r="B19" s="101" t="s">
        <v>232</v>
      </c>
      <c r="C19" s="464">
        <f>'[1]2.mell - bevétel'!H62</f>
        <v>726202</v>
      </c>
      <c r="D19" s="99"/>
      <c r="E19" s="99"/>
    </row>
    <row r="20" spans="1:3" ht="20.25" customHeight="1">
      <c r="A20" s="136" t="s">
        <v>26</v>
      </c>
      <c r="B20" s="137" t="s">
        <v>233</v>
      </c>
      <c r="C20" s="464">
        <f>'[1]2.mell - bevétel'!H82</f>
        <v>7813000</v>
      </c>
    </row>
    <row r="21" spans="1:3" ht="20.25" customHeight="1">
      <c r="A21" s="136" t="s">
        <v>43</v>
      </c>
      <c r="B21" s="137" t="s">
        <v>234</v>
      </c>
      <c r="C21" s="464">
        <f>'[1]2.mell - bevétel'!H105</f>
        <v>10623846</v>
      </c>
    </row>
    <row r="22" spans="1:3" ht="20.25" customHeight="1">
      <c r="A22" s="136" t="s">
        <v>99</v>
      </c>
      <c r="B22" s="138" t="s">
        <v>235</v>
      </c>
      <c r="C22" s="464"/>
    </row>
    <row r="23" spans="1:5" ht="36" customHeight="1">
      <c r="A23" s="136"/>
      <c r="B23" s="101" t="s">
        <v>236</v>
      </c>
      <c r="C23" s="464"/>
      <c r="D23" s="101"/>
      <c r="E23" s="101"/>
    </row>
    <row r="24" spans="1:3" ht="20.25" customHeight="1">
      <c r="A24" s="136"/>
      <c r="B24" s="21" t="s">
        <v>237</v>
      </c>
      <c r="C24" s="464"/>
    </row>
    <row r="25" spans="1:3" ht="30" customHeight="1">
      <c r="A25" s="309"/>
      <c r="B25" s="310" t="s">
        <v>238</v>
      </c>
      <c r="C25" s="451">
        <f>SUM(C18:C24)</f>
        <v>54691059</v>
      </c>
    </row>
    <row r="26" spans="1:3" ht="21" customHeight="1">
      <c r="A26" s="133" t="s">
        <v>100</v>
      </c>
      <c r="B26" s="137" t="s">
        <v>239</v>
      </c>
      <c r="C26" s="391">
        <f>'[1]4.mell. - kiadás'!E47</f>
        <v>23020575</v>
      </c>
    </row>
    <row r="27" spans="1:3" ht="21" customHeight="1">
      <c r="A27" s="133" t="s">
        <v>106</v>
      </c>
      <c r="B27" s="137" t="s">
        <v>240</v>
      </c>
      <c r="C27" s="391">
        <f>'[1]4.mell. - kiadás'!F47</f>
        <v>4545417</v>
      </c>
    </row>
    <row r="28" spans="1:3" ht="21" customHeight="1">
      <c r="A28" s="133" t="s">
        <v>241</v>
      </c>
      <c r="B28" s="850" t="s">
        <v>242</v>
      </c>
      <c r="C28" s="391">
        <f>'[1]4.mell. - kiadás'!G47</f>
        <v>22990174</v>
      </c>
    </row>
    <row r="29" spans="1:3" ht="21" customHeight="1">
      <c r="A29" s="133" t="s">
        <v>243</v>
      </c>
      <c r="B29" s="850" t="s">
        <v>244</v>
      </c>
      <c r="C29" s="391">
        <f>'[1]4.mell. - kiadás'!H47</f>
        <v>3001400</v>
      </c>
    </row>
    <row r="30" spans="1:3" ht="21" customHeight="1">
      <c r="A30" s="133" t="s">
        <v>245</v>
      </c>
      <c r="B30" s="850" t="s">
        <v>246</v>
      </c>
      <c r="C30" s="391"/>
    </row>
    <row r="31" spans="1:3" ht="32.25" customHeight="1">
      <c r="A31" s="133"/>
      <c r="B31" s="101" t="s">
        <v>247</v>
      </c>
      <c r="C31" s="463"/>
    </row>
    <row r="32" spans="1:3" ht="15.75">
      <c r="A32" s="133"/>
      <c r="B32" s="850" t="s">
        <v>597</v>
      </c>
      <c r="C32" s="463">
        <f>'[1]4.mell. - kiadás'!I47-C33</f>
        <v>2601500</v>
      </c>
    </row>
    <row r="33" spans="1:5" ht="15.75">
      <c r="A33" s="133"/>
      <c r="B33" s="850" t="s">
        <v>248</v>
      </c>
      <c r="C33" s="450">
        <f>37756947+152000-255378-316230-12720-659920-3000-30000-3259976</f>
        <v>33371723</v>
      </c>
      <c r="E33" s="102"/>
    </row>
    <row r="34" spans="1:6" ht="33.75" customHeight="1">
      <c r="A34" s="309"/>
      <c r="B34" s="310" t="s">
        <v>249</v>
      </c>
      <c r="C34" s="451">
        <f>SUM(C26:C33)</f>
        <v>89530789</v>
      </c>
      <c r="E34" s="102"/>
      <c r="F34" s="102"/>
    </row>
    <row r="35" spans="1:6" ht="33.75" customHeight="1">
      <c r="A35" s="462"/>
      <c r="B35" s="461"/>
      <c r="C35" s="460"/>
      <c r="E35" s="102"/>
      <c r="F35" s="102"/>
    </row>
    <row r="36" spans="1:6" ht="33.75" customHeight="1">
      <c r="A36" s="462"/>
      <c r="B36" s="461"/>
      <c r="C36" s="460"/>
      <c r="E36" s="102"/>
      <c r="F36" s="102"/>
    </row>
    <row r="37" spans="1:3" ht="15.75">
      <c r="A37" s="630">
        <v>2</v>
      </c>
      <c r="B37" s="630"/>
      <c r="C37" s="630"/>
    </row>
    <row r="38" spans="1:3" ht="16.5" thickBot="1">
      <c r="A38" s="255"/>
      <c r="B38" s="255"/>
      <c r="C38" s="255"/>
    </row>
    <row r="39" spans="1:3" ht="15.75">
      <c r="A39" s="134" t="s">
        <v>40</v>
      </c>
      <c r="B39" s="129"/>
      <c r="C39" s="459" t="s">
        <v>18</v>
      </c>
    </row>
    <row r="40" spans="1:3" ht="12.75" customHeight="1">
      <c r="A40" s="130"/>
      <c r="B40" s="131" t="s">
        <v>0</v>
      </c>
      <c r="C40" s="458"/>
    </row>
    <row r="41" spans="1:3" ht="21.75" customHeight="1" thickBot="1">
      <c r="A41" s="132" t="s">
        <v>41</v>
      </c>
      <c r="B41" s="135"/>
      <c r="C41" s="457" t="s">
        <v>9</v>
      </c>
    </row>
    <row r="42" spans="1:3" ht="12" customHeight="1">
      <c r="A42" s="145"/>
      <c r="B42" s="260"/>
      <c r="C42" s="454"/>
    </row>
    <row r="43" spans="1:3" ht="21" customHeight="1">
      <c r="A43" s="631" t="s">
        <v>250</v>
      </c>
      <c r="B43" s="631"/>
      <c r="C43" s="631"/>
    </row>
    <row r="44" spans="1:3" ht="21" customHeight="1">
      <c r="A44" s="133" t="s">
        <v>251</v>
      </c>
      <c r="B44" s="60" t="s">
        <v>252</v>
      </c>
      <c r="C44" s="450">
        <f>'[1]2.mell - bevétel'!H65</f>
        <v>29335000</v>
      </c>
    </row>
    <row r="45" spans="1:2" ht="21" customHeight="1">
      <c r="A45" s="133" t="s">
        <v>253</v>
      </c>
      <c r="B45" s="60" t="s">
        <v>254</v>
      </c>
    </row>
    <row r="46" spans="1:2" ht="21" customHeight="1">
      <c r="A46" s="133" t="s">
        <v>255</v>
      </c>
      <c r="B46" s="138" t="s">
        <v>256</v>
      </c>
    </row>
    <row r="47" spans="1:3" ht="31.5" customHeight="1">
      <c r="A47" s="133"/>
      <c r="B47" s="113" t="s">
        <v>257</v>
      </c>
      <c r="C47" s="450">
        <f>'[1]2.mell - bevétel'!H110</f>
        <v>121800</v>
      </c>
    </row>
    <row r="48" spans="1:2" ht="21" customHeight="1">
      <c r="A48" s="133"/>
      <c r="B48" s="51" t="s">
        <v>258</v>
      </c>
    </row>
    <row r="49" spans="1:5" ht="30" customHeight="1">
      <c r="A49" s="309"/>
      <c r="B49" s="310" t="s">
        <v>259</v>
      </c>
      <c r="C49" s="451">
        <f>SUM(C44:C48)</f>
        <v>29456800</v>
      </c>
      <c r="E49" s="102"/>
    </row>
    <row r="50" spans="1:3" ht="21" customHeight="1">
      <c r="A50" s="133" t="s">
        <v>260</v>
      </c>
      <c r="B50" s="60" t="s">
        <v>261</v>
      </c>
      <c r="C50" s="450">
        <f>'[1]4.mell. - kiadás'!K47</f>
        <v>1428429</v>
      </c>
    </row>
    <row r="51" spans="1:3" ht="21" customHeight="1">
      <c r="A51" s="133" t="s">
        <v>262</v>
      </c>
      <c r="B51" s="60" t="s">
        <v>263</v>
      </c>
      <c r="C51" s="450">
        <f>'[1]4.mell. - kiadás'!L47</f>
        <v>94817533</v>
      </c>
    </row>
    <row r="52" spans="1:2" ht="21" customHeight="1">
      <c r="A52" s="133" t="s">
        <v>264</v>
      </c>
      <c r="B52" s="138" t="s">
        <v>265</v>
      </c>
    </row>
    <row r="53" spans="1:3" ht="21" customHeight="1">
      <c r="A53" s="133"/>
      <c r="B53" s="850" t="s">
        <v>266</v>
      </c>
      <c r="C53" s="450">
        <f>'[1]4.mell. - kiadás'!M47</f>
        <v>2000000</v>
      </c>
    </row>
    <row r="54" spans="1:2" ht="21" customHeight="1">
      <c r="A54" s="133"/>
      <c r="B54" s="850" t="s">
        <v>248</v>
      </c>
    </row>
    <row r="55" spans="1:6" s="9" customFormat="1" ht="27.75" customHeight="1" thickBot="1">
      <c r="A55" s="309"/>
      <c r="B55" s="310" t="s">
        <v>267</v>
      </c>
      <c r="C55" s="451">
        <f>SUM(C50:C54)</f>
        <v>98245962</v>
      </c>
      <c r="F55" s="141"/>
    </row>
    <row r="56" spans="1:3" s="9" customFormat="1" ht="24" customHeight="1" thickBot="1">
      <c r="A56" s="142"/>
      <c r="B56" s="143" t="s">
        <v>268</v>
      </c>
      <c r="C56" s="456">
        <f>C25+C49</f>
        <v>84147859</v>
      </c>
    </row>
    <row r="57" spans="1:6" s="9" customFormat="1" ht="22.5" customHeight="1" thickBot="1">
      <c r="A57" s="142"/>
      <c r="B57" s="143" t="s">
        <v>269</v>
      </c>
      <c r="C57" s="456">
        <f>C34+C55</f>
        <v>187776751</v>
      </c>
      <c r="F57" s="141"/>
    </row>
    <row r="58" spans="1:3" s="9" customFormat="1" ht="15.75">
      <c r="A58" s="144"/>
      <c r="B58" s="145"/>
      <c r="C58" s="455"/>
    </row>
    <row r="59" spans="1:3" s="146" customFormat="1" ht="9.75" customHeight="1">
      <c r="A59" s="263"/>
      <c r="B59" s="263"/>
      <c r="C59" s="263"/>
    </row>
    <row r="60" spans="1:3" s="146" customFormat="1" ht="9" customHeight="1">
      <c r="A60" s="145"/>
      <c r="B60" s="151"/>
      <c r="C60" s="454"/>
    </row>
    <row r="61" spans="1:3" ht="20.25" customHeight="1">
      <c r="A61" s="633" t="s">
        <v>270</v>
      </c>
      <c r="B61" s="633"/>
      <c r="C61" s="633"/>
    </row>
    <row r="62" spans="1:3" ht="6.75" customHeight="1">
      <c r="A62" s="147"/>
      <c r="B62" s="147"/>
      <c r="C62" s="147"/>
    </row>
    <row r="63" spans="1:3" ht="20.25" customHeight="1">
      <c r="A63" s="139" t="s">
        <v>271</v>
      </c>
      <c r="B63" s="851" t="s">
        <v>272</v>
      </c>
      <c r="C63" s="452">
        <f>'[1]2.mell - bevétel'!H118+'[1]2.mell - bevétel'!H121</f>
        <v>103628892</v>
      </c>
    </row>
    <row r="64" spans="1:3" ht="20.25" customHeight="1">
      <c r="A64" s="139" t="s">
        <v>274</v>
      </c>
      <c r="B64" s="140" t="s">
        <v>600</v>
      </c>
      <c r="C64" s="452">
        <v>1417579</v>
      </c>
    </row>
    <row r="65" spans="1:3" ht="21" customHeight="1">
      <c r="A65" s="139"/>
      <c r="B65" s="140" t="s">
        <v>273</v>
      </c>
      <c r="C65" s="451">
        <f>SUM(C63:C64)</f>
        <v>105046471</v>
      </c>
    </row>
    <row r="66" spans="1:3" ht="21" customHeight="1">
      <c r="A66" s="136" t="s">
        <v>276</v>
      </c>
      <c r="B66" s="140" t="s">
        <v>457</v>
      </c>
      <c r="C66" s="453">
        <f>'[1]4.mell. - kiadás'!R47</f>
        <v>1417579</v>
      </c>
    </row>
    <row r="67" spans="1:3" ht="15.75">
      <c r="A67" s="136" t="s">
        <v>347</v>
      </c>
      <c r="B67" s="851" t="s">
        <v>275</v>
      </c>
      <c r="C67" s="452"/>
    </row>
    <row r="68" spans="1:3" ht="15.75">
      <c r="A68" s="133" t="s">
        <v>349</v>
      </c>
      <c r="B68" s="851" t="s">
        <v>277</v>
      </c>
      <c r="C68" s="452"/>
    </row>
    <row r="69" spans="1:3" s="148" customFormat="1" ht="30" customHeight="1" thickBot="1">
      <c r="A69" s="139"/>
      <c r="B69" s="140" t="s">
        <v>278</v>
      </c>
      <c r="C69" s="451">
        <f>SUM(C66:C68)</f>
        <v>1417579</v>
      </c>
    </row>
    <row r="70" spans="1:5" s="148" customFormat="1" ht="37.5" customHeight="1" thickBot="1">
      <c r="A70" s="149"/>
      <c r="B70" s="311" t="s">
        <v>279</v>
      </c>
      <c r="C70" s="312">
        <f>C56+C65</f>
        <v>189194330</v>
      </c>
      <c r="E70" s="150"/>
    </row>
    <row r="71" spans="1:5" ht="34.5" customHeight="1" thickBot="1">
      <c r="A71" s="149"/>
      <c r="B71" s="311" t="s">
        <v>280</v>
      </c>
      <c r="C71" s="312">
        <f>C57+C69</f>
        <v>189194330</v>
      </c>
      <c r="E71" s="150"/>
    </row>
  </sheetData>
  <sheetProtection password="AF00" sheet="1"/>
  <mergeCells count="11">
    <mergeCell ref="A61:C61"/>
    <mergeCell ref="A8:C8"/>
    <mergeCell ref="A9:C9"/>
    <mergeCell ref="A10:C10"/>
    <mergeCell ref="A16:C16"/>
    <mergeCell ref="A1:C1"/>
    <mergeCell ref="A37:C37"/>
    <mergeCell ref="A43:C43"/>
    <mergeCell ref="A3:C3"/>
    <mergeCell ref="A5:C5"/>
    <mergeCell ref="A7:C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S56"/>
  <sheetViews>
    <sheetView view="pageBreakPreview" zoomScale="60" zoomScalePageLayoutView="0" workbookViewId="0" topLeftCell="A1">
      <selection activeCell="Q46" sqref="Q46"/>
    </sheetView>
  </sheetViews>
  <sheetFormatPr defaultColWidth="9.00390625" defaultRowHeight="12.75"/>
  <cols>
    <col min="1" max="1" width="5.125" style="51" customWidth="1"/>
    <col min="2" max="2" width="43.625" style="51" customWidth="1"/>
    <col min="3" max="3" width="15.375" style="391" customWidth="1"/>
    <col min="4" max="4" width="20.75390625" style="391" customWidth="1"/>
    <col min="5" max="5" width="15.375" style="391" customWidth="1"/>
    <col min="6" max="6" width="17.25390625" style="391" customWidth="1"/>
    <col min="7" max="7" width="18.625" style="391" customWidth="1"/>
    <col min="8" max="12" width="15.375" style="391" customWidth="1"/>
    <col min="13" max="13" width="16.625" style="391" customWidth="1"/>
    <col min="14" max="14" width="15.375" style="391" customWidth="1"/>
    <col min="15" max="15" width="22.00390625" style="391" customWidth="1"/>
    <col min="16" max="17" width="15.625" style="51" bestFit="1" customWidth="1"/>
    <col min="18" max="18" width="12.625" style="51" bestFit="1" customWidth="1"/>
    <col min="19" max="16384" width="9.125" style="51" customWidth="1"/>
  </cols>
  <sheetData>
    <row r="1" spans="1:15" ht="15.75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3" spans="1:15" s="103" customFormat="1" ht="15.75">
      <c r="A3" s="525" t="s">
        <v>613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5" spans="2:15" ht="15.75"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</row>
    <row r="6" spans="2:15" ht="15.75"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</row>
    <row r="7" spans="2:15" ht="15.75">
      <c r="B7" s="500" t="s">
        <v>39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</row>
    <row r="8" spans="2:15" ht="15.75">
      <c r="B8" s="500" t="s">
        <v>312</v>
      </c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</row>
    <row r="9" spans="2:15" ht="15.75">
      <c r="B9" s="500" t="s">
        <v>532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</row>
    <row r="10" spans="3:15" ht="16.5" thickBot="1">
      <c r="C10" s="390"/>
      <c r="D10" s="390"/>
      <c r="E10" s="390"/>
      <c r="F10" s="495"/>
      <c r="G10" s="390"/>
      <c r="H10" s="390"/>
      <c r="I10" s="390"/>
      <c r="J10" s="390"/>
      <c r="O10" s="494" t="s">
        <v>467</v>
      </c>
    </row>
    <row r="11" spans="1:15" ht="15.75">
      <c r="A11" s="176" t="s">
        <v>40</v>
      </c>
      <c r="B11" s="177"/>
      <c r="C11" s="493"/>
      <c r="D11" s="492"/>
      <c r="E11" s="491"/>
      <c r="F11" s="490"/>
      <c r="G11" s="490"/>
      <c r="H11" s="490"/>
      <c r="I11" s="490"/>
      <c r="J11" s="490"/>
      <c r="K11" s="489"/>
      <c r="L11" s="489"/>
      <c r="M11" s="489"/>
      <c r="N11" s="488"/>
      <c r="O11" s="487"/>
    </row>
    <row r="12" spans="1:15" ht="15.75">
      <c r="A12" s="178"/>
      <c r="B12" s="179" t="s">
        <v>0</v>
      </c>
      <c r="C12" s="486" t="s">
        <v>313</v>
      </c>
      <c r="D12" s="485" t="s">
        <v>314</v>
      </c>
      <c r="E12" s="483" t="s">
        <v>315</v>
      </c>
      <c r="F12" s="484" t="s">
        <v>316</v>
      </c>
      <c r="G12" s="484" t="s">
        <v>317</v>
      </c>
      <c r="H12" s="484" t="s">
        <v>318</v>
      </c>
      <c r="I12" s="484" t="s">
        <v>319</v>
      </c>
      <c r="J12" s="484" t="s">
        <v>320</v>
      </c>
      <c r="K12" s="484" t="s">
        <v>321</v>
      </c>
      <c r="L12" s="484" t="s">
        <v>322</v>
      </c>
      <c r="M12" s="484" t="s">
        <v>323</v>
      </c>
      <c r="N12" s="483" t="s">
        <v>324</v>
      </c>
      <c r="O12" s="458" t="s">
        <v>304</v>
      </c>
    </row>
    <row r="13" spans="1:15" ht="16.5" thickBot="1">
      <c r="A13" s="180" t="s">
        <v>41</v>
      </c>
      <c r="B13" s="181"/>
      <c r="C13" s="479"/>
      <c r="D13" s="482"/>
      <c r="E13" s="480"/>
      <c r="F13" s="481"/>
      <c r="G13" s="481"/>
      <c r="H13" s="481"/>
      <c r="I13" s="481"/>
      <c r="J13" s="481"/>
      <c r="K13" s="481"/>
      <c r="L13" s="481"/>
      <c r="M13" s="481"/>
      <c r="N13" s="480"/>
      <c r="O13" s="479"/>
    </row>
    <row r="14" spans="1:15" ht="28.5" customHeight="1">
      <c r="A14" s="182"/>
      <c r="B14" s="183" t="s">
        <v>325</v>
      </c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1"/>
    </row>
    <row r="15" spans="1:15" ht="28.5" customHeight="1">
      <c r="A15" s="182" t="s">
        <v>42</v>
      </c>
      <c r="B15" s="183" t="s">
        <v>326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1"/>
    </row>
    <row r="16" spans="1:15" ht="28.5" customHeight="1">
      <c r="A16" s="182"/>
      <c r="B16" s="183" t="s">
        <v>327</v>
      </c>
      <c r="C16" s="472">
        <f>2999939+11121</f>
        <v>3011060</v>
      </c>
      <c r="D16" s="472">
        <v>2953539</v>
      </c>
      <c r="E16" s="472">
        <v>2953539</v>
      </c>
      <c r="F16" s="472">
        <v>2953539</v>
      </c>
      <c r="G16" s="472">
        <f>2953539+177800</f>
        <v>3131339</v>
      </c>
      <c r="H16" s="472">
        <v>2953539</v>
      </c>
      <c r="I16" s="472">
        <v>2953539</v>
      </c>
      <c r="J16" s="472">
        <f>2953539+152000</f>
        <v>3105539</v>
      </c>
      <c r="K16" s="472">
        <f>2953539-255378</f>
        <v>2698161</v>
      </c>
      <c r="L16" s="472">
        <v>2953539</v>
      </c>
      <c r="M16" s="472">
        <v>2953539</v>
      </c>
      <c r="N16" s="472">
        <v>2907139</v>
      </c>
      <c r="O16" s="471">
        <f>SUM(C16:N16)</f>
        <v>35528011</v>
      </c>
    </row>
    <row r="17" spans="1:15" ht="28.5" customHeight="1">
      <c r="A17" s="182"/>
      <c r="B17" s="183" t="s">
        <v>328</v>
      </c>
      <c r="C17" s="472"/>
      <c r="D17" s="472"/>
      <c r="E17" s="472"/>
      <c r="F17" s="472">
        <v>61619</v>
      </c>
      <c r="G17" s="472"/>
      <c r="H17" s="472"/>
      <c r="I17" s="472">
        <v>309091</v>
      </c>
      <c r="J17" s="472">
        <f>23200+309092</f>
        <v>332292</v>
      </c>
      <c r="K17" s="472"/>
      <c r="L17" s="472"/>
      <c r="M17" s="472">
        <v>23200</v>
      </c>
      <c r="N17" s="472"/>
      <c r="O17" s="471">
        <f>SUM(C17:N17)</f>
        <v>726202</v>
      </c>
    </row>
    <row r="18" spans="1:15" ht="15.75">
      <c r="A18" s="182" t="s">
        <v>43</v>
      </c>
      <c r="B18" s="183" t="s">
        <v>329</v>
      </c>
      <c r="C18" s="472">
        <f>(12+44+32+31)*1000</f>
        <v>119000</v>
      </c>
      <c r="D18" s="472">
        <f>(19+12+118+253+31)*1000</f>
        <v>433000</v>
      </c>
      <c r="E18" s="472">
        <f>(1127+11+620+382+31)*1000</f>
        <v>2171000</v>
      </c>
      <c r="F18" s="472">
        <f>(9+12+76+34+31+200)*1000</f>
        <v>362000</v>
      </c>
      <c r="G18" s="472">
        <f>(408+12+48+35+31-200)*1000</f>
        <v>334000</v>
      </c>
      <c r="H18" s="472">
        <f>(46+12+20+19+31)*1000</f>
        <v>128000</v>
      </c>
      <c r="I18" s="472">
        <f>(12+2+2+31)*1000</f>
        <v>47000</v>
      </c>
      <c r="J18" s="472">
        <f>(12+237+346+31)*1000</f>
        <v>626000</v>
      </c>
      <c r="K18" s="472">
        <f>(1188+11+601+335+31)*1000</f>
        <v>2166000</v>
      </c>
      <c r="L18" s="472">
        <f>(10+12+27+35+31)*1000</f>
        <v>115000</v>
      </c>
      <c r="M18" s="472">
        <f>(852+11+76+12+31)*1000</f>
        <v>982000</v>
      </c>
      <c r="N18" s="472">
        <f>(241+11+34+15+29)*1000</f>
        <v>330000</v>
      </c>
      <c r="O18" s="471">
        <f aca="true" t="shared" si="0" ref="O18:O28">SUM(C18:N18)</f>
        <v>7813000</v>
      </c>
    </row>
    <row r="19" spans="1:18" ht="15.75">
      <c r="A19" s="182" t="s">
        <v>99</v>
      </c>
      <c r="B19" s="183" t="s">
        <v>330</v>
      </c>
      <c r="C19" s="472">
        <v>840000</v>
      </c>
      <c r="D19" s="472">
        <v>840000</v>
      </c>
      <c r="E19" s="472">
        <v>840000</v>
      </c>
      <c r="F19" s="472">
        <v>840000</v>
      </c>
      <c r="G19" s="472">
        <v>840000</v>
      </c>
      <c r="H19" s="472">
        <f>840000+105000</f>
        <v>945000</v>
      </c>
      <c r="I19" s="472">
        <f>840000+421000</f>
        <v>1261000</v>
      </c>
      <c r="J19" s="472">
        <v>840000</v>
      </c>
      <c r="K19" s="472">
        <v>840000</v>
      </c>
      <c r="L19" s="472">
        <v>840000</v>
      </c>
      <c r="M19" s="472">
        <v>857846</v>
      </c>
      <c r="N19" s="472">
        <v>840000</v>
      </c>
      <c r="O19" s="471">
        <f>SUM(C19:N19)</f>
        <v>10623846</v>
      </c>
      <c r="Q19" s="194"/>
      <c r="R19" s="194"/>
    </row>
    <row r="20" spans="1:15" ht="31.5">
      <c r="A20" s="182" t="s">
        <v>100</v>
      </c>
      <c r="B20" s="183" t="s">
        <v>662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>
        <v>29335000</v>
      </c>
      <c r="N20" s="472"/>
      <c r="O20" s="471">
        <f>SUM(C20:N20)</f>
        <v>29335000</v>
      </c>
    </row>
    <row r="21" spans="1:15" ht="15.75">
      <c r="A21" s="182" t="s">
        <v>106</v>
      </c>
      <c r="B21" s="184" t="s">
        <v>331</v>
      </c>
      <c r="C21" s="478">
        <v>10150</v>
      </c>
      <c r="D21" s="478">
        <v>10150</v>
      </c>
      <c r="E21" s="478">
        <v>10150</v>
      </c>
      <c r="F21" s="478">
        <v>10150</v>
      </c>
      <c r="G21" s="478">
        <v>10150</v>
      </c>
      <c r="H21" s="478">
        <v>10150</v>
      </c>
      <c r="I21" s="478">
        <v>10150</v>
      </c>
      <c r="J21" s="478">
        <v>10150</v>
      </c>
      <c r="K21" s="478">
        <v>10150</v>
      </c>
      <c r="L21" s="478">
        <v>10150</v>
      </c>
      <c r="M21" s="478">
        <v>10150</v>
      </c>
      <c r="N21" s="478">
        <v>10150</v>
      </c>
      <c r="O21" s="471">
        <f t="shared" si="0"/>
        <v>121800</v>
      </c>
    </row>
    <row r="22" spans="1:15" ht="31.5" customHeight="1">
      <c r="A22" s="182" t="s">
        <v>241</v>
      </c>
      <c r="B22" s="184" t="s">
        <v>235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6"/>
      <c r="O22" s="471">
        <f t="shared" si="0"/>
        <v>0</v>
      </c>
    </row>
    <row r="23" spans="1:15" ht="17.25" customHeight="1">
      <c r="A23" s="182"/>
      <c r="B23" s="183" t="s">
        <v>332</v>
      </c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5"/>
      <c r="O23" s="471">
        <f t="shared" si="0"/>
        <v>0</v>
      </c>
    </row>
    <row r="24" spans="1:15" ht="15.75">
      <c r="A24" s="182"/>
      <c r="B24" s="183" t="s">
        <v>333</v>
      </c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5"/>
      <c r="O24" s="471">
        <f t="shared" si="0"/>
        <v>0</v>
      </c>
    </row>
    <row r="25" spans="1:15" ht="15.75">
      <c r="A25" s="182" t="s">
        <v>243</v>
      </c>
      <c r="B25" s="184" t="s">
        <v>334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5"/>
      <c r="O25" s="471">
        <f t="shared" si="0"/>
        <v>0</v>
      </c>
    </row>
    <row r="26" spans="1:15" ht="15.75" customHeight="1">
      <c r="A26" s="182"/>
      <c r="B26" s="193" t="s">
        <v>335</v>
      </c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5"/>
      <c r="O26" s="471">
        <f t="shared" si="0"/>
        <v>0</v>
      </c>
    </row>
    <row r="27" spans="1:15" ht="31.5">
      <c r="A27" s="182"/>
      <c r="B27" s="183" t="s">
        <v>336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5"/>
      <c r="O27" s="471">
        <f t="shared" si="0"/>
        <v>0</v>
      </c>
    </row>
    <row r="28" spans="1:15" ht="15.75">
      <c r="A28" s="182" t="s">
        <v>245</v>
      </c>
      <c r="B28" s="184" t="s">
        <v>337</v>
      </c>
      <c r="C28" s="474">
        <v>392711</v>
      </c>
      <c r="D28" s="474">
        <f>7466277</f>
        <v>7466277</v>
      </c>
      <c r="E28" s="474"/>
      <c r="F28" s="474">
        <f>50000000+1836198+296450</f>
        <v>52132648</v>
      </c>
      <c r="G28" s="474">
        <f>1115738+600000+38100+2520923+100000+38756947+1320500+602627</f>
        <v>45054835</v>
      </c>
      <c r="H28" s="474"/>
      <c r="I28" s="474"/>
      <c r="J28" s="474"/>
      <c r="K28" s="474"/>
      <c r="L28" s="474"/>
      <c r="M28" s="474"/>
      <c r="N28" s="475"/>
      <c r="O28" s="471">
        <f t="shared" si="0"/>
        <v>105046471</v>
      </c>
    </row>
    <row r="29" spans="1:16" s="18" customFormat="1" ht="27.75" customHeight="1" thickBot="1">
      <c r="A29" s="185" t="s">
        <v>251</v>
      </c>
      <c r="B29" s="186" t="s">
        <v>338</v>
      </c>
      <c r="C29" s="474"/>
      <c r="D29" s="474">
        <f>C51</f>
        <v>344011</v>
      </c>
      <c r="E29" s="474">
        <f aca="true" t="shared" si="1" ref="E29:N29">D51</f>
        <v>1243247</v>
      </c>
      <c r="F29" s="474">
        <f t="shared" si="1"/>
        <v>781747</v>
      </c>
      <c r="G29" s="474">
        <f t="shared" si="1"/>
        <v>112861</v>
      </c>
      <c r="H29" s="474">
        <f t="shared" si="1"/>
        <v>8366973</v>
      </c>
      <c r="I29" s="474">
        <f t="shared" si="1"/>
        <v>6677973</v>
      </c>
      <c r="J29" s="474">
        <f t="shared" si="1"/>
        <v>6125073</v>
      </c>
      <c r="K29" s="474">
        <f t="shared" si="1"/>
        <v>5507953</v>
      </c>
      <c r="L29" s="474">
        <f t="shared" si="1"/>
        <v>4377725</v>
      </c>
      <c r="M29" s="474">
        <f t="shared" si="1"/>
        <v>4161825</v>
      </c>
      <c r="N29" s="474">
        <f t="shared" si="1"/>
        <v>1161798</v>
      </c>
      <c r="O29" s="471"/>
      <c r="P29" s="108"/>
    </row>
    <row r="30" spans="1:15" ht="16.5" thickBot="1">
      <c r="A30" s="187"/>
      <c r="B30" s="187" t="s">
        <v>339</v>
      </c>
      <c r="C30" s="470">
        <f aca="true" t="shared" si="2" ref="C30:N30">SUM(C16:C29)</f>
        <v>4372921</v>
      </c>
      <c r="D30" s="470">
        <f t="shared" si="2"/>
        <v>12046977</v>
      </c>
      <c r="E30" s="470">
        <f t="shared" si="2"/>
        <v>7217936</v>
      </c>
      <c r="F30" s="470">
        <f t="shared" si="2"/>
        <v>57141703</v>
      </c>
      <c r="G30" s="470">
        <f t="shared" si="2"/>
        <v>49483185</v>
      </c>
      <c r="H30" s="470">
        <f t="shared" si="2"/>
        <v>12403662</v>
      </c>
      <c r="I30" s="470">
        <f t="shared" si="2"/>
        <v>11258753</v>
      </c>
      <c r="J30" s="470">
        <f t="shared" si="2"/>
        <v>11039054</v>
      </c>
      <c r="K30" s="470">
        <f t="shared" si="2"/>
        <v>11222264</v>
      </c>
      <c r="L30" s="470">
        <f t="shared" si="2"/>
        <v>8296414</v>
      </c>
      <c r="M30" s="470">
        <f t="shared" si="2"/>
        <v>38323560</v>
      </c>
      <c r="N30" s="470">
        <f t="shared" si="2"/>
        <v>5249087</v>
      </c>
      <c r="O30" s="469">
        <f>SUM(O15:O29)</f>
        <v>189194330</v>
      </c>
    </row>
    <row r="31" spans="1:17" ht="15.75">
      <c r="A31" s="188"/>
      <c r="B31" s="189" t="s">
        <v>340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3"/>
      <c r="P31" s="194"/>
      <c r="Q31" s="194"/>
    </row>
    <row r="32" spans="1:17" ht="15.75">
      <c r="A32" s="182" t="s">
        <v>253</v>
      </c>
      <c r="B32" s="184" t="s">
        <v>183</v>
      </c>
      <c r="C32" s="472">
        <f>1865910+9306</f>
        <v>1875216</v>
      </c>
      <c r="D32" s="472">
        <v>1865910</v>
      </c>
      <c r="E32" s="472">
        <f>1865910</f>
        <v>1865910</v>
      </c>
      <c r="F32" s="472">
        <f>1865910+57077</f>
        <v>1922987</v>
      </c>
      <c r="G32" s="472">
        <v>1865910</v>
      </c>
      <c r="H32" s="472">
        <v>1865910</v>
      </c>
      <c r="I32" s="472">
        <f>1865910+309091-39059</f>
        <v>2135942</v>
      </c>
      <c r="J32" s="472">
        <f>1865910+332292-39059</f>
        <v>2159143</v>
      </c>
      <c r="K32" s="472">
        <v>1865910</v>
      </c>
      <c r="L32" s="472">
        <v>1865910</v>
      </c>
      <c r="M32" s="472">
        <v>1865910</v>
      </c>
      <c r="N32" s="472">
        <v>1865917</v>
      </c>
      <c r="O32" s="471">
        <f aca="true" t="shared" si="3" ref="O32:O49">SUM(C32:N32)</f>
        <v>23020575</v>
      </c>
      <c r="Q32" s="194"/>
    </row>
    <row r="33" spans="1:17" ht="31.5">
      <c r="A33" s="182" t="s">
        <v>255</v>
      </c>
      <c r="B33" s="193" t="s">
        <v>341</v>
      </c>
      <c r="C33" s="472">
        <f>373679+1815</f>
        <v>375494</v>
      </c>
      <c r="D33" s="472">
        <f>373679</f>
        <v>373679</v>
      </c>
      <c r="E33" s="472">
        <v>373679</v>
      </c>
      <c r="F33" s="472">
        <f>373679+4542</f>
        <v>378221</v>
      </c>
      <c r="G33" s="472">
        <v>373679</v>
      </c>
      <c r="H33" s="472">
        <v>373679</v>
      </c>
      <c r="I33" s="472">
        <f>373679+39059</f>
        <v>412738</v>
      </c>
      <c r="J33" s="472">
        <f>373679+39059-23200</f>
        <v>389538</v>
      </c>
      <c r="K33" s="472">
        <v>373679</v>
      </c>
      <c r="L33" s="472">
        <v>373679</v>
      </c>
      <c r="M33" s="472">
        <v>373679</v>
      </c>
      <c r="N33" s="472">
        <v>373673</v>
      </c>
      <c r="O33" s="471">
        <f t="shared" si="3"/>
        <v>4545417</v>
      </c>
      <c r="P33" s="194"/>
      <c r="Q33" s="194"/>
    </row>
    <row r="34" spans="1:15" ht="15.75">
      <c r="A34" s="182" t="s">
        <v>260</v>
      </c>
      <c r="B34" s="184" t="s">
        <v>185</v>
      </c>
      <c r="C34" s="472">
        <v>1521000</v>
      </c>
      <c r="D34" s="472">
        <v>1945000</v>
      </c>
      <c r="E34" s="472">
        <v>2645000</v>
      </c>
      <c r="F34" s="472">
        <f>1745000+317500</f>
        <v>2062500</v>
      </c>
      <c r="G34" s="472">
        <f>1545000+177800+602627</f>
        <v>2325427</v>
      </c>
      <c r="H34" s="472">
        <f>1745000-450000+1003000</f>
        <v>2298000</v>
      </c>
      <c r="I34" s="472">
        <f>845000+100000</f>
        <v>945000</v>
      </c>
      <c r="J34" s="472">
        <v>1745000</v>
      </c>
      <c r="K34" s="472">
        <f>1745000-526500+316230+12720+421000+105000</f>
        <v>2073450</v>
      </c>
      <c r="L34" s="472">
        <f>1745000</f>
        <v>1745000</v>
      </c>
      <c r="M34" s="472">
        <v>1745000</v>
      </c>
      <c r="N34" s="472">
        <v>1939797</v>
      </c>
      <c r="O34" s="471">
        <f t="shared" si="3"/>
        <v>22990174</v>
      </c>
    </row>
    <row r="35" spans="1:15" ht="15.75">
      <c r="A35" s="182" t="s">
        <v>262</v>
      </c>
      <c r="B35" s="184" t="s">
        <v>186</v>
      </c>
      <c r="C35" s="472">
        <v>150000</v>
      </c>
      <c r="D35" s="472">
        <v>150000</v>
      </c>
      <c r="E35" s="472">
        <v>150000</v>
      </c>
      <c r="F35" s="472">
        <v>150000</v>
      </c>
      <c r="G35" s="472">
        <f>150000-60000</f>
        <v>90000</v>
      </c>
      <c r="H35" s="472">
        <v>150000</v>
      </c>
      <c r="I35" s="472">
        <v>150000</v>
      </c>
      <c r="J35" s="472">
        <v>500000</v>
      </c>
      <c r="K35" s="472">
        <v>150000</v>
      </c>
      <c r="L35" s="472">
        <v>150000</v>
      </c>
      <c r="M35" s="472">
        <f>150000+61400</f>
        <v>211400</v>
      </c>
      <c r="N35" s="472">
        <v>1000000</v>
      </c>
      <c r="O35" s="471">
        <f t="shared" si="3"/>
        <v>3001400</v>
      </c>
    </row>
    <row r="36" spans="1:15" ht="15.75">
      <c r="A36" s="182" t="s">
        <v>264</v>
      </c>
      <c r="B36" s="184" t="s">
        <v>342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1"/>
    </row>
    <row r="37" spans="1:16" ht="15.75">
      <c r="A37" s="182"/>
      <c r="B37" s="184" t="s">
        <v>343</v>
      </c>
      <c r="C37" s="472">
        <f>37500+69700</f>
        <v>107200</v>
      </c>
      <c r="D37" s="472"/>
      <c r="E37" s="472"/>
      <c r="F37" s="472"/>
      <c r="G37" s="472">
        <v>209100</v>
      </c>
      <c r="H37" s="472"/>
      <c r="I37" s="472"/>
      <c r="J37" s="472">
        <v>37500</v>
      </c>
      <c r="K37" s="472">
        <f>600000+600000</f>
        <v>1200000</v>
      </c>
      <c r="L37" s="472"/>
      <c r="M37" s="472"/>
      <c r="N37" s="472">
        <v>69700</v>
      </c>
      <c r="O37" s="471">
        <f t="shared" si="3"/>
        <v>1623500</v>
      </c>
      <c r="P37" s="194"/>
    </row>
    <row r="38" spans="1:15" ht="15.75">
      <c r="A38" s="182"/>
      <c r="B38" s="184" t="s">
        <v>344</v>
      </c>
      <c r="C38" s="472"/>
      <c r="D38" s="472"/>
      <c r="E38" s="472">
        <v>50000</v>
      </c>
      <c r="F38" s="472">
        <v>40000</v>
      </c>
      <c r="G38" s="472">
        <v>60000</v>
      </c>
      <c r="H38" s="472"/>
      <c r="I38" s="472">
        <v>40000</v>
      </c>
      <c r="J38" s="472">
        <v>40000</v>
      </c>
      <c r="K38" s="472">
        <f>625000+30000</f>
        <v>655000</v>
      </c>
      <c r="L38" s="472"/>
      <c r="M38" s="472">
        <v>90000</v>
      </c>
      <c r="N38" s="472"/>
      <c r="O38" s="471">
        <f t="shared" si="3"/>
        <v>975000</v>
      </c>
    </row>
    <row r="39" spans="1:15" ht="15.75">
      <c r="A39" s="182" t="s">
        <v>271</v>
      </c>
      <c r="B39" s="184" t="s">
        <v>189</v>
      </c>
      <c r="C39" s="472"/>
      <c r="D39" s="472">
        <v>51562</v>
      </c>
      <c r="E39" s="472">
        <v>101600</v>
      </c>
      <c r="F39" s="472"/>
      <c r="G39" s="472">
        <v>296450</v>
      </c>
      <c r="H39" s="472">
        <v>38100</v>
      </c>
      <c r="I39" s="472"/>
      <c r="J39" s="472">
        <v>659920</v>
      </c>
      <c r="K39" s="472"/>
      <c r="L39" s="472"/>
      <c r="M39" s="472">
        <v>280797</v>
      </c>
      <c r="N39" s="472"/>
      <c r="O39" s="471">
        <f t="shared" si="3"/>
        <v>1428429</v>
      </c>
    </row>
    <row r="40" spans="1:15" ht="20.25" customHeight="1">
      <c r="A40" s="182" t="s">
        <v>274</v>
      </c>
      <c r="B40" s="184" t="s">
        <v>73</v>
      </c>
      <c r="C40" s="472"/>
      <c r="D40" s="472">
        <v>5000000</v>
      </c>
      <c r="E40" s="472">
        <v>1250000</v>
      </c>
      <c r="F40" s="472">
        <f>49130487+2228909+1115738</f>
        <v>52475134</v>
      </c>
      <c r="G40" s="472">
        <v>2520923</v>
      </c>
      <c r="H40" s="472"/>
      <c r="I40" s="472">
        <v>450000</v>
      </c>
      <c r="J40" s="472"/>
      <c r="K40" s="472">
        <v>526500</v>
      </c>
      <c r="L40" s="472"/>
      <c r="M40" s="472">
        <v>32594976</v>
      </c>
      <c r="N40" s="472"/>
      <c r="O40" s="471">
        <f t="shared" si="3"/>
        <v>94817533</v>
      </c>
    </row>
    <row r="41" spans="1:15" ht="20.25" customHeight="1">
      <c r="A41" s="182" t="s">
        <v>276</v>
      </c>
      <c r="B41" s="184" t="s">
        <v>265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1">
        <f t="shared" si="3"/>
        <v>0</v>
      </c>
    </row>
    <row r="42" spans="1:15" ht="15.75">
      <c r="A42" s="182"/>
      <c r="B42" s="184" t="s">
        <v>343</v>
      </c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1">
        <f t="shared" si="3"/>
        <v>0</v>
      </c>
    </row>
    <row r="43" spans="1:15" ht="15.75">
      <c r="A43" s="182"/>
      <c r="B43" s="184" t="s">
        <v>344</v>
      </c>
      <c r="C43" s="472"/>
      <c r="D43" s="472"/>
      <c r="E43" s="472"/>
      <c r="F43" s="472"/>
      <c r="G43" s="472"/>
      <c r="H43" s="472">
        <v>1000000</v>
      </c>
      <c r="I43" s="472">
        <v>1000000</v>
      </c>
      <c r="J43" s="472"/>
      <c r="K43" s="472"/>
      <c r="L43" s="472"/>
      <c r="M43" s="472"/>
      <c r="N43" s="472"/>
      <c r="O43" s="471">
        <f t="shared" si="3"/>
        <v>2000000</v>
      </c>
    </row>
    <row r="44" spans="1:15" ht="15.75">
      <c r="A44" s="182" t="s">
        <v>347</v>
      </c>
      <c r="B44" s="184" t="s">
        <v>182</v>
      </c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1">
        <f t="shared" si="3"/>
        <v>0</v>
      </c>
    </row>
    <row r="45" spans="1:15" ht="15.75">
      <c r="A45" s="182"/>
      <c r="B45" s="264" t="s">
        <v>459</v>
      </c>
      <c r="C45" s="472"/>
      <c r="D45" s="472">
        <v>1417579</v>
      </c>
      <c r="E45" s="472"/>
      <c r="F45" s="472"/>
      <c r="G45" s="472">
        <v>3000</v>
      </c>
      <c r="H45" s="472"/>
      <c r="I45" s="472"/>
      <c r="J45" s="472"/>
      <c r="K45" s="472"/>
      <c r="L45" s="472"/>
      <c r="M45" s="472"/>
      <c r="N45" s="472"/>
      <c r="O45" s="471">
        <f t="shared" si="3"/>
        <v>1420579</v>
      </c>
    </row>
    <row r="46" spans="1:15" ht="15.75">
      <c r="A46" s="182"/>
      <c r="B46" s="184" t="s">
        <v>345</v>
      </c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1">
        <f t="shared" si="3"/>
        <v>0</v>
      </c>
    </row>
    <row r="47" spans="1:16" ht="15.75">
      <c r="A47" s="182"/>
      <c r="B47" s="184" t="s">
        <v>346</v>
      </c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1">
        <f t="shared" si="3"/>
        <v>0</v>
      </c>
      <c r="P47" s="194"/>
    </row>
    <row r="48" spans="1:15" ht="15.75">
      <c r="A48" s="182" t="s">
        <v>349</v>
      </c>
      <c r="B48" s="184" t="s">
        <v>348</v>
      </c>
      <c r="C48" s="472"/>
      <c r="D48" s="472"/>
      <c r="E48" s="472"/>
      <c r="F48" s="472"/>
      <c r="G48" s="472">
        <f>37756947+152000-255378-30000-3259976-316230-12720-659920-3000</f>
        <v>33371723</v>
      </c>
      <c r="H48" s="472"/>
      <c r="I48" s="472"/>
      <c r="J48" s="472"/>
      <c r="K48" s="472"/>
      <c r="L48" s="472"/>
      <c r="M48" s="472"/>
      <c r="N48" s="472"/>
      <c r="O48" s="471">
        <f t="shared" si="3"/>
        <v>33371723</v>
      </c>
    </row>
    <row r="49" spans="1:19" s="18" customFormat="1" ht="24" customHeight="1" thickBot="1">
      <c r="A49" s="185" t="s">
        <v>478</v>
      </c>
      <c r="B49" s="186" t="s">
        <v>350</v>
      </c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1">
        <f t="shared" si="3"/>
        <v>0</v>
      </c>
      <c r="S49" s="190"/>
    </row>
    <row r="50" spans="1:15" ht="26.25" customHeight="1" thickBot="1">
      <c r="A50" s="187"/>
      <c r="B50" s="187" t="s">
        <v>351</v>
      </c>
      <c r="C50" s="470">
        <f aca="true" t="shared" si="4" ref="C50:O50">SUM(C32:C49)</f>
        <v>4028910</v>
      </c>
      <c r="D50" s="470">
        <f t="shared" si="4"/>
        <v>10803730</v>
      </c>
      <c r="E50" s="470">
        <f t="shared" si="4"/>
        <v>6436189</v>
      </c>
      <c r="F50" s="470">
        <f t="shared" si="4"/>
        <v>57028842</v>
      </c>
      <c r="G50" s="470">
        <f t="shared" si="4"/>
        <v>41116212</v>
      </c>
      <c r="H50" s="470">
        <f t="shared" si="4"/>
        <v>5725689</v>
      </c>
      <c r="I50" s="470">
        <f t="shared" si="4"/>
        <v>5133680</v>
      </c>
      <c r="J50" s="470">
        <f t="shared" si="4"/>
        <v>5531101</v>
      </c>
      <c r="K50" s="470">
        <f t="shared" si="4"/>
        <v>6844539</v>
      </c>
      <c r="L50" s="470">
        <f t="shared" si="4"/>
        <v>4134589</v>
      </c>
      <c r="M50" s="470">
        <f t="shared" si="4"/>
        <v>37161762</v>
      </c>
      <c r="N50" s="470">
        <f t="shared" si="4"/>
        <v>5249087</v>
      </c>
      <c r="O50" s="469">
        <f t="shared" si="4"/>
        <v>189194330</v>
      </c>
    </row>
    <row r="51" spans="1:15" ht="16.5" thickBot="1">
      <c r="A51" s="191"/>
      <c r="B51" s="192" t="s">
        <v>352</v>
      </c>
      <c r="C51" s="468">
        <f aca="true" t="shared" si="5" ref="C51:N51">C30-C50</f>
        <v>344011</v>
      </c>
      <c r="D51" s="468">
        <f t="shared" si="5"/>
        <v>1243247</v>
      </c>
      <c r="E51" s="468">
        <f t="shared" si="5"/>
        <v>781747</v>
      </c>
      <c r="F51" s="468">
        <f t="shared" si="5"/>
        <v>112861</v>
      </c>
      <c r="G51" s="468">
        <f t="shared" si="5"/>
        <v>8366973</v>
      </c>
      <c r="H51" s="468">
        <f t="shared" si="5"/>
        <v>6677973</v>
      </c>
      <c r="I51" s="468">
        <f t="shared" si="5"/>
        <v>6125073</v>
      </c>
      <c r="J51" s="468">
        <f t="shared" si="5"/>
        <v>5507953</v>
      </c>
      <c r="K51" s="468">
        <f t="shared" si="5"/>
        <v>4377725</v>
      </c>
      <c r="L51" s="468">
        <f t="shared" si="5"/>
        <v>4161825</v>
      </c>
      <c r="M51" s="468">
        <f t="shared" si="5"/>
        <v>1161798</v>
      </c>
      <c r="N51" s="468">
        <f t="shared" si="5"/>
        <v>0</v>
      </c>
      <c r="O51" s="467"/>
    </row>
    <row r="52" spans="3:15" ht="15.75"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</row>
    <row r="53" ht="15.75">
      <c r="O53" s="466"/>
    </row>
    <row r="54" ht="15.75">
      <c r="O54" s="466"/>
    </row>
    <row r="55" ht="15.75">
      <c r="O55" s="466"/>
    </row>
    <row r="56" ht="15.75">
      <c r="O56" s="466"/>
    </row>
  </sheetData>
  <sheetProtection password="AF00" sheet="1"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28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4.75390625" style="25" customWidth="1"/>
    <col min="2" max="2" width="56.25390625" style="25" customWidth="1"/>
    <col min="3" max="3" width="17.875" style="25" customWidth="1"/>
    <col min="4" max="4" width="4.875" style="25" customWidth="1"/>
    <col min="5" max="16384" width="9.125" style="25" customWidth="1"/>
  </cols>
  <sheetData>
    <row r="1" spans="1:5" ht="15.75">
      <c r="A1" s="525" t="s">
        <v>614</v>
      </c>
      <c r="B1" s="525"/>
      <c r="C1" s="525"/>
      <c r="D1" s="103"/>
      <c r="E1" s="24"/>
    </row>
    <row r="2" spans="1:5" ht="15.75">
      <c r="A2" s="26"/>
      <c r="B2" s="26"/>
      <c r="C2" s="26"/>
      <c r="D2" s="27"/>
      <c r="E2" s="24"/>
    </row>
    <row r="3" spans="1:5" ht="12.75" customHeight="1">
      <c r="A3" s="27"/>
      <c r="B3" s="27"/>
      <c r="C3" s="27"/>
      <c r="D3" s="27"/>
      <c r="E3" s="24"/>
    </row>
    <row r="4" spans="1:5" ht="15.75">
      <c r="A4" s="635" t="s">
        <v>578</v>
      </c>
      <c r="B4" s="635"/>
      <c r="C4" s="635"/>
      <c r="D4" s="635"/>
      <c r="E4" s="24"/>
    </row>
    <row r="5" spans="1:5" ht="15.75">
      <c r="A5" s="635" t="s">
        <v>23</v>
      </c>
      <c r="B5" s="635"/>
      <c r="C5" s="635"/>
      <c r="D5" s="635"/>
      <c r="E5" s="24"/>
    </row>
    <row r="6" spans="1:5" ht="15.75">
      <c r="A6" s="635" t="s">
        <v>535</v>
      </c>
      <c r="B6" s="635"/>
      <c r="C6" s="635"/>
      <c r="D6" s="635"/>
      <c r="E6" s="24"/>
    </row>
    <row r="7" spans="1:5" ht="15.75">
      <c r="A7" s="26"/>
      <c r="B7" s="26"/>
      <c r="C7" s="26"/>
      <c r="D7" s="24"/>
      <c r="E7" s="24"/>
    </row>
    <row r="8" spans="1:5" ht="15.75">
      <c r="A8" s="26"/>
      <c r="B8" s="26"/>
      <c r="C8" s="26"/>
      <c r="D8" s="24"/>
      <c r="E8" s="24"/>
    </row>
    <row r="9" spans="1:5" ht="15.75">
      <c r="A9" s="26"/>
      <c r="B9" s="26"/>
      <c r="C9" s="26"/>
      <c r="D9" s="24"/>
      <c r="E9" s="24"/>
    </row>
    <row r="10" spans="1:5" ht="15.75">
      <c r="A10" s="26"/>
      <c r="B10" s="26"/>
      <c r="C10" s="26"/>
      <c r="D10" s="24"/>
      <c r="E10" s="24"/>
    </row>
    <row r="11" spans="1:5" ht="15.75">
      <c r="A11" s="26"/>
      <c r="B11" s="28" t="s">
        <v>11</v>
      </c>
      <c r="C11" s="26"/>
      <c r="D11" s="24"/>
      <c r="E11" s="24"/>
    </row>
    <row r="12" spans="1:5" ht="10.5" customHeight="1">
      <c r="A12" s="26"/>
      <c r="B12" s="28"/>
      <c r="C12" s="26"/>
      <c r="D12" s="24"/>
      <c r="E12" s="24"/>
    </row>
    <row r="13" spans="1:5" ht="12" customHeight="1">
      <c r="A13" s="26"/>
      <c r="B13" s="28"/>
      <c r="C13" s="29"/>
      <c r="D13" s="24"/>
      <c r="E13" s="24"/>
    </row>
    <row r="14" spans="1:3" s="33" customFormat="1" ht="15">
      <c r="A14" s="30"/>
      <c r="B14" s="31" t="s">
        <v>12</v>
      </c>
      <c r="C14" s="32"/>
    </row>
    <row r="15" spans="1:5" ht="19.5" customHeight="1">
      <c r="A15" s="34"/>
      <c r="B15" s="24" t="s">
        <v>13</v>
      </c>
      <c r="C15" s="35">
        <v>1845000</v>
      </c>
      <c r="D15" s="24" t="s">
        <v>1</v>
      </c>
      <c r="E15" s="24"/>
    </row>
    <row r="16" spans="1:5" ht="19.5" customHeight="1">
      <c r="A16" s="24"/>
      <c r="B16" s="27" t="s">
        <v>14</v>
      </c>
      <c r="C16" s="36">
        <f>SUM(C15)</f>
        <v>1845000</v>
      </c>
      <c r="D16" s="27" t="s">
        <v>1</v>
      </c>
      <c r="E16" s="24"/>
    </row>
    <row r="17" spans="1:5" ht="19.5" customHeight="1">
      <c r="A17" s="24"/>
      <c r="B17" s="27"/>
      <c r="C17" s="36"/>
      <c r="D17" s="27"/>
      <c r="E17" s="24"/>
    </row>
    <row r="18" spans="1:5" ht="19.5" customHeight="1">
      <c r="A18" s="24"/>
      <c r="B18" s="27"/>
      <c r="C18" s="36"/>
      <c r="D18" s="27"/>
      <c r="E18" s="24"/>
    </row>
    <row r="19" spans="1:5" ht="10.5" customHeight="1">
      <c r="A19" s="24"/>
      <c r="B19" s="27"/>
      <c r="C19" s="36"/>
      <c r="D19" s="27"/>
      <c r="E19" s="24"/>
    </row>
    <row r="20" spans="1:5" ht="15.75">
      <c r="A20" s="24"/>
      <c r="B20" s="90"/>
      <c r="C20" s="24"/>
      <c r="D20" s="24"/>
      <c r="E20" s="24"/>
    </row>
    <row r="21" spans="1:5" ht="15.75">
      <c r="A21" s="24"/>
      <c r="B21" s="24"/>
      <c r="C21" s="24"/>
      <c r="D21" s="24"/>
      <c r="E21" s="24"/>
    </row>
    <row r="22" spans="1:5" ht="15.75">
      <c r="A22" s="24"/>
      <c r="B22" s="24"/>
      <c r="C22" s="24"/>
      <c r="D22" s="24"/>
      <c r="E22" s="24"/>
    </row>
    <row r="23" spans="1:5" ht="15.75">
      <c r="A23" s="24"/>
      <c r="B23" s="24"/>
      <c r="C23" s="24"/>
      <c r="D23" s="24"/>
      <c r="E23" s="24"/>
    </row>
    <row r="24" spans="1:5" ht="15.75">
      <c r="A24" s="24"/>
      <c r="B24" s="24"/>
      <c r="C24" s="24"/>
      <c r="D24" s="24"/>
      <c r="E24" s="24"/>
    </row>
    <row r="25" spans="1:5" ht="15.75">
      <c r="A25" s="24"/>
      <c r="B25" s="24"/>
      <c r="C25" s="24"/>
      <c r="D25" s="24"/>
      <c r="E25" s="24"/>
    </row>
    <row r="26" spans="1:5" ht="15.75">
      <c r="A26" s="24"/>
      <c r="B26" s="24"/>
      <c r="C26" s="24"/>
      <c r="D26" s="24"/>
      <c r="E26" s="24"/>
    </row>
    <row r="27" spans="1:5" ht="15.75">
      <c r="A27" s="24"/>
      <c r="B27" s="24"/>
      <c r="C27" s="24"/>
      <c r="D27" s="24"/>
      <c r="E27" s="24"/>
    </row>
    <row r="28" spans="1:5" ht="15.75">
      <c r="A28" s="24"/>
      <c r="B28" s="24"/>
      <c r="C28" s="24"/>
      <c r="D28" s="24"/>
      <c r="E28" s="24"/>
    </row>
  </sheetData>
  <sheetProtection password="AF00" sheet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525" t="s">
        <v>615</v>
      </c>
      <c r="B1" s="525"/>
      <c r="C1" s="525"/>
      <c r="D1" s="525"/>
      <c r="E1" s="525"/>
    </row>
    <row r="3" spans="1:5" ht="12.75">
      <c r="A3" s="501"/>
      <c r="B3" s="501"/>
      <c r="C3" s="501"/>
      <c r="D3" s="501"/>
      <c r="E3" s="501"/>
    </row>
    <row r="4" spans="1:6" ht="14.25">
      <c r="A4" s="632"/>
      <c r="B4" s="632"/>
      <c r="C4" s="632"/>
      <c r="D4" s="632"/>
      <c r="E4" s="632"/>
      <c r="F4" s="68"/>
    </row>
    <row r="5" spans="1:6" ht="14.25">
      <c r="A5" s="632" t="s">
        <v>622</v>
      </c>
      <c r="B5" s="632"/>
      <c r="C5" s="632"/>
      <c r="D5" s="632"/>
      <c r="E5" s="632"/>
      <c r="F5" s="68"/>
    </row>
    <row r="6" spans="1:6" s="5" customFormat="1" ht="15.75">
      <c r="A6" s="512" t="s">
        <v>285</v>
      </c>
      <c r="B6" s="512"/>
      <c r="C6" s="512"/>
      <c r="D6" s="512"/>
      <c r="E6" s="512"/>
      <c r="F6" s="59"/>
    </row>
    <row r="7" spans="1:6" s="5" customFormat="1" ht="15.75">
      <c r="A7" s="512" t="s">
        <v>536</v>
      </c>
      <c r="B7" s="512"/>
      <c r="C7" s="512"/>
      <c r="D7" s="512"/>
      <c r="E7" s="512"/>
      <c r="F7" s="59"/>
    </row>
    <row r="8" spans="1:5" s="5" customFormat="1" ht="13.5" thickBot="1">
      <c r="A8" s="69"/>
      <c r="B8" s="69"/>
      <c r="C8" s="69"/>
      <c r="D8" s="69"/>
      <c r="E8" s="70" t="s">
        <v>4</v>
      </c>
    </row>
    <row r="9" spans="1:5" s="73" customFormat="1" ht="22.5" customHeight="1" thickTop="1">
      <c r="A9" s="71" t="s">
        <v>40</v>
      </c>
      <c r="B9" s="72"/>
      <c r="C9" s="636" t="s">
        <v>60</v>
      </c>
      <c r="D9" s="636" t="s">
        <v>61</v>
      </c>
      <c r="E9" s="641" t="s">
        <v>62</v>
      </c>
    </row>
    <row r="10" spans="1:5" s="73" customFormat="1" ht="12.75">
      <c r="A10" s="74"/>
      <c r="B10" s="75" t="s">
        <v>63</v>
      </c>
      <c r="C10" s="637"/>
      <c r="D10" s="637"/>
      <c r="E10" s="642"/>
    </row>
    <row r="11" spans="1:5" s="73" customFormat="1" ht="13.5" thickBot="1">
      <c r="A11" s="76" t="s">
        <v>41</v>
      </c>
      <c r="B11" s="77"/>
      <c r="C11" s="638"/>
      <c r="D11" s="638"/>
      <c r="E11" s="643"/>
    </row>
    <row r="12" spans="1:5" s="73" customFormat="1" ht="12.75">
      <c r="A12" s="646" t="s">
        <v>42</v>
      </c>
      <c r="B12" s="648" t="s">
        <v>64</v>
      </c>
      <c r="C12" s="644">
        <v>1887</v>
      </c>
      <c r="D12" s="644">
        <v>1887</v>
      </c>
      <c r="E12" s="639">
        <f>SUM(C12:D17)</f>
        <v>3774</v>
      </c>
    </row>
    <row r="13" spans="1:5" s="73" customFormat="1" ht="15" customHeight="1">
      <c r="A13" s="647"/>
      <c r="B13" s="649"/>
      <c r="C13" s="645"/>
      <c r="D13" s="645"/>
      <c r="E13" s="640"/>
    </row>
    <row r="14" spans="1:5" s="73" customFormat="1" ht="15" customHeight="1">
      <c r="A14" s="647"/>
      <c r="B14" s="78" t="s">
        <v>65</v>
      </c>
      <c r="C14" s="645"/>
      <c r="D14" s="645"/>
      <c r="E14" s="640"/>
    </row>
    <row r="15" spans="1:5" s="73" customFormat="1" ht="25.5">
      <c r="A15" s="647"/>
      <c r="B15" s="78" t="s">
        <v>286</v>
      </c>
      <c r="C15" s="645"/>
      <c r="D15" s="645"/>
      <c r="E15" s="640"/>
    </row>
    <row r="16" spans="1:5" s="73" customFormat="1" ht="12.75">
      <c r="A16" s="647"/>
      <c r="B16" s="79" t="s">
        <v>66</v>
      </c>
      <c r="C16" s="645"/>
      <c r="D16" s="645"/>
      <c r="E16" s="640"/>
    </row>
    <row r="17" spans="1:5" s="73" customFormat="1" ht="13.5" thickBot="1">
      <c r="A17" s="647"/>
      <c r="B17" s="80" t="s">
        <v>67</v>
      </c>
      <c r="C17" s="645"/>
      <c r="D17" s="645"/>
      <c r="E17" s="640"/>
    </row>
    <row r="18" spans="1:6" s="86" customFormat="1" ht="40.5" customHeight="1" thickBot="1" thickTop="1">
      <c r="A18" s="81"/>
      <c r="B18" s="82" t="s">
        <v>68</v>
      </c>
      <c r="C18" s="83">
        <f>SUM(C12:C17)</f>
        <v>1887</v>
      </c>
      <c r="D18" s="83">
        <f>SUM(D12:D17)</f>
        <v>1887</v>
      </c>
      <c r="E18" s="84">
        <f>SUM(E12:E17)</f>
        <v>3774</v>
      </c>
      <c r="F18" s="85"/>
    </row>
    <row r="19" spans="1:4" s="86" customFormat="1" ht="27" customHeight="1">
      <c r="A19" s="87"/>
      <c r="B19" s="88"/>
      <c r="C19" s="89"/>
      <c r="D19" s="89"/>
    </row>
  </sheetData>
  <sheetProtection password="AF00" sheet="1"/>
  <mergeCells count="14">
    <mergeCell ref="A1:E1"/>
    <mergeCell ref="A3:E3"/>
    <mergeCell ref="A4:E4"/>
    <mergeCell ref="A12:A17"/>
    <mergeCell ref="B12:B13"/>
    <mergeCell ref="A6:E6"/>
    <mergeCell ref="A7:E7"/>
    <mergeCell ref="A5:E5"/>
    <mergeCell ref="D9:D11"/>
    <mergeCell ref="E12:E17"/>
    <mergeCell ref="E9:E11"/>
    <mergeCell ref="C12:C17"/>
    <mergeCell ref="C9:C11"/>
    <mergeCell ref="D12:D17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3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875" style="51" customWidth="1"/>
    <col min="2" max="2" width="37.375" style="51" customWidth="1"/>
    <col min="3" max="3" width="9.625" style="51" customWidth="1"/>
    <col min="4" max="15" width="15.75390625" style="51" customWidth="1"/>
    <col min="16" max="16" width="13.625" style="51" bestFit="1" customWidth="1"/>
    <col min="17" max="16384" width="9.125" style="51" customWidth="1"/>
  </cols>
  <sheetData>
    <row r="2" spans="1:15" ht="15.75">
      <c r="A2" s="691" t="s">
        <v>616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</row>
    <row r="3" spans="1:15" ht="15.75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2:15" ht="15.7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5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5.75">
      <c r="A6" s="500" t="s">
        <v>39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</row>
    <row r="7" spans="1:15" ht="15.75">
      <c r="A7" s="500" t="s">
        <v>361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</row>
    <row r="8" spans="1:15" ht="15.75">
      <c r="A8" s="500" t="s">
        <v>557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</row>
    <row r="9" spans="1:15" ht="15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ht="15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</row>
    <row r="11" ht="16.5" thickBot="1">
      <c r="O11" s="197" t="s">
        <v>486</v>
      </c>
    </row>
    <row r="12" spans="1:15" ht="32.25" customHeight="1" thickTop="1">
      <c r="A12" s="678" t="s">
        <v>362</v>
      </c>
      <c r="B12" s="667" t="s">
        <v>363</v>
      </c>
      <c r="C12" s="667" t="s">
        <v>364</v>
      </c>
      <c r="D12" s="670" t="s">
        <v>365</v>
      </c>
      <c r="E12" s="670"/>
      <c r="F12" s="671"/>
      <c r="G12" s="670" t="s">
        <v>366</v>
      </c>
      <c r="H12" s="670"/>
      <c r="I12" s="671"/>
      <c r="J12" s="670" t="s">
        <v>62</v>
      </c>
      <c r="K12" s="670"/>
      <c r="L12" s="671"/>
      <c r="M12" s="654" t="s">
        <v>367</v>
      </c>
      <c r="N12" s="655"/>
      <c r="O12" s="656"/>
    </row>
    <row r="13" spans="1:15" ht="16.5" thickBot="1">
      <c r="A13" s="668"/>
      <c r="B13" s="668"/>
      <c r="C13" s="668"/>
      <c r="D13" s="672"/>
      <c r="E13" s="672"/>
      <c r="F13" s="673"/>
      <c r="G13" s="672"/>
      <c r="H13" s="672"/>
      <c r="I13" s="673"/>
      <c r="J13" s="672"/>
      <c r="K13" s="672"/>
      <c r="L13" s="673"/>
      <c r="M13" s="657"/>
      <c r="N13" s="658"/>
      <c r="O13" s="653"/>
    </row>
    <row r="14" spans="1:15" ht="15.75">
      <c r="A14" s="668"/>
      <c r="B14" s="668"/>
      <c r="C14" s="668"/>
      <c r="D14" s="659" t="s">
        <v>371</v>
      </c>
      <c r="E14" s="659" t="s">
        <v>372</v>
      </c>
      <c r="F14" s="659" t="s">
        <v>518</v>
      </c>
      <c r="G14" s="659" t="s">
        <v>371</v>
      </c>
      <c r="H14" s="659" t="s">
        <v>372</v>
      </c>
      <c r="I14" s="659" t="s">
        <v>518</v>
      </c>
      <c r="J14" s="659" t="s">
        <v>371</v>
      </c>
      <c r="K14" s="659" t="s">
        <v>372</v>
      </c>
      <c r="L14" s="659" t="s">
        <v>518</v>
      </c>
      <c r="M14" s="659" t="s">
        <v>368</v>
      </c>
      <c r="N14" s="650" t="s">
        <v>366</v>
      </c>
      <c r="O14" s="652" t="s">
        <v>369</v>
      </c>
    </row>
    <row r="15" spans="1:15" ht="16.5" thickBot="1">
      <c r="A15" s="669"/>
      <c r="B15" s="669"/>
      <c r="C15" s="669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51"/>
      <c r="O15" s="653"/>
    </row>
    <row r="16" spans="1:16" ht="26.25" customHeight="1">
      <c r="A16" s="701" t="s">
        <v>42</v>
      </c>
      <c r="B16" s="679" t="s">
        <v>373</v>
      </c>
      <c r="C16" s="674"/>
      <c r="D16" s="661">
        <f>12559-9743</f>
        <v>2816</v>
      </c>
      <c r="E16" s="661"/>
      <c r="F16" s="661"/>
      <c r="G16" s="661"/>
      <c r="H16" s="661">
        <v>9743</v>
      </c>
      <c r="I16" s="661"/>
      <c r="J16" s="661">
        <f>D16+G16</f>
        <v>2816</v>
      </c>
      <c r="K16" s="661">
        <f>F16+H16</f>
        <v>9743</v>
      </c>
      <c r="L16" s="661"/>
      <c r="M16" s="688">
        <f>D16+F16</f>
        <v>2816</v>
      </c>
      <c r="N16" s="685">
        <f>G16+H16</f>
        <v>9743</v>
      </c>
      <c r="O16" s="664">
        <f>J16+K16</f>
        <v>12559</v>
      </c>
      <c r="P16" s="194"/>
    </row>
    <row r="17" spans="1:15" ht="26.25" customHeight="1">
      <c r="A17" s="693"/>
      <c r="B17" s="680"/>
      <c r="C17" s="675"/>
      <c r="D17" s="662"/>
      <c r="E17" s="662"/>
      <c r="F17" s="662"/>
      <c r="G17" s="662"/>
      <c r="H17" s="662"/>
      <c r="I17" s="662"/>
      <c r="J17" s="662"/>
      <c r="K17" s="662"/>
      <c r="L17" s="662"/>
      <c r="M17" s="689"/>
      <c r="N17" s="686"/>
      <c r="O17" s="665"/>
    </row>
    <row r="18" spans="1:15" s="198" customFormat="1" ht="26.25" customHeight="1" thickBot="1">
      <c r="A18" s="702"/>
      <c r="B18" s="681"/>
      <c r="C18" s="676"/>
      <c r="D18" s="677"/>
      <c r="E18" s="677"/>
      <c r="F18" s="677"/>
      <c r="G18" s="663"/>
      <c r="H18" s="663"/>
      <c r="I18" s="663"/>
      <c r="J18" s="663"/>
      <c r="K18" s="663"/>
      <c r="L18" s="663"/>
      <c r="M18" s="690"/>
      <c r="N18" s="687"/>
      <c r="O18" s="666"/>
    </row>
    <row r="19" spans="1:15" ht="26.25" customHeight="1" thickTop="1">
      <c r="A19" s="692"/>
      <c r="B19" s="695" t="s">
        <v>370</v>
      </c>
      <c r="C19" s="698"/>
      <c r="D19" s="682">
        <f>D16</f>
        <v>2816</v>
      </c>
      <c r="E19" s="682"/>
      <c r="F19" s="682">
        <f aca="true" t="shared" si="0" ref="F19:O19">F16</f>
        <v>0</v>
      </c>
      <c r="G19" s="682">
        <f t="shared" si="0"/>
        <v>0</v>
      </c>
      <c r="H19" s="682">
        <f>H16</f>
        <v>9743</v>
      </c>
      <c r="I19" s="682">
        <f>I16</f>
        <v>0</v>
      </c>
      <c r="J19" s="682">
        <f t="shared" si="0"/>
        <v>2816</v>
      </c>
      <c r="K19" s="682">
        <f>K16</f>
        <v>9743</v>
      </c>
      <c r="L19" s="682"/>
      <c r="M19" s="682">
        <f t="shared" si="0"/>
        <v>2816</v>
      </c>
      <c r="N19" s="682">
        <f t="shared" si="0"/>
        <v>9743</v>
      </c>
      <c r="O19" s="682">
        <f t="shared" si="0"/>
        <v>12559</v>
      </c>
    </row>
    <row r="20" spans="1:15" ht="26.25" customHeight="1">
      <c r="A20" s="693"/>
      <c r="B20" s="696"/>
      <c r="C20" s="699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</row>
    <row r="21" spans="1:15" s="198" customFormat="1" ht="26.25" customHeight="1" thickBot="1">
      <c r="A21" s="694"/>
      <c r="B21" s="697"/>
      <c r="C21" s="700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4"/>
    </row>
    <row r="22" spans="1:15" ht="26.25" customHeight="1" thickTop="1">
      <c r="A22" s="199"/>
      <c r="B22" s="199"/>
      <c r="C22" s="199"/>
      <c r="D22" s="200"/>
      <c r="E22" s="200"/>
      <c r="F22" s="200"/>
      <c r="G22" s="201"/>
      <c r="H22" s="201"/>
      <c r="I22" s="201"/>
      <c r="J22" s="201"/>
      <c r="K22" s="201"/>
      <c r="L22" s="201"/>
      <c r="M22" s="200"/>
      <c r="N22" s="201"/>
      <c r="O22" s="200"/>
    </row>
    <row r="23" spans="1:15" ht="26.25" customHeight="1">
      <c r="A23" s="199"/>
      <c r="B23" s="199"/>
      <c r="C23" s="199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</row>
    <row r="24" spans="1:15" ht="26.25" customHeight="1">
      <c r="A24" s="199"/>
      <c r="B24" s="199"/>
      <c r="C24" s="199"/>
      <c r="D24" s="200"/>
      <c r="E24" s="200"/>
      <c r="F24" s="200"/>
      <c r="G24" s="200"/>
      <c r="H24" s="200"/>
      <c r="I24" s="200"/>
      <c r="J24" s="201"/>
      <c r="K24" s="201"/>
      <c r="L24" s="201"/>
      <c r="M24" s="200"/>
      <c r="N24" s="200"/>
      <c r="O24" s="200"/>
    </row>
    <row r="25" spans="1:15" ht="26.25" customHeight="1">
      <c r="A25" s="199"/>
      <c r="B25" s="199"/>
      <c r="C25" s="199"/>
      <c r="D25" s="200"/>
      <c r="E25" s="200"/>
      <c r="F25" s="200"/>
      <c r="G25" s="201"/>
      <c r="H25" s="201"/>
      <c r="I25" s="201"/>
      <c r="J25" s="200"/>
      <c r="K25" s="200"/>
      <c r="L25" s="200"/>
      <c r="M25" s="200"/>
      <c r="N25" s="200"/>
      <c r="O25" s="200"/>
    </row>
    <row r="26" spans="1:15" ht="26.25" customHeight="1">
      <c r="A26" s="199"/>
      <c r="B26" s="199"/>
      <c r="C26" s="199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30" spans="7:9" ht="15.75">
      <c r="G30" s="194"/>
      <c r="H30" s="194"/>
      <c r="I30" s="194"/>
    </row>
  </sheetData>
  <sheetProtection password="AF00" sheet="1"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95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25" t="s">
        <v>617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2.7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4" spans="1:13" ht="20.25" customHeight="1">
      <c r="A4" s="793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13" s="51" customFormat="1" ht="15.75">
      <c r="A5" s="500" t="s">
        <v>39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1:13" s="51" customFormat="1" ht="15.75">
      <c r="A6" s="500" t="s">
        <v>374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</row>
    <row r="7" spans="1:13" s="51" customFormat="1" ht="15.75">
      <c r="A7" s="500" t="s">
        <v>532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</row>
    <row r="8" spans="1:13" ht="12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1:13" s="51" customFormat="1" ht="15.75">
      <c r="A9" s="203" t="s">
        <v>375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13" ht="12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ht="15.75">
      <c r="A11" s="204" t="s">
        <v>517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2" customHeight="1" thickBo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3" ht="16.5" thickBot="1">
      <c r="A13" s="732" t="s">
        <v>376</v>
      </c>
      <c r="B13" s="733"/>
      <c r="C13" s="733"/>
      <c r="D13" s="736" t="s">
        <v>377</v>
      </c>
      <c r="E13" s="737"/>
      <c r="F13" s="738"/>
      <c r="G13" s="736" t="s">
        <v>378</v>
      </c>
      <c r="H13" s="737"/>
      <c r="I13" s="738"/>
      <c r="J13" s="736" t="s">
        <v>379</v>
      </c>
      <c r="K13" s="737"/>
      <c r="L13" s="738"/>
      <c r="M13" s="703" t="s">
        <v>380</v>
      </c>
    </row>
    <row r="14" spans="1:13" ht="15.75">
      <c r="A14" s="734"/>
      <c r="B14" s="735"/>
      <c r="C14" s="735"/>
      <c r="D14" s="205" t="s">
        <v>381</v>
      </c>
      <c r="E14" s="206" t="s">
        <v>382</v>
      </c>
      <c r="F14" s="207" t="s">
        <v>383</v>
      </c>
      <c r="G14" s="206" t="s">
        <v>384</v>
      </c>
      <c r="H14" s="206" t="s">
        <v>382</v>
      </c>
      <c r="I14" s="207" t="s">
        <v>385</v>
      </c>
      <c r="J14" s="206" t="s">
        <v>384</v>
      </c>
      <c r="K14" s="207" t="s">
        <v>382</v>
      </c>
      <c r="L14" s="206" t="s">
        <v>385</v>
      </c>
      <c r="M14" s="704"/>
    </row>
    <row r="15" spans="1:13" ht="16.5" thickBot="1">
      <c r="A15" s="734"/>
      <c r="B15" s="735"/>
      <c r="C15" s="735"/>
      <c r="D15" s="208" t="s">
        <v>386</v>
      </c>
      <c r="E15" s="209" t="s">
        <v>387</v>
      </c>
      <c r="F15" s="210" t="s">
        <v>5</v>
      </c>
      <c r="G15" s="211" t="s">
        <v>386</v>
      </c>
      <c r="H15" s="209" t="s">
        <v>387</v>
      </c>
      <c r="I15" s="210" t="s">
        <v>5</v>
      </c>
      <c r="J15" s="211" t="s">
        <v>386</v>
      </c>
      <c r="K15" s="210" t="s">
        <v>387</v>
      </c>
      <c r="L15" s="209" t="s">
        <v>5</v>
      </c>
      <c r="M15" s="705"/>
    </row>
    <row r="16" spans="1:13" ht="7.5" customHeight="1">
      <c r="A16" s="706" t="s">
        <v>388</v>
      </c>
      <c r="B16" s="707"/>
      <c r="C16" s="708"/>
      <c r="D16" s="715"/>
      <c r="E16" s="718"/>
      <c r="F16" s="721"/>
      <c r="G16" s="724" t="s">
        <v>389</v>
      </c>
      <c r="H16" s="727"/>
      <c r="I16" s="740">
        <v>2172</v>
      </c>
      <c r="J16" s="718"/>
      <c r="K16" s="718"/>
      <c r="L16" s="718"/>
      <c r="M16" s="742">
        <f>I16</f>
        <v>2172</v>
      </c>
    </row>
    <row r="17" spans="1:13" ht="7.5" customHeight="1">
      <c r="A17" s="709"/>
      <c r="B17" s="710"/>
      <c r="C17" s="711"/>
      <c r="D17" s="716"/>
      <c r="E17" s="719"/>
      <c r="F17" s="722"/>
      <c r="G17" s="725"/>
      <c r="H17" s="728"/>
      <c r="I17" s="719"/>
      <c r="J17" s="719"/>
      <c r="K17" s="719"/>
      <c r="L17" s="719"/>
      <c r="M17" s="719"/>
    </row>
    <row r="18" spans="1:13" ht="15.75" customHeight="1" thickBot="1">
      <c r="A18" s="712"/>
      <c r="B18" s="713"/>
      <c r="C18" s="714"/>
      <c r="D18" s="717"/>
      <c r="E18" s="720"/>
      <c r="F18" s="723"/>
      <c r="G18" s="726"/>
      <c r="H18" s="729"/>
      <c r="I18" s="741"/>
      <c r="J18" s="720"/>
      <c r="K18" s="720"/>
      <c r="L18" s="720"/>
      <c r="M18" s="720"/>
    </row>
    <row r="19" spans="1:13" s="112" customFormat="1" ht="12.75" customHeight="1">
      <c r="A19" s="743" t="s">
        <v>2</v>
      </c>
      <c r="B19" s="744"/>
      <c r="C19" s="745"/>
      <c r="D19" s="730"/>
      <c r="E19" s="730"/>
      <c r="F19" s="749">
        <f>SUM(F16)</f>
        <v>0</v>
      </c>
      <c r="G19" s="730"/>
      <c r="H19" s="730"/>
      <c r="I19" s="730">
        <f>I16</f>
        <v>2172</v>
      </c>
      <c r="J19" s="730"/>
      <c r="K19" s="730"/>
      <c r="L19" s="730"/>
      <c r="M19" s="739">
        <f>M16</f>
        <v>2172</v>
      </c>
    </row>
    <row r="20" spans="1:13" s="112" customFormat="1" ht="13.5" customHeight="1" thickBot="1">
      <c r="A20" s="746"/>
      <c r="B20" s="747"/>
      <c r="C20" s="748"/>
      <c r="D20" s="731"/>
      <c r="E20" s="731"/>
      <c r="F20" s="750"/>
      <c r="G20" s="731"/>
      <c r="H20" s="731"/>
      <c r="I20" s="731"/>
      <c r="J20" s="731"/>
      <c r="K20" s="731"/>
      <c r="L20" s="731"/>
      <c r="M20" s="731"/>
    </row>
    <row r="21" spans="1:13" ht="12" customHeight="1">
      <c r="A21" s="202"/>
      <c r="B21" s="202"/>
      <c r="C21" s="202"/>
      <c r="D21" s="202"/>
      <c r="E21" s="202"/>
      <c r="F21" s="212"/>
      <c r="G21" s="202"/>
      <c r="H21" s="202"/>
      <c r="I21" s="202"/>
      <c r="J21" s="202"/>
      <c r="K21" s="202"/>
      <c r="L21" s="202"/>
      <c r="M21" s="202"/>
    </row>
    <row r="22" spans="1:6" s="204" customFormat="1" ht="12" customHeight="1">
      <c r="A22" s="204" t="s">
        <v>390</v>
      </c>
      <c r="F22" s="213"/>
    </row>
    <row r="23" spans="1:13" ht="17.25" customHeight="1">
      <c r="A23" s="214" t="s">
        <v>391</v>
      </c>
      <c r="B23" s="214"/>
      <c r="C23" s="214"/>
      <c r="D23" s="214"/>
      <c r="E23" s="214"/>
      <c r="F23" s="215"/>
      <c r="G23" s="216" t="s">
        <v>5</v>
      </c>
      <c r="H23" s="202"/>
      <c r="I23" s="202"/>
      <c r="J23" s="202"/>
      <c r="K23" s="202"/>
      <c r="L23" s="202"/>
      <c r="M23" s="202"/>
    </row>
    <row r="24" spans="1:13" ht="17.25" customHeight="1">
      <c r="A24" s="214" t="s">
        <v>392</v>
      </c>
      <c r="B24" s="214"/>
      <c r="C24" s="214"/>
      <c r="D24" s="214"/>
      <c r="E24" s="214"/>
      <c r="F24" s="215"/>
      <c r="G24" s="216" t="s">
        <v>5</v>
      </c>
      <c r="H24" s="202"/>
      <c r="I24" s="202"/>
      <c r="J24" s="202"/>
      <c r="K24" s="202"/>
      <c r="L24" s="202"/>
      <c r="M24" s="202"/>
    </row>
    <row r="25" spans="1:13" ht="15.75" customHeight="1">
      <c r="A25" s="214" t="s">
        <v>393</v>
      </c>
      <c r="B25" s="214"/>
      <c r="C25" s="214"/>
      <c r="D25" s="214"/>
      <c r="E25" s="214"/>
      <c r="F25" s="217">
        <v>41</v>
      </c>
      <c r="G25" s="218" t="s">
        <v>5</v>
      </c>
      <c r="H25" s="202"/>
      <c r="I25" s="202"/>
      <c r="J25" s="202"/>
      <c r="K25" s="202"/>
      <c r="L25" s="202"/>
      <c r="M25" s="202"/>
    </row>
    <row r="26" spans="1:13" ht="17.25" customHeight="1">
      <c r="A26" s="214" t="s">
        <v>394</v>
      </c>
      <c r="B26" s="214"/>
      <c r="C26" s="214"/>
      <c r="D26" s="214"/>
      <c r="E26" s="214"/>
      <c r="F26" s="219">
        <f>SUM(F23:F25)</f>
        <v>41</v>
      </c>
      <c r="G26" s="220" t="s">
        <v>5</v>
      </c>
      <c r="H26" s="202"/>
      <c r="I26" s="202"/>
      <c r="J26" s="202"/>
      <c r="K26" s="202"/>
      <c r="L26" s="202"/>
      <c r="M26" s="202"/>
    </row>
    <row r="27" spans="1:13" ht="13.5" customHeight="1">
      <c r="A27" s="214"/>
      <c r="B27" s="214"/>
      <c r="C27" s="214"/>
      <c r="D27" s="214"/>
      <c r="E27" s="214"/>
      <c r="F27" s="219"/>
      <c r="G27" s="220"/>
      <c r="H27" s="202"/>
      <c r="I27" s="202"/>
      <c r="J27" s="202"/>
      <c r="K27" s="202"/>
      <c r="L27" s="202"/>
      <c r="M27" s="202"/>
    </row>
    <row r="28" spans="1:13" ht="15.75">
      <c r="A28" s="204" t="s">
        <v>395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3.5" customHeight="1">
      <c r="A29" s="214"/>
      <c r="B29" s="214"/>
      <c r="C29" s="214"/>
      <c r="D29" s="214"/>
      <c r="E29" s="214"/>
      <c r="F29" s="219"/>
      <c r="G29" s="220"/>
      <c r="H29" s="202"/>
      <c r="I29" s="202"/>
      <c r="J29" s="202"/>
      <c r="K29" s="202"/>
      <c r="L29" s="202"/>
      <c r="M29" s="202"/>
    </row>
    <row r="30" spans="1:13" ht="13.5" customHeight="1" thickBot="1">
      <c r="A30" s="214"/>
      <c r="B30" s="214"/>
      <c r="C30" s="214"/>
      <c r="D30" s="214"/>
      <c r="E30" s="214"/>
      <c r="F30" s="219"/>
      <c r="G30" s="220"/>
      <c r="H30" s="202"/>
      <c r="I30" s="202"/>
      <c r="J30" s="202"/>
      <c r="K30" s="202"/>
      <c r="L30" s="202"/>
      <c r="M30" s="202"/>
    </row>
    <row r="31" spans="1:13" ht="16.5" thickBot="1">
      <c r="A31" s="732" t="s">
        <v>376</v>
      </c>
      <c r="B31" s="733"/>
      <c r="C31" s="733"/>
      <c r="D31" s="736" t="s">
        <v>377</v>
      </c>
      <c r="E31" s="737"/>
      <c r="F31" s="738"/>
      <c r="G31" s="736" t="s">
        <v>378</v>
      </c>
      <c r="H31" s="737"/>
      <c r="I31" s="738"/>
      <c r="J31" s="736" t="s">
        <v>379</v>
      </c>
      <c r="K31" s="737"/>
      <c r="L31" s="738"/>
      <c r="M31" s="703" t="s">
        <v>380</v>
      </c>
    </row>
    <row r="32" spans="1:13" ht="15.75">
      <c r="A32" s="734"/>
      <c r="B32" s="735"/>
      <c r="C32" s="735"/>
      <c r="D32" s="205" t="s">
        <v>381</v>
      </c>
      <c r="E32" s="206" t="s">
        <v>382</v>
      </c>
      <c r="F32" s="207" t="s">
        <v>383</v>
      </c>
      <c r="G32" s="206" t="s">
        <v>384</v>
      </c>
      <c r="H32" s="206" t="s">
        <v>382</v>
      </c>
      <c r="I32" s="207" t="s">
        <v>385</v>
      </c>
      <c r="J32" s="206" t="s">
        <v>384</v>
      </c>
      <c r="K32" s="207" t="s">
        <v>382</v>
      </c>
      <c r="L32" s="206" t="s">
        <v>385</v>
      </c>
      <c r="M32" s="704"/>
    </row>
    <row r="33" spans="1:13" ht="16.5" thickBot="1">
      <c r="A33" s="734"/>
      <c r="B33" s="735"/>
      <c r="C33" s="735"/>
      <c r="D33" s="208" t="s">
        <v>386</v>
      </c>
      <c r="E33" s="209" t="s">
        <v>387</v>
      </c>
      <c r="F33" s="210" t="s">
        <v>5</v>
      </c>
      <c r="G33" s="211" t="s">
        <v>386</v>
      </c>
      <c r="H33" s="209" t="s">
        <v>387</v>
      </c>
      <c r="I33" s="210" t="s">
        <v>5</v>
      </c>
      <c r="J33" s="211" t="s">
        <v>386</v>
      </c>
      <c r="K33" s="210" t="s">
        <v>387</v>
      </c>
      <c r="L33" s="209" t="s">
        <v>5</v>
      </c>
      <c r="M33" s="705"/>
    </row>
    <row r="34" spans="1:13" ht="7.5" customHeight="1">
      <c r="A34" s="752" t="s">
        <v>396</v>
      </c>
      <c r="B34" s="753"/>
      <c r="C34" s="754"/>
      <c r="D34" s="715" t="s">
        <v>397</v>
      </c>
      <c r="E34" s="718"/>
      <c r="F34" s="721">
        <v>14</v>
      </c>
      <c r="G34" s="751"/>
      <c r="H34" s="751"/>
      <c r="I34" s="751"/>
      <c r="J34" s="718"/>
      <c r="K34" s="718"/>
      <c r="L34" s="718"/>
      <c r="M34" s="742">
        <f>L34+I34+F34</f>
        <v>14</v>
      </c>
    </row>
    <row r="35" spans="1:13" ht="7.5" customHeight="1">
      <c r="A35" s="755"/>
      <c r="B35" s="756"/>
      <c r="C35" s="757"/>
      <c r="D35" s="716"/>
      <c r="E35" s="719"/>
      <c r="F35" s="722"/>
      <c r="G35" s="751"/>
      <c r="H35" s="751"/>
      <c r="I35" s="751"/>
      <c r="J35" s="719"/>
      <c r="K35" s="719"/>
      <c r="L35" s="719"/>
      <c r="M35" s="719"/>
    </row>
    <row r="36" spans="1:13" ht="7.5" customHeight="1">
      <c r="A36" s="758"/>
      <c r="B36" s="759"/>
      <c r="C36" s="760"/>
      <c r="D36" s="717"/>
      <c r="E36" s="720"/>
      <c r="F36" s="723"/>
      <c r="G36" s="751"/>
      <c r="H36" s="751"/>
      <c r="I36" s="751"/>
      <c r="J36" s="720"/>
      <c r="K36" s="720"/>
      <c r="L36" s="720"/>
      <c r="M36" s="720"/>
    </row>
    <row r="37" spans="1:13" ht="7.5" customHeight="1">
      <c r="A37" s="765" t="s">
        <v>464</v>
      </c>
      <c r="B37" s="794"/>
      <c r="C37" s="795"/>
      <c r="D37" s="715" t="s">
        <v>465</v>
      </c>
      <c r="E37" s="718"/>
      <c r="F37" s="721">
        <v>71</v>
      </c>
      <c r="G37" s="718"/>
      <c r="H37" s="718"/>
      <c r="I37" s="718"/>
      <c r="J37" s="718"/>
      <c r="K37" s="718"/>
      <c r="L37" s="718"/>
      <c r="M37" s="742">
        <f>L37+I37+F37</f>
        <v>71</v>
      </c>
    </row>
    <row r="38" spans="1:13" ht="7.5" customHeight="1">
      <c r="A38" s="796"/>
      <c r="B38" s="797"/>
      <c r="C38" s="798"/>
      <c r="D38" s="802"/>
      <c r="E38" s="762"/>
      <c r="F38" s="762"/>
      <c r="G38" s="762"/>
      <c r="H38" s="762"/>
      <c r="I38" s="762"/>
      <c r="J38" s="762"/>
      <c r="K38" s="762"/>
      <c r="L38" s="762"/>
      <c r="M38" s="719"/>
    </row>
    <row r="39" spans="1:13" ht="7.5" customHeight="1">
      <c r="A39" s="799"/>
      <c r="B39" s="800"/>
      <c r="C39" s="801"/>
      <c r="D39" s="803"/>
      <c r="E39" s="763"/>
      <c r="F39" s="763"/>
      <c r="G39" s="763"/>
      <c r="H39" s="763"/>
      <c r="I39" s="763"/>
      <c r="J39" s="763"/>
      <c r="K39" s="763"/>
      <c r="L39" s="763"/>
      <c r="M39" s="720"/>
    </row>
    <row r="40" spans="1:13" ht="19.5" customHeight="1">
      <c r="A40" s="804" t="s">
        <v>398</v>
      </c>
      <c r="B40" s="805"/>
      <c r="C40" s="806"/>
      <c r="D40" s="336"/>
      <c r="E40" s="337"/>
      <c r="F40" s="337"/>
      <c r="G40" s="338" t="s">
        <v>542</v>
      </c>
      <c r="H40" s="337"/>
      <c r="I40" s="337">
        <v>7</v>
      </c>
      <c r="J40" s="337"/>
      <c r="K40" s="337"/>
      <c r="L40" s="337"/>
      <c r="M40" s="334">
        <f>I40</f>
        <v>7</v>
      </c>
    </row>
    <row r="41" spans="1:13" ht="24.75" customHeight="1">
      <c r="A41" s="807" t="s">
        <v>398</v>
      </c>
      <c r="B41" s="808"/>
      <c r="C41" s="809"/>
      <c r="D41" s="336"/>
      <c r="E41" s="337"/>
      <c r="F41" s="337"/>
      <c r="G41" s="339" t="s">
        <v>399</v>
      </c>
      <c r="H41" s="337"/>
      <c r="I41" s="337">
        <v>227</v>
      </c>
      <c r="J41" s="337"/>
      <c r="K41" s="337"/>
      <c r="L41" s="337"/>
      <c r="M41" s="334">
        <f>I41</f>
        <v>227</v>
      </c>
    </row>
    <row r="42" spans="1:13" ht="7.5" customHeight="1">
      <c r="A42" s="765" t="s">
        <v>398</v>
      </c>
      <c r="B42" s="766"/>
      <c r="C42" s="767"/>
      <c r="D42" s="715"/>
      <c r="E42" s="718"/>
      <c r="F42" s="721"/>
      <c r="G42" s="764" t="s">
        <v>543</v>
      </c>
      <c r="H42" s="751"/>
      <c r="I42" s="761"/>
      <c r="J42" s="718"/>
      <c r="K42" s="718"/>
      <c r="L42" s="718"/>
      <c r="M42" s="742">
        <f>L42+I42+F42</f>
        <v>0</v>
      </c>
    </row>
    <row r="43" spans="1:13" ht="7.5" customHeight="1">
      <c r="A43" s="755"/>
      <c r="B43" s="756"/>
      <c r="C43" s="757"/>
      <c r="D43" s="716"/>
      <c r="E43" s="719"/>
      <c r="F43" s="722"/>
      <c r="G43" s="764"/>
      <c r="H43" s="751"/>
      <c r="I43" s="761"/>
      <c r="J43" s="719"/>
      <c r="K43" s="719"/>
      <c r="L43" s="719"/>
      <c r="M43" s="719"/>
    </row>
    <row r="44" spans="1:13" ht="7.5" customHeight="1" thickBot="1">
      <c r="A44" s="758"/>
      <c r="B44" s="759"/>
      <c r="C44" s="760"/>
      <c r="D44" s="717"/>
      <c r="E44" s="720"/>
      <c r="F44" s="723"/>
      <c r="G44" s="764"/>
      <c r="H44" s="751"/>
      <c r="I44" s="761"/>
      <c r="J44" s="720"/>
      <c r="K44" s="720"/>
      <c r="L44" s="720"/>
      <c r="M44" s="720"/>
    </row>
    <row r="45" spans="1:13" s="112" customFormat="1" ht="12.75" customHeight="1">
      <c r="A45" s="743" t="s">
        <v>2</v>
      </c>
      <c r="B45" s="744"/>
      <c r="C45" s="745"/>
      <c r="D45" s="730"/>
      <c r="E45" s="730"/>
      <c r="F45" s="749">
        <f>SUM(F34:F44)</f>
        <v>85</v>
      </c>
      <c r="G45" s="730"/>
      <c r="H45" s="730"/>
      <c r="I45" s="739">
        <f>SUM(I34:I44)</f>
        <v>234</v>
      </c>
      <c r="J45" s="730"/>
      <c r="K45" s="730"/>
      <c r="L45" s="730"/>
      <c r="M45" s="739">
        <f>SUM(M34:M44)</f>
        <v>319</v>
      </c>
    </row>
    <row r="46" spans="1:13" s="112" customFormat="1" ht="13.5" customHeight="1" thickBot="1">
      <c r="A46" s="746"/>
      <c r="B46" s="747"/>
      <c r="C46" s="748"/>
      <c r="D46" s="731"/>
      <c r="E46" s="731"/>
      <c r="F46" s="750"/>
      <c r="G46" s="731"/>
      <c r="H46" s="731"/>
      <c r="I46" s="731"/>
      <c r="J46" s="731"/>
      <c r="K46" s="731"/>
      <c r="L46" s="731"/>
      <c r="M46" s="731"/>
    </row>
    <row r="47" spans="1:13" ht="13.5" customHeight="1">
      <c r="A47" s="214"/>
      <c r="B47" s="214"/>
      <c r="C47" s="214"/>
      <c r="D47" s="214"/>
      <c r="E47" s="214"/>
      <c r="F47" s="219"/>
      <c r="G47" s="220"/>
      <c r="H47" s="202"/>
      <c r="I47" s="202"/>
      <c r="J47" s="202"/>
      <c r="K47" s="202"/>
      <c r="L47" s="202"/>
      <c r="M47" s="202"/>
    </row>
    <row r="48" spans="1:13" ht="13.5" customHeight="1">
      <c r="A48" s="214"/>
      <c r="B48" s="214"/>
      <c r="C48" s="214"/>
      <c r="D48" s="214"/>
      <c r="E48" s="214"/>
      <c r="F48" s="219"/>
      <c r="G48" s="220"/>
      <c r="H48" s="202"/>
      <c r="I48" s="202"/>
      <c r="J48" s="202"/>
      <c r="K48" s="202"/>
      <c r="L48" s="202"/>
      <c r="M48" s="202"/>
    </row>
    <row r="49" spans="1:13" ht="13.5" customHeight="1">
      <c r="A49" s="214"/>
      <c r="B49" s="214"/>
      <c r="C49" s="214"/>
      <c r="D49" s="214"/>
      <c r="E49" s="214"/>
      <c r="F49" s="219"/>
      <c r="G49" s="220"/>
      <c r="H49" s="202"/>
      <c r="I49" s="202"/>
      <c r="J49" s="202"/>
      <c r="K49" s="202"/>
      <c r="L49" s="202"/>
      <c r="M49" s="202"/>
    </row>
    <row r="50" spans="1:13" ht="13.5" customHeight="1">
      <c r="A50" s="214"/>
      <c r="B50" s="214"/>
      <c r="C50" s="214"/>
      <c r="D50" s="214"/>
      <c r="E50" s="214"/>
      <c r="F50" s="219"/>
      <c r="G50" s="220"/>
      <c r="H50" s="202"/>
      <c r="I50" s="202"/>
      <c r="J50" s="202"/>
      <c r="K50" s="202"/>
      <c r="L50" s="202"/>
      <c r="M50" s="202"/>
    </row>
    <row r="51" spans="1:13" ht="13.5" customHeight="1">
      <c r="A51" s="214"/>
      <c r="B51" s="214"/>
      <c r="C51" s="214"/>
      <c r="D51" s="214"/>
      <c r="E51" s="214"/>
      <c r="F51" s="219"/>
      <c r="G51" s="220"/>
      <c r="H51" s="202"/>
      <c r="I51" s="202"/>
      <c r="J51" s="202"/>
      <c r="K51" s="202"/>
      <c r="L51" s="202"/>
      <c r="M51" s="202"/>
    </row>
    <row r="52" spans="1:13" ht="13.5" customHeight="1">
      <c r="A52" s="214"/>
      <c r="B52" s="214"/>
      <c r="C52" s="214"/>
      <c r="D52" s="214"/>
      <c r="E52" s="214"/>
      <c r="F52" s="219"/>
      <c r="G52" s="220"/>
      <c r="H52" s="202"/>
      <c r="I52" s="202"/>
      <c r="J52" s="202"/>
      <c r="K52" s="202"/>
      <c r="L52" s="202"/>
      <c r="M52" s="202"/>
    </row>
    <row r="53" spans="1:13" ht="13.5" customHeight="1">
      <c r="A53" s="214"/>
      <c r="B53" s="214"/>
      <c r="C53" s="214"/>
      <c r="D53" s="214"/>
      <c r="E53" s="214"/>
      <c r="F53" s="219"/>
      <c r="G53" s="220"/>
      <c r="H53" s="202"/>
      <c r="I53" s="202"/>
      <c r="J53" s="202"/>
      <c r="K53" s="202"/>
      <c r="L53" s="202"/>
      <c r="M53" s="202"/>
    </row>
    <row r="54" spans="1:13" ht="13.5" customHeight="1">
      <c r="A54" s="214"/>
      <c r="B54" s="214"/>
      <c r="C54" s="214"/>
      <c r="D54" s="214"/>
      <c r="E54" s="214"/>
      <c r="F54" s="219"/>
      <c r="G54" s="220"/>
      <c r="H54" s="202"/>
      <c r="I54" s="202"/>
      <c r="J54" s="202"/>
      <c r="K54" s="202"/>
      <c r="L54" s="202"/>
      <c r="M54" s="202"/>
    </row>
    <row r="55" spans="1:13" ht="13.5" customHeight="1">
      <c r="A55" s="214"/>
      <c r="B55" s="214"/>
      <c r="C55" s="214"/>
      <c r="D55" s="214"/>
      <c r="E55" s="214"/>
      <c r="F55" s="219"/>
      <c r="G55" s="220"/>
      <c r="H55" s="202"/>
      <c r="I55" s="202"/>
      <c r="J55" s="202"/>
      <c r="K55" s="202"/>
      <c r="L55" s="202"/>
      <c r="M55" s="202"/>
    </row>
    <row r="56" spans="1:13" ht="13.5" customHeight="1">
      <c r="A56" s="214"/>
      <c r="B56" s="214"/>
      <c r="C56" s="214"/>
      <c r="D56" s="214"/>
      <c r="E56" s="214"/>
      <c r="F56" s="219"/>
      <c r="G56" s="220"/>
      <c r="H56" s="202"/>
      <c r="I56" s="202"/>
      <c r="J56" s="202"/>
      <c r="K56" s="202"/>
      <c r="L56" s="202"/>
      <c r="M56" s="202"/>
    </row>
    <row r="57" spans="1:13" ht="13.5" customHeight="1">
      <c r="A57" s="214"/>
      <c r="B57" s="214"/>
      <c r="C57" s="214"/>
      <c r="D57" s="214"/>
      <c r="E57" s="214"/>
      <c r="F57" s="219"/>
      <c r="G57" s="220"/>
      <c r="H57" s="202"/>
      <c r="I57" s="202"/>
      <c r="J57" s="202"/>
      <c r="K57" s="202"/>
      <c r="L57" s="202"/>
      <c r="M57" s="202"/>
    </row>
    <row r="58" spans="1:13" ht="13.5" customHeight="1">
      <c r="A58" s="214"/>
      <c r="B58" s="214"/>
      <c r="C58" s="214"/>
      <c r="D58" s="214"/>
      <c r="E58" s="214"/>
      <c r="F58" s="219"/>
      <c r="G58" s="220"/>
      <c r="H58" s="202"/>
      <c r="I58" s="202"/>
      <c r="J58" s="202"/>
      <c r="K58" s="202"/>
      <c r="L58" s="202"/>
      <c r="M58" s="202"/>
    </row>
    <row r="59" spans="1:13" ht="15.75">
      <c r="A59" s="7" t="s">
        <v>400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2" customHeight="1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</row>
    <row r="61" spans="1:13" ht="15.75">
      <c r="A61" s="7" t="s">
        <v>401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12" customHeight="1" thickBo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</row>
    <row r="63" spans="1:11" ht="12.75" customHeight="1">
      <c r="A63" s="732" t="s">
        <v>376</v>
      </c>
      <c r="B63" s="733"/>
      <c r="C63" s="733"/>
      <c r="D63" s="732" t="s">
        <v>402</v>
      </c>
      <c r="E63" s="703"/>
      <c r="F63" s="732" t="s">
        <v>403</v>
      </c>
      <c r="G63" s="703"/>
      <c r="H63" s="732" t="s">
        <v>404</v>
      </c>
      <c r="I63" s="703"/>
      <c r="J63" s="732" t="s">
        <v>405</v>
      </c>
      <c r="K63" s="703"/>
    </row>
    <row r="64" spans="1:11" ht="12.75" customHeight="1">
      <c r="A64" s="734"/>
      <c r="B64" s="735"/>
      <c r="C64" s="735"/>
      <c r="D64" s="734"/>
      <c r="E64" s="704"/>
      <c r="F64" s="734"/>
      <c r="G64" s="704"/>
      <c r="H64" s="734"/>
      <c r="I64" s="704"/>
      <c r="J64" s="734"/>
      <c r="K64" s="704"/>
    </row>
    <row r="65" spans="1:11" ht="13.5" customHeight="1" thickBot="1">
      <c r="A65" s="769"/>
      <c r="B65" s="772"/>
      <c r="C65" s="772"/>
      <c r="D65" s="769"/>
      <c r="E65" s="705"/>
      <c r="F65" s="769"/>
      <c r="G65" s="705"/>
      <c r="H65" s="769"/>
      <c r="I65" s="705"/>
      <c r="J65" s="769"/>
      <c r="K65" s="705"/>
    </row>
    <row r="66" spans="1:12" s="51" customFormat="1" ht="25.5" customHeight="1" thickBot="1">
      <c r="A66" s="719" t="s">
        <v>406</v>
      </c>
      <c r="B66" s="719"/>
      <c r="C66" s="719"/>
      <c r="D66" s="719" t="s">
        <v>407</v>
      </c>
      <c r="E66" s="719"/>
      <c r="F66" s="770" t="s">
        <v>407</v>
      </c>
      <c r="G66" s="771"/>
      <c r="H66" s="770" t="s">
        <v>407</v>
      </c>
      <c r="I66" s="771"/>
      <c r="J66" s="719" t="s">
        <v>407</v>
      </c>
      <c r="K66" s="719"/>
      <c r="L66" s="221"/>
    </row>
    <row r="67" spans="1:13" s="112" customFormat="1" ht="12.75" customHeight="1">
      <c r="A67" s="743" t="s">
        <v>2</v>
      </c>
      <c r="B67" s="744"/>
      <c r="C67" s="745"/>
      <c r="D67" s="743"/>
      <c r="E67" s="745"/>
      <c r="F67" s="743"/>
      <c r="G67" s="745"/>
      <c r="H67" s="743"/>
      <c r="I67" s="745"/>
      <c r="J67" s="743" t="s">
        <v>407</v>
      </c>
      <c r="K67" s="745"/>
      <c r="L67" s="768"/>
      <c r="M67" s="768"/>
    </row>
    <row r="68" spans="1:13" s="112" customFormat="1" ht="13.5" customHeight="1" thickBot="1">
      <c r="A68" s="746"/>
      <c r="B68" s="747"/>
      <c r="C68" s="748"/>
      <c r="D68" s="746"/>
      <c r="E68" s="748"/>
      <c r="F68" s="746"/>
      <c r="G68" s="748"/>
      <c r="H68" s="746"/>
      <c r="I68" s="748"/>
      <c r="J68" s="746"/>
      <c r="K68" s="748"/>
      <c r="L68" s="768"/>
      <c r="M68" s="768"/>
    </row>
    <row r="70" spans="1:13" ht="15.75">
      <c r="A70" s="7" t="s">
        <v>408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ht="13.5" thickBot="1"/>
    <row r="72" spans="1:11" ht="12.75" customHeight="1">
      <c r="A72" s="732" t="s">
        <v>376</v>
      </c>
      <c r="B72" s="733"/>
      <c r="C72" s="733"/>
      <c r="D72" s="732" t="s">
        <v>402</v>
      </c>
      <c r="E72" s="703"/>
      <c r="F72" s="732" t="s">
        <v>409</v>
      </c>
      <c r="G72" s="703"/>
      <c r="H72" s="732" t="s">
        <v>404</v>
      </c>
      <c r="I72" s="703"/>
      <c r="J72" s="732" t="s">
        <v>405</v>
      </c>
      <c r="K72" s="703"/>
    </row>
    <row r="73" spans="1:11" ht="12.75" customHeight="1">
      <c r="A73" s="734"/>
      <c r="B73" s="735"/>
      <c r="C73" s="735"/>
      <c r="D73" s="734"/>
      <c r="E73" s="704"/>
      <c r="F73" s="734"/>
      <c r="G73" s="704"/>
      <c r="H73" s="734"/>
      <c r="I73" s="704"/>
      <c r="J73" s="734"/>
      <c r="K73" s="704"/>
    </row>
    <row r="74" spans="1:11" ht="13.5" customHeight="1" thickBot="1">
      <c r="A74" s="769"/>
      <c r="B74" s="772"/>
      <c r="C74" s="772"/>
      <c r="D74" s="769"/>
      <c r="E74" s="705"/>
      <c r="F74" s="769"/>
      <c r="G74" s="705"/>
      <c r="H74" s="769"/>
      <c r="I74" s="705"/>
      <c r="J74" s="769"/>
      <c r="K74" s="705"/>
    </row>
    <row r="75" spans="1:12" s="51" customFormat="1" ht="25.5" customHeight="1" thickBot="1">
      <c r="A75" s="719" t="s">
        <v>410</v>
      </c>
      <c r="B75" s="719"/>
      <c r="C75" s="719"/>
      <c r="D75" s="719" t="s">
        <v>411</v>
      </c>
      <c r="E75" s="719"/>
      <c r="F75" s="790" t="s">
        <v>407</v>
      </c>
      <c r="G75" s="791"/>
      <c r="H75" s="790"/>
      <c r="I75" s="791"/>
      <c r="J75" s="722"/>
      <c r="K75" s="722"/>
      <c r="L75" s="221"/>
    </row>
    <row r="76" spans="1:13" ht="12.75" customHeight="1">
      <c r="A76" s="773" t="s">
        <v>2</v>
      </c>
      <c r="B76" s="774"/>
      <c r="C76" s="775"/>
      <c r="D76" s="779"/>
      <c r="E76" s="780"/>
      <c r="F76" s="782">
        <f>SUM(F75)</f>
        <v>0</v>
      </c>
      <c r="G76" s="783"/>
      <c r="H76" s="786">
        <f>SUM(H75)</f>
        <v>0</v>
      </c>
      <c r="I76" s="787"/>
      <c r="J76" s="786">
        <f>SUM(J75)</f>
        <v>0</v>
      </c>
      <c r="K76" s="787"/>
      <c r="L76" s="792"/>
      <c r="M76" s="792"/>
    </row>
    <row r="77" spans="1:13" ht="13.5" customHeight="1" thickBot="1">
      <c r="A77" s="776"/>
      <c r="B77" s="777"/>
      <c r="C77" s="778"/>
      <c r="D77" s="781"/>
      <c r="E77" s="673"/>
      <c r="F77" s="784"/>
      <c r="G77" s="785"/>
      <c r="H77" s="788"/>
      <c r="I77" s="789"/>
      <c r="J77" s="788"/>
      <c r="K77" s="789"/>
      <c r="L77" s="792"/>
      <c r="M77" s="792"/>
    </row>
    <row r="79" spans="1:13" ht="15.75">
      <c r="A79" s="7" t="s">
        <v>412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ht="13.5" thickBot="1"/>
    <row r="81" spans="1:11" ht="12.75" customHeight="1">
      <c r="A81" s="732" t="s">
        <v>376</v>
      </c>
      <c r="B81" s="733"/>
      <c r="C81" s="733"/>
      <c r="D81" s="732" t="s">
        <v>402</v>
      </c>
      <c r="E81" s="703"/>
      <c r="F81" s="732" t="s">
        <v>403</v>
      </c>
      <c r="G81" s="703"/>
      <c r="H81" s="732" t="s">
        <v>404</v>
      </c>
      <c r="I81" s="703"/>
      <c r="J81" s="732" t="s">
        <v>405</v>
      </c>
      <c r="K81" s="703"/>
    </row>
    <row r="82" spans="1:11" ht="12.75" customHeight="1">
      <c r="A82" s="734"/>
      <c r="B82" s="735"/>
      <c r="C82" s="735"/>
      <c r="D82" s="734"/>
      <c r="E82" s="704"/>
      <c r="F82" s="734"/>
      <c r="G82" s="704"/>
      <c r="H82" s="734"/>
      <c r="I82" s="704"/>
      <c r="J82" s="734"/>
      <c r="K82" s="704"/>
    </row>
    <row r="83" spans="1:11" ht="13.5" customHeight="1" thickBot="1">
      <c r="A83" s="769"/>
      <c r="B83" s="772"/>
      <c r="C83" s="772"/>
      <c r="D83" s="769"/>
      <c r="E83" s="705"/>
      <c r="F83" s="769"/>
      <c r="G83" s="705"/>
      <c r="H83" s="769"/>
      <c r="I83" s="705"/>
      <c r="J83" s="769"/>
      <c r="K83" s="705"/>
    </row>
    <row r="84" spans="1:12" s="51" customFormat="1" ht="25.5" customHeight="1" thickBot="1">
      <c r="A84" s="719" t="s">
        <v>410</v>
      </c>
      <c r="B84" s="719"/>
      <c r="C84" s="719"/>
      <c r="D84" s="719" t="s">
        <v>413</v>
      </c>
      <c r="E84" s="719"/>
      <c r="F84" s="770" t="s">
        <v>407</v>
      </c>
      <c r="G84" s="771"/>
      <c r="H84" s="770"/>
      <c r="I84" s="771"/>
      <c r="J84" s="719"/>
      <c r="K84" s="719"/>
      <c r="L84" s="221"/>
    </row>
    <row r="85" spans="1:13" ht="12.75" customHeight="1">
      <c r="A85" s="773" t="s">
        <v>2</v>
      </c>
      <c r="B85" s="774"/>
      <c r="C85" s="775"/>
      <c r="D85" s="779"/>
      <c r="E85" s="780"/>
      <c r="F85" s="779"/>
      <c r="G85" s="780"/>
      <c r="H85" s="743">
        <f>SUM(H84)</f>
        <v>0</v>
      </c>
      <c r="I85" s="745"/>
      <c r="J85" s="743">
        <f>SUM(J84)</f>
        <v>0</v>
      </c>
      <c r="K85" s="745"/>
      <c r="L85" s="792"/>
      <c r="M85" s="792"/>
    </row>
    <row r="86" spans="1:13" ht="13.5" customHeight="1" thickBot="1">
      <c r="A86" s="776"/>
      <c r="B86" s="777"/>
      <c r="C86" s="778"/>
      <c r="D86" s="781"/>
      <c r="E86" s="673"/>
      <c r="F86" s="781"/>
      <c r="G86" s="673"/>
      <c r="H86" s="746"/>
      <c r="I86" s="748"/>
      <c r="J86" s="746"/>
      <c r="K86" s="748"/>
      <c r="L86" s="792"/>
      <c r="M86" s="792"/>
    </row>
    <row r="88" spans="1:13" ht="15.75">
      <c r="A88" s="7" t="s">
        <v>414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ht="13.5" thickBot="1"/>
    <row r="90" spans="1:11" ht="12.75" customHeight="1">
      <c r="A90" s="732" t="s">
        <v>376</v>
      </c>
      <c r="B90" s="733"/>
      <c r="C90" s="733"/>
      <c r="D90" s="732" t="s">
        <v>402</v>
      </c>
      <c r="E90" s="703"/>
      <c r="F90" s="732" t="s">
        <v>403</v>
      </c>
      <c r="G90" s="703"/>
      <c r="H90" s="732" t="s">
        <v>404</v>
      </c>
      <c r="I90" s="703"/>
      <c r="J90" s="732" t="s">
        <v>405</v>
      </c>
      <c r="K90" s="703"/>
    </row>
    <row r="91" spans="1:11" ht="12.75" customHeight="1">
      <c r="A91" s="734"/>
      <c r="B91" s="735"/>
      <c r="C91" s="735"/>
      <c r="D91" s="734"/>
      <c r="E91" s="704"/>
      <c r="F91" s="734"/>
      <c r="G91" s="704"/>
      <c r="H91" s="734"/>
      <c r="I91" s="704"/>
      <c r="J91" s="734"/>
      <c r="K91" s="704"/>
    </row>
    <row r="92" spans="1:11" ht="13.5" customHeight="1" thickBot="1">
      <c r="A92" s="769"/>
      <c r="B92" s="772"/>
      <c r="C92" s="772"/>
      <c r="D92" s="769"/>
      <c r="E92" s="705"/>
      <c r="F92" s="769"/>
      <c r="G92" s="705"/>
      <c r="H92" s="769"/>
      <c r="I92" s="705"/>
      <c r="J92" s="769"/>
      <c r="K92" s="705"/>
    </row>
    <row r="93" spans="1:12" s="51" customFormat="1" ht="25.5" customHeight="1" thickBot="1">
      <c r="A93" s="719" t="s">
        <v>410</v>
      </c>
      <c r="B93" s="719"/>
      <c r="C93" s="719"/>
      <c r="D93" s="719"/>
      <c r="E93" s="719"/>
      <c r="F93" s="770" t="s">
        <v>407</v>
      </c>
      <c r="G93" s="771"/>
      <c r="H93" s="770"/>
      <c r="I93" s="771"/>
      <c r="J93" s="719"/>
      <c r="K93" s="719"/>
      <c r="L93" s="221"/>
    </row>
    <row r="94" spans="1:13" ht="12.75" customHeight="1">
      <c r="A94" s="773" t="s">
        <v>2</v>
      </c>
      <c r="B94" s="774"/>
      <c r="C94" s="775"/>
      <c r="D94" s="779"/>
      <c r="E94" s="780"/>
      <c r="F94" s="779"/>
      <c r="G94" s="780"/>
      <c r="H94" s="743">
        <f>SUM(H93)</f>
        <v>0</v>
      </c>
      <c r="I94" s="745"/>
      <c r="J94" s="743">
        <f>SUM(J93)</f>
        <v>0</v>
      </c>
      <c r="K94" s="745"/>
      <c r="L94" s="792"/>
      <c r="M94" s="792"/>
    </row>
    <row r="95" spans="1:13" ht="13.5" customHeight="1" thickBot="1">
      <c r="A95" s="776"/>
      <c r="B95" s="777"/>
      <c r="C95" s="778"/>
      <c r="D95" s="781"/>
      <c r="E95" s="673"/>
      <c r="F95" s="781"/>
      <c r="G95" s="673"/>
      <c r="H95" s="746"/>
      <c r="I95" s="748"/>
      <c r="J95" s="746"/>
      <c r="K95" s="748"/>
      <c r="L95" s="792"/>
      <c r="M95" s="792"/>
    </row>
  </sheetData>
  <sheetProtection password="AF00" sheet="1"/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.75390625" style="24" customWidth="1"/>
    <col min="2" max="2" width="65.75390625" style="24" customWidth="1"/>
    <col min="3" max="5" width="15.75390625" style="24" bestFit="1" customWidth="1"/>
    <col min="6" max="6" width="18.00390625" style="24" bestFit="1" customWidth="1"/>
    <col min="7" max="7" width="11.375" style="51" bestFit="1" customWidth="1"/>
    <col min="8" max="16384" width="9.125" style="51" customWidth="1"/>
  </cols>
  <sheetData>
    <row r="1" spans="1:6" ht="15.75">
      <c r="A1" s="525" t="s">
        <v>618</v>
      </c>
      <c r="B1" s="525"/>
      <c r="C1" s="525"/>
      <c r="D1" s="525"/>
      <c r="E1" s="525"/>
      <c r="F1" s="525"/>
    </row>
    <row r="2" spans="1:6" ht="21" customHeight="1">
      <c r="A2" s="635"/>
      <c r="B2" s="635"/>
      <c r="C2" s="635"/>
      <c r="D2" s="635"/>
      <c r="E2" s="635"/>
      <c r="F2" s="635"/>
    </row>
    <row r="3" spans="1:6" ht="15.75">
      <c r="A3" s="635" t="s">
        <v>623</v>
      </c>
      <c r="B3" s="635"/>
      <c r="C3" s="635"/>
      <c r="D3" s="635"/>
      <c r="E3" s="635"/>
      <c r="F3" s="635"/>
    </row>
    <row r="4" spans="1:6" ht="15.75">
      <c r="A4" s="635" t="s">
        <v>415</v>
      </c>
      <c r="B4" s="635"/>
      <c r="C4" s="635"/>
      <c r="D4" s="635"/>
      <c r="E4" s="635"/>
      <c r="F4" s="635"/>
    </row>
    <row r="5" spans="1:6" ht="15.75">
      <c r="A5" s="635" t="s">
        <v>537</v>
      </c>
      <c r="B5" s="635"/>
      <c r="C5" s="635"/>
      <c r="D5" s="635"/>
      <c r="E5" s="635"/>
      <c r="F5" s="635"/>
    </row>
    <row r="6" spans="1:6" ht="16.5" thickBot="1">
      <c r="A6" s="26"/>
      <c r="B6" s="26"/>
      <c r="C6" s="51"/>
      <c r="D6" s="223"/>
      <c r="E6" s="51"/>
      <c r="F6" s="223" t="s">
        <v>4</v>
      </c>
    </row>
    <row r="7" spans="1:6" ht="15.75">
      <c r="A7" s="224" t="s">
        <v>40</v>
      </c>
      <c r="B7" s="810" t="s">
        <v>416</v>
      </c>
      <c r="C7" s="813" t="s">
        <v>417</v>
      </c>
      <c r="D7" s="814"/>
      <c r="E7" s="814"/>
      <c r="F7" s="810" t="s">
        <v>304</v>
      </c>
    </row>
    <row r="8" spans="1:6" ht="16.5" thickBot="1">
      <c r="A8" s="225"/>
      <c r="B8" s="811"/>
      <c r="C8" s="815"/>
      <c r="D8" s="816"/>
      <c r="E8" s="816"/>
      <c r="F8" s="811"/>
    </row>
    <row r="9" spans="1:6" ht="16.5" thickBot="1">
      <c r="A9" s="225"/>
      <c r="B9" s="811"/>
      <c r="C9" s="226" t="s">
        <v>450</v>
      </c>
      <c r="D9" s="226" t="s">
        <v>487</v>
      </c>
      <c r="E9" s="226" t="s">
        <v>538</v>
      </c>
      <c r="F9" s="811"/>
    </row>
    <row r="10" spans="1:6" ht="16.5" thickBot="1">
      <c r="A10" s="227" t="s">
        <v>41</v>
      </c>
      <c r="B10" s="812"/>
      <c r="C10" s="817" t="s">
        <v>418</v>
      </c>
      <c r="D10" s="818"/>
      <c r="E10" s="818"/>
      <c r="F10" s="812"/>
    </row>
    <row r="11" spans="1:6" ht="15.75">
      <c r="A11" s="222" t="s">
        <v>42</v>
      </c>
      <c r="B11" s="252" t="s">
        <v>424</v>
      </c>
      <c r="C11" s="228">
        <v>7733</v>
      </c>
      <c r="D11" s="228">
        <v>7733</v>
      </c>
      <c r="E11" s="228">
        <v>7733</v>
      </c>
      <c r="F11" s="228">
        <f>SUM(C11:E11)</f>
        <v>23199</v>
      </c>
    </row>
    <row r="12" spans="1:6" ht="31.5">
      <c r="A12" s="222" t="s">
        <v>26</v>
      </c>
      <c r="B12" s="253" t="s">
        <v>425</v>
      </c>
      <c r="C12" s="229"/>
      <c r="D12" s="229"/>
      <c r="E12" s="229"/>
      <c r="F12" s="228">
        <f>SUM(C12:E12)</f>
        <v>0</v>
      </c>
    </row>
    <row r="13" spans="1:2" s="200" customFormat="1" ht="15.75">
      <c r="A13" s="222" t="s">
        <v>43</v>
      </c>
      <c r="B13" s="252" t="s">
        <v>426</v>
      </c>
    </row>
    <row r="14" spans="1:6" s="200" customFormat="1" ht="31.5">
      <c r="A14" s="222" t="s">
        <v>99</v>
      </c>
      <c r="B14" s="253" t="s">
        <v>427</v>
      </c>
      <c r="C14" s="230"/>
      <c r="D14" s="230"/>
      <c r="E14" s="230"/>
      <c r="F14" s="228">
        <f>SUM(C14:E14)</f>
        <v>0</v>
      </c>
    </row>
    <row r="15" spans="1:6" s="200" customFormat="1" ht="15.75">
      <c r="A15" s="222" t="s">
        <v>100</v>
      </c>
      <c r="B15" s="252" t="s">
        <v>419</v>
      </c>
      <c r="C15" s="230">
        <v>75</v>
      </c>
      <c r="D15" s="230">
        <v>75</v>
      </c>
      <c r="E15" s="230">
        <v>75</v>
      </c>
      <c r="F15" s="228">
        <f>SUM(C15:E15)</f>
        <v>225</v>
      </c>
    </row>
    <row r="16" spans="1:6" s="200" customFormat="1" ht="15.75">
      <c r="A16" s="222" t="s">
        <v>106</v>
      </c>
      <c r="B16" s="252" t="s">
        <v>428</v>
      </c>
      <c r="C16" s="231"/>
      <c r="D16" s="231"/>
      <c r="E16" s="231"/>
      <c r="F16" s="231"/>
    </row>
    <row r="17" spans="1:6" s="235" customFormat="1" ht="15.75">
      <c r="A17" s="232" t="s">
        <v>241</v>
      </c>
      <c r="B17" s="233" t="s">
        <v>420</v>
      </c>
      <c r="C17" s="234">
        <f>SUM(C11:C16)</f>
        <v>7808</v>
      </c>
      <c r="D17" s="234">
        <f>SUM(D11:D16)</f>
        <v>7808</v>
      </c>
      <c r="E17" s="234">
        <f>SUM(E11:E16)</f>
        <v>7808</v>
      </c>
      <c r="F17" s="234">
        <f>SUM(F11:F16)</f>
        <v>23424</v>
      </c>
    </row>
    <row r="18" spans="1:6" s="240" customFormat="1" ht="18.75">
      <c r="A18" s="236" t="s">
        <v>245</v>
      </c>
      <c r="B18" s="237" t="s">
        <v>421</v>
      </c>
      <c r="C18" s="238">
        <f>C17*0.5</f>
        <v>3904</v>
      </c>
      <c r="D18" s="238">
        <f>D17*0.5</f>
        <v>3904</v>
      </c>
      <c r="E18" s="238">
        <f>E17*0.5</f>
        <v>3904</v>
      </c>
      <c r="F18" s="239">
        <f>SUM(C18:E18)</f>
        <v>11712</v>
      </c>
    </row>
    <row r="19" spans="1:6" s="200" customFormat="1" ht="31.5">
      <c r="A19" s="241" t="s">
        <v>251</v>
      </c>
      <c r="B19" s="253" t="s">
        <v>429</v>
      </c>
      <c r="C19" s="230"/>
      <c r="D19" s="230"/>
      <c r="E19" s="230"/>
      <c r="F19" s="230">
        <f>SUM(C19:E19)</f>
        <v>0</v>
      </c>
    </row>
    <row r="20" spans="1:6" s="200" customFormat="1" ht="31.5">
      <c r="A20" s="241" t="s">
        <v>253</v>
      </c>
      <c r="B20" s="253" t="s">
        <v>430</v>
      </c>
      <c r="C20" s="230"/>
      <c r="D20" s="230"/>
      <c r="E20" s="230"/>
      <c r="F20" s="230">
        <f>SUM(C20:E20)</f>
        <v>0</v>
      </c>
    </row>
    <row r="21" spans="1:6" s="200" customFormat="1" ht="15.75">
      <c r="A21" s="241" t="s">
        <v>255</v>
      </c>
      <c r="B21" s="252" t="s">
        <v>431</v>
      </c>
      <c r="C21" s="230"/>
      <c r="D21" s="230"/>
      <c r="E21" s="230"/>
      <c r="F21" s="230"/>
    </row>
    <row r="22" spans="1:6" s="200" customFormat="1" ht="31.5">
      <c r="A22" s="241" t="s">
        <v>260</v>
      </c>
      <c r="B22" s="242" t="s">
        <v>432</v>
      </c>
      <c r="C22" s="230"/>
      <c r="D22" s="230"/>
      <c r="E22" s="230"/>
      <c r="F22" s="230"/>
    </row>
    <row r="23" spans="1:6" s="200" customFormat="1" ht="47.25">
      <c r="A23" s="241" t="s">
        <v>262</v>
      </c>
      <c r="B23" s="242" t="s">
        <v>433</v>
      </c>
      <c r="C23" s="230"/>
      <c r="D23" s="230"/>
      <c r="E23" s="230"/>
      <c r="F23" s="230"/>
    </row>
    <row r="24" spans="1:6" s="200" customFormat="1" ht="31.5">
      <c r="A24" s="241" t="s">
        <v>264</v>
      </c>
      <c r="B24" s="242" t="s">
        <v>434</v>
      </c>
      <c r="C24" s="230"/>
      <c r="D24" s="230"/>
      <c r="E24" s="230"/>
      <c r="F24" s="230"/>
    </row>
    <row r="25" spans="1:6" s="200" customFormat="1" ht="31.5">
      <c r="A25" s="241" t="s">
        <v>271</v>
      </c>
      <c r="B25" s="242" t="s">
        <v>435</v>
      </c>
      <c r="C25" s="243"/>
      <c r="D25" s="243"/>
      <c r="E25" s="243"/>
      <c r="F25" s="243"/>
    </row>
    <row r="26" spans="1:6" s="235" customFormat="1" ht="15.75">
      <c r="A26" s="232" t="s">
        <v>274</v>
      </c>
      <c r="B26" s="244" t="s">
        <v>422</v>
      </c>
      <c r="C26" s="245">
        <f>SUM(C19:C24)</f>
        <v>0</v>
      </c>
      <c r="D26" s="245">
        <f>SUM(D19:D24)</f>
        <v>0</v>
      </c>
      <c r="E26" s="245">
        <f>SUM(E19:E24)</f>
        <v>0</v>
      </c>
      <c r="F26" s="245">
        <f>SUM(F19:F24)</f>
        <v>0</v>
      </c>
    </row>
    <row r="27" spans="1:6" s="248" customFormat="1" ht="37.5">
      <c r="A27" s="236" t="s">
        <v>276</v>
      </c>
      <c r="B27" s="246" t="s">
        <v>423</v>
      </c>
      <c r="C27" s="247">
        <f>C18-C26</f>
        <v>3904</v>
      </c>
      <c r="D27" s="247">
        <f>D18-D26</f>
        <v>3904</v>
      </c>
      <c r="E27" s="247">
        <f>E18-E26</f>
        <v>3904</v>
      </c>
      <c r="F27" s="247">
        <f>SUM(C27:E27)</f>
        <v>11712</v>
      </c>
    </row>
    <row r="28" spans="1:6" s="200" customFormat="1" ht="15.75">
      <c r="A28" s="249"/>
      <c r="B28" s="250"/>
      <c r="C28" s="230"/>
      <c r="D28" s="230"/>
      <c r="E28" s="230"/>
      <c r="F28" s="230"/>
    </row>
    <row r="29" spans="1:7" s="200" customFormat="1" ht="15.75">
      <c r="A29" s="249"/>
      <c r="B29" s="250"/>
      <c r="C29" s="230"/>
      <c r="D29" s="230"/>
      <c r="E29" s="230"/>
      <c r="F29" s="230"/>
      <c r="G29" s="230"/>
    </row>
    <row r="30" spans="1:6" s="200" customFormat="1" ht="15.75">
      <c r="A30" s="250"/>
      <c r="B30" s="250"/>
      <c r="C30" s="230"/>
      <c r="D30" s="230"/>
      <c r="E30" s="230"/>
      <c r="F30" s="230"/>
    </row>
    <row r="31" spans="1:6" s="200" customFormat="1" ht="15.75">
      <c r="A31" s="250"/>
      <c r="B31" s="250"/>
      <c r="C31" s="230"/>
      <c r="D31" s="230"/>
      <c r="E31" s="230"/>
      <c r="F31" s="230"/>
    </row>
    <row r="32" spans="1:6" s="200" customFormat="1" ht="15.75">
      <c r="A32" s="250"/>
      <c r="B32" s="250"/>
      <c r="C32" s="230"/>
      <c r="D32" s="230"/>
      <c r="E32" s="230"/>
      <c r="F32" s="230"/>
    </row>
    <row r="33" spans="1:6" s="200" customFormat="1" ht="15.75">
      <c r="A33" s="250"/>
      <c r="B33" s="251"/>
      <c r="C33" s="230"/>
      <c r="D33" s="230"/>
      <c r="E33" s="230"/>
      <c r="F33" s="230"/>
    </row>
    <row r="34" spans="1:6" s="200" customFormat="1" ht="15.75">
      <c r="A34" s="250"/>
      <c r="B34" s="250"/>
      <c r="C34" s="230"/>
      <c r="D34" s="230"/>
      <c r="E34" s="230"/>
      <c r="F34" s="230"/>
    </row>
    <row r="35" spans="1:6" s="200" customFormat="1" ht="15.75">
      <c r="A35" s="250"/>
      <c r="B35" s="250"/>
      <c r="C35" s="230"/>
      <c r="D35" s="230"/>
      <c r="E35" s="230"/>
      <c r="F35" s="230"/>
    </row>
  </sheetData>
  <sheetProtection password="AF00" sheet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24"/>
  <sheetViews>
    <sheetView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1:14" ht="12.75">
      <c r="A1" s="503" t="s">
        <v>619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ht="12.75">
      <c r="F2" s="496"/>
    </row>
    <row r="5" spans="1:14" ht="18.75" customHeight="1">
      <c r="A5" s="819"/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</row>
    <row r="6" spans="1:14" ht="18" customHeight="1">
      <c r="A6" s="819" t="s">
        <v>562</v>
      </c>
      <c r="B6" s="819"/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</row>
    <row r="7" spans="1:14" ht="16.5" customHeight="1">
      <c r="A7" s="819" t="s">
        <v>563</v>
      </c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</row>
    <row r="8" spans="1:14" ht="16.5" customHeight="1">
      <c r="A8" s="819" t="s">
        <v>532</v>
      </c>
      <c r="B8" s="819"/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</row>
    <row r="10" ht="13.5" thickBot="1">
      <c r="N10" s="370" t="s">
        <v>564</v>
      </c>
    </row>
    <row r="11" spans="1:14" ht="21" customHeight="1" thickBot="1">
      <c r="A11" s="862" t="s">
        <v>565</v>
      </c>
      <c r="B11" s="860" t="s">
        <v>0</v>
      </c>
      <c r="C11" s="858" t="s">
        <v>566</v>
      </c>
      <c r="D11" s="855" t="s">
        <v>567</v>
      </c>
      <c r="E11" s="856"/>
      <c r="F11" s="856"/>
      <c r="G11" s="856"/>
      <c r="H11" s="857"/>
      <c r="I11" s="852" t="s">
        <v>568</v>
      </c>
      <c r="J11" s="853"/>
      <c r="K11" s="853"/>
      <c r="L11" s="854"/>
      <c r="M11" s="852" t="s">
        <v>569</v>
      </c>
      <c r="N11" s="854"/>
    </row>
    <row r="12" spans="1:14" ht="63" customHeight="1" thickBot="1">
      <c r="A12" s="863"/>
      <c r="B12" s="861"/>
      <c r="C12" s="859"/>
      <c r="D12" s="372" t="s">
        <v>570</v>
      </c>
      <c r="E12" s="372" t="s">
        <v>571</v>
      </c>
      <c r="F12" s="372" t="s">
        <v>567</v>
      </c>
      <c r="G12" s="372" t="s">
        <v>572</v>
      </c>
      <c r="H12" s="372" t="s">
        <v>573</v>
      </c>
      <c r="I12" s="372" t="s">
        <v>574</v>
      </c>
      <c r="J12" s="372" t="s">
        <v>568</v>
      </c>
      <c r="K12" s="372" t="s">
        <v>591</v>
      </c>
      <c r="L12" s="372" t="s">
        <v>575</v>
      </c>
      <c r="M12" s="372" t="s">
        <v>576</v>
      </c>
      <c r="N12" s="372" t="s">
        <v>577</v>
      </c>
    </row>
    <row r="13" spans="1:14" ht="16.5" customHeight="1" thickBot="1">
      <c r="A13" s="373" t="s">
        <v>42</v>
      </c>
      <c r="B13" s="373" t="s">
        <v>578</v>
      </c>
      <c r="C13" s="374">
        <f>H13+M13+L13+N13</f>
        <v>173986619</v>
      </c>
      <c r="D13" s="374">
        <f>35488868+11121+177800+61619+152000-255378</f>
        <v>35636030</v>
      </c>
      <c r="E13" s="374">
        <v>7813000</v>
      </c>
      <c r="F13" s="374">
        <f>6917611+421000</f>
        <v>7338611</v>
      </c>
      <c r="G13" s="373"/>
      <c r="H13" s="374">
        <f>D13+E13+F13</f>
        <v>50787641</v>
      </c>
      <c r="I13" s="373">
        <v>29335000</v>
      </c>
      <c r="J13" s="374">
        <v>121800</v>
      </c>
      <c r="K13" s="373"/>
      <c r="L13" s="374">
        <f>I13+J13+K13</f>
        <v>29456800</v>
      </c>
      <c r="M13" s="374">
        <f>59695186+1003000+317500+100000+38756947+4571211</f>
        <v>104443844</v>
      </c>
      <c r="N13" s="374">
        <v>-10701666</v>
      </c>
    </row>
    <row r="14" spans="1:14" ht="18.75" customHeight="1" thickBot="1">
      <c r="A14" s="373" t="s">
        <v>26</v>
      </c>
      <c r="B14" s="373" t="s">
        <v>579</v>
      </c>
      <c r="C14" s="374">
        <f>H14+N14+M14</f>
        <v>15207711</v>
      </c>
      <c r="D14" s="373">
        <v>618183</v>
      </c>
      <c r="E14" s="373"/>
      <c r="F14" s="374">
        <f>3180235+105000</f>
        <v>3285235</v>
      </c>
      <c r="G14" s="373"/>
      <c r="H14" s="374">
        <f>D14+E14+F14</f>
        <v>3903418</v>
      </c>
      <c r="I14" s="373"/>
      <c r="J14" s="373"/>
      <c r="K14" s="373"/>
      <c r="L14" s="373"/>
      <c r="M14" s="374">
        <v>602627</v>
      </c>
      <c r="N14" s="374">
        <v>10701666</v>
      </c>
    </row>
    <row r="15" spans="1:14" ht="20.25" customHeight="1" thickBot="1">
      <c r="A15" s="373" t="s">
        <v>43</v>
      </c>
      <c r="B15" s="373" t="s">
        <v>580</v>
      </c>
      <c r="C15" s="374">
        <f>C13+C14</f>
        <v>189194330</v>
      </c>
      <c r="D15" s="374">
        <f aca="true" t="shared" si="0" ref="D15:N15">D13+D14</f>
        <v>36254213</v>
      </c>
      <c r="E15" s="374">
        <f t="shared" si="0"/>
        <v>7813000</v>
      </c>
      <c r="F15" s="374">
        <f t="shared" si="0"/>
        <v>10623846</v>
      </c>
      <c r="G15" s="374">
        <f t="shared" si="0"/>
        <v>0</v>
      </c>
      <c r="H15" s="374">
        <f t="shared" si="0"/>
        <v>54691059</v>
      </c>
      <c r="I15" s="374">
        <f t="shared" si="0"/>
        <v>29335000</v>
      </c>
      <c r="J15" s="374">
        <f t="shared" si="0"/>
        <v>121800</v>
      </c>
      <c r="K15" s="374">
        <f t="shared" si="0"/>
        <v>0</v>
      </c>
      <c r="L15" s="374">
        <f t="shared" si="0"/>
        <v>29456800</v>
      </c>
      <c r="M15" s="374">
        <f t="shared" si="0"/>
        <v>105046471</v>
      </c>
      <c r="N15" s="374">
        <f t="shared" si="0"/>
        <v>0</v>
      </c>
    </row>
    <row r="24" ht="12.75">
      <c r="B24" s="375"/>
    </row>
  </sheetData>
  <sheetProtection password="AF00" sheet="1"/>
  <mergeCells count="11">
    <mergeCell ref="M11:N11"/>
    <mergeCell ref="A1:N1"/>
    <mergeCell ref="A11:A12"/>
    <mergeCell ref="A5:N5"/>
    <mergeCell ref="A6:N6"/>
    <mergeCell ref="A7:N7"/>
    <mergeCell ref="A8:N8"/>
    <mergeCell ref="B11:B12"/>
    <mergeCell ref="C11:C12"/>
    <mergeCell ref="D11:H11"/>
    <mergeCell ref="I11:L1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H14"/>
  <sheetViews>
    <sheetView tabSelected="1" zoomScalePageLayoutView="0" workbookViewId="0" topLeftCell="A1">
      <selection activeCell="L27" sqref="L27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503" t="s">
        <v>620</v>
      </c>
      <c r="B2" s="503"/>
      <c r="C2" s="503"/>
      <c r="D2" s="503"/>
      <c r="E2" s="503"/>
      <c r="F2" s="503"/>
      <c r="G2" s="503"/>
      <c r="H2" s="503"/>
    </row>
    <row r="5" spans="1:8" ht="20.25" customHeight="1">
      <c r="A5" s="819"/>
      <c r="B5" s="819"/>
      <c r="C5" s="819"/>
      <c r="D5" s="819"/>
      <c r="E5" s="819"/>
      <c r="F5" s="819"/>
      <c r="G5" s="819"/>
      <c r="H5" s="819"/>
    </row>
    <row r="6" spans="1:8" ht="17.25" customHeight="1">
      <c r="A6" s="819" t="s">
        <v>39</v>
      </c>
      <c r="B6" s="819"/>
      <c r="C6" s="819"/>
      <c r="D6" s="819"/>
      <c r="E6" s="819"/>
      <c r="F6" s="819"/>
      <c r="G6" s="819"/>
      <c r="H6" s="819"/>
    </row>
    <row r="7" spans="1:8" ht="25.5" customHeight="1">
      <c r="A7" s="819" t="s">
        <v>581</v>
      </c>
      <c r="B7" s="819"/>
      <c r="C7" s="819"/>
      <c r="D7" s="819"/>
      <c r="E7" s="819"/>
      <c r="F7" s="819"/>
      <c r="G7" s="819"/>
      <c r="H7" s="819"/>
    </row>
    <row r="8" spans="1:8" ht="16.5" customHeight="1">
      <c r="A8" s="819" t="s">
        <v>532</v>
      </c>
      <c r="B8" s="819"/>
      <c r="C8" s="819"/>
      <c r="D8" s="819"/>
      <c r="E8" s="819"/>
      <c r="F8" s="819"/>
      <c r="G8" s="819"/>
      <c r="H8" s="819"/>
    </row>
    <row r="10" spans="7:8" ht="13.5" thickBot="1">
      <c r="G10" s="503" t="s">
        <v>582</v>
      </c>
      <c r="H10" s="503"/>
    </row>
    <row r="11" spans="1:8" ht="71.25" customHeight="1" thickBot="1">
      <c r="A11" s="864" t="s">
        <v>565</v>
      </c>
      <c r="B11" s="820" t="s">
        <v>590</v>
      </c>
      <c r="C11" s="821" t="s">
        <v>583</v>
      </c>
      <c r="D11" s="821"/>
      <c r="E11" s="821" t="s">
        <v>584</v>
      </c>
      <c r="F11" s="821"/>
      <c r="G11" s="820" t="s">
        <v>585</v>
      </c>
      <c r="H11" s="820"/>
    </row>
    <row r="12" spans="1:8" ht="24.75" customHeight="1" thickBot="1">
      <c r="A12" s="864"/>
      <c r="B12" s="820"/>
      <c r="C12" s="371" t="s">
        <v>586</v>
      </c>
      <c r="D12" s="372" t="s">
        <v>587</v>
      </c>
      <c r="E12" s="371" t="s">
        <v>586</v>
      </c>
      <c r="F12" s="372" t="s">
        <v>588</v>
      </c>
      <c r="G12" s="822"/>
      <c r="H12" s="822"/>
    </row>
    <row r="13" spans="1:8" ht="18" customHeight="1">
      <c r="A13" s="865" t="s">
        <v>42</v>
      </c>
      <c r="B13" s="866" t="s">
        <v>589</v>
      </c>
      <c r="C13" s="867">
        <f>6372280+152000-255378</f>
        <v>6268902</v>
      </c>
      <c r="D13" s="866">
        <v>59.5</v>
      </c>
      <c r="E13" s="867">
        <f>4329386-152000+255378</f>
        <v>4432764</v>
      </c>
      <c r="F13" s="866">
        <v>40.5</v>
      </c>
      <c r="G13" s="868">
        <v>10701666</v>
      </c>
      <c r="H13" s="869"/>
    </row>
    <row r="14" spans="1:8" ht="23.25" customHeight="1" thickBot="1">
      <c r="A14" s="870" t="s">
        <v>26</v>
      </c>
      <c r="B14" s="871" t="s">
        <v>2</v>
      </c>
      <c r="C14" s="872">
        <v>6372280</v>
      </c>
      <c r="D14" s="871">
        <v>59.5</v>
      </c>
      <c r="E14" s="872">
        <v>4329386</v>
      </c>
      <c r="F14" s="871">
        <v>40.5</v>
      </c>
      <c r="G14" s="873">
        <v>10701666</v>
      </c>
      <c r="H14" s="874"/>
    </row>
  </sheetData>
  <sheetProtection password="AF00" sheet="1"/>
  <mergeCells count="14">
    <mergeCell ref="G13:H13"/>
    <mergeCell ref="G14:H14"/>
    <mergeCell ref="A2:H2"/>
    <mergeCell ref="A5:H5"/>
    <mergeCell ref="A6:H6"/>
    <mergeCell ref="A7:H7"/>
    <mergeCell ref="A8:H8"/>
    <mergeCell ref="A11:A12"/>
    <mergeCell ref="C11:D11"/>
    <mergeCell ref="B11:B12"/>
    <mergeCell ref="E11:F11"/>
    <mergeCell ref="G11:H11"/>
    <mergeCell ref="G10:H10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62"/>
  <sheetViews>
    <sheetView view="pageBreakPreview" zoomScaleSheetLayoutView="100" zoomScalePageLayoutView="0" workbookViewId="0" topLeftCell="A1">
      <selection activeCell="K58" sqref="K58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389" customWidth="1"/>
    <col min="4" max="4" width="4.875" style="4" customWidth="1"/>
    <col min="5" max="5" width="16.375" style="389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502"/>
      <c r="B1" s="503"/>
      <c r="C1" s="503"/>
      <c r="D1" s="503"/>
      <c r="E1" s="503"/>
      <c r="F1" s="503"/>
    </row>
    <row r="3" spans="1:6" ht="15">
      <c r="A3" s="502" t="s">
        <v>602</v>
      </c>
      <c r="B3" s="503"/>
      <c r="C3" s="503"/>
      <c r="D3" s="503"/>
      <c r="E3" s="503"/>
      <c r="F3" s="503"/>
    </row>
    <row r="4" spans="2:6" ht="15">
      <c r="B4" s="97"/>
      <c r="C4" s="97"/>
      <c r="D4" s="97"/>
      <c r="E4" s="97"/>
      <c r="F4" s="97"/>
    </row>
    <row r="5" spans="2:6" s="51" customFormat="1" ht="15.75">
      <c r="B5" s="501"/>
      <c r="C5" s="501"/>
      <c r="D5" s="501"/>
      <c r="E5" s="501"/>
      <c r="F5" s="501"/>
    </row>
    <row r="6" spans="2:6" s="51" customFormat="1" ht="15.75">
      <c r="B6" s="500" t="s">
        <v>39</v>
      </c>
      <c r="C6" s="500"/>
      <c r="D6" s="500"/>
      <c r="E6" s="500"/>
      <c r="F6" s="500"/>
    </row>
    <row r="7" spans="2:6" ht="15.75">
      <c r="B7" s="500" t="s">
        <v>155</v>
      </c>
      <c r="C7" s="500"/>
      <c r="D7" s="500"/>
      <c r="E7" s="500"/>
      <c r="F7" s="500"/>
    </row>
    <row r="8" spans="2:6" ht="12.75" customHeight="1">
      <c r="B8" s="499" t="s">
        <v>531</v>
      </c>
      <c r="C8" s="499"/>
      <c r="D8" s="499"/>
      <c r="E8" s="499"/>
      <c r="F8" s="499"/>
    </row>
    <row r="9" spans="2:6" s="1" customFormat="1" ht="15">
      <c r="B9" s="4"/>
      <c r="C9" s="389"/>
      <c r="D9" s="4"/>
      <c r="E9" s="393"/>
      <c r="F9" s="4"/>
    </row>
    <row r="10" spans="1:5" s="1" customFormat="1" ht="18.75">
      <c r="A10" s="299" t="s">
        <v>42</v>
      </c>
      <c r="B10" s="111" t="s">
        <v>156</v>
      </c>
      <c r="C10" s="392"/>
      <c r="E10" s="112"/>
    </row>
    <row r="11" spans="1:6" ht="15.75">
      <c r="A11" s="299" t="s">
        <v>490</v>
      </c>
      <c r="B11" s="7" t="s">
        <v>157</v>
      </c>
      <c r="C11" s="392"/>
      <c r="D11" s="1"/>
      <c r="E11" s="397">
        <f>C12+C13</f>
        <v>36254213</v>
      </c>
      <c r="F11" s="1" t="s">
        <v>470</v>
      </c>
    </row>
    <row r="12" spans="1:8" ht="15.75">
      <c r="A12" s="299" t="s">
        <v>491</v>
      </c>
      <c r="B12" s="113" t="s">
        <v>158</v>
      </c>
      <c r="C12" s="389">
        <f>'[1]2.mell - bevétel'!H56</f>
        <v>35528011</v>
      </c>
      <c r="D12" s="4" t="s">
        <v>5</v>
      </c>
      <c r="E12" s="393"/>
      <c r="H12" s="91"/>
    </row>
    <row r="13" spans="1:6" s="1" customFormat="1" ht="15.75" customHeight="1">
      <c r="A13" s="299" t="s">
        <v>492</v>
      </c>
      <c r="B13" s="113" t="s">
        <v>159</v>
      </c>
      <c r="C13" s="389">
        <f>'[1]2.mell - bevétel'!H62</f>
        <v>726202</v>
      </c>
      <c r="D13" s="4" t="s">
        <v>5</v>
      </c>
      <c r="E13" s="393"/>
      <c r="F13" s="4"/>
    </row>
    <row r="14" spans="1:5" s="1" customFormat="1" ht="15.75">
      <c r="A14" s="299"/>
      <c r="B14" s="7"/>
      <c r="C14" s="392"/>
      <c r="E14" s="397"/>
    </row>
    <row r="15" spans="1:6" s="1" customFormat="1" ht="15.75">
      <c r="A15" s="299" t="s">
        <v>493</v>
      </c>
      <c r="B15" s="7" t="s">
        <v>160</v>
      </c>
      <c r="C15" s="392"/>
      <c r="E15" s="397"/>
      <c r="F15" s="1" t="s">
        <v>470</v>
      </c>
    </row>
    <row r="16" spans="1:5" s="1" customFormat="1" ht="15.75">
      <c r="A16" s="299"/>
      <c r="B16" s="7"/>
      <c r="C16" s="392"/>
      <c r="E16" s="397"/>
    </row>
    <row r="17" spans="1:6" s="1" customFormat="1" ht="15.75">
      <c r="A17" s="299" t="s">
        <v>494</v>
      </c>
      <c r="B17" s="7" t="s">
        <v>113</v>
      </c>
      <c r="C17" s="392"/>
      <c r="E17" s="397">
        <f>'[1]2.mell - bevétel'!G82</f>
        <v>7813000</v>
      </c>
      <c r="F17" s="1" t="s">
        <v>470</v>
      </c>
    </row>
    <row r="18" spans="1:8" s="1" customFormat="1" ht="15.75">
      <c r="A18" s="299"/>
      <c r="B18" s="7"/>
      <c r="C18" s="392"/>
      <c r="E18" s="397"/>
      <c r="H18" s="92"/>
    </row>
    <row r="19" spans="1:6" s="1" customFormat="1" ht="15.75">
      <c r="A19" s="299" t="s">
        <v>495</v>
      </c>
      <c r="B19" s="7" t="s">
        <v>54</v>
      </c>
      <c r="C19" s="392"/>
      <c r="E19" s="397">
        <f>'[1]2.mell - bevétel'!H105</f>
        <v>10623846</v>
      </c>
      <c r="F19" s="1" t="s">
        <v>470</v>
      </c>
    </row>
    <row r="20" spans="1:5" s="1" customFormat="1" ht="15.75">
      <c r="A20" s="299"/>
      <c r="B20" s="8"/>
      <c r="C20" s="396"/>
      <c r="E20" s="397"/>
    </row>
    <row r="21" spans="1:6" s="1" customFormat="1" ht="15.75">
      <c r="A21" s="299" t="s">
        <v>496</v>
      </c>
      <c r="B21" s="7" t="s">
        <v>161</v>
      </c>
      <c r="C21" s="392"/>
      <c r="E21" s="397">
        <f>'[1]2.mell - bevétel'!H66</f>
        <v>29335000</v>
      </c>
      <c r="F21" s="1" t="s">
        <v>470</v>
      </c>
    </row>
    <row r="22" spans="1:5" s="1" customFormat="1" ht="15.75">
      <c r="A22" s="299"/>
      <c r="B22" s="8"/>
      <c r="C22" s="392"/>
      <c r="E22" s="397"/>
    </row>
    <row r="23" spans="1:6" s="1" customFormat="1" ht="15.75">
      <c r="A23" s="299" t="s">
        <v>497</v>
      </c>
      <c r="B23" s="7" t="s">
        <v>162</v>
      </c>
      <c r="E23" s="397">
        <f>C24+C25</f>
        <v>0</v>
      </c>
      <c r="F23" s="1" t="s">
        <v>470</v>
      </c>
    </row>
    <row r="24" spans="1:8" s="6" customFormat="1" ht="32.25">
      <c r="A24" s="300" t="s">
        <v>498</v>
      </c>
      <c r="B24" s="113" t="s">
        <v>163</v>
      </c>
      <c r="C24" s="396">
        <v>0</v>
      </c>
      <c r="D24" s="1" t="s">
        <v>5</v>
      </c>
      <c r="E24" s="397"/>
      <c r="F24" s="1"/>
      <c r="G24" s="1"/>
      <c r="H24" s="93"/>
    </row>
    <row r="25" spans="1:8" ht="18.75">
      <c r="A25" s="299"/>
      <c r="B25" s="51" t="s">
        <v>164</v>
      </c>
      <c r="C25" s="392">
        <v>0</v>
      </c>
      <c r="D25" s="1" t="s">
        <v>5</v>
      </c>
      <c r="E25" s="397"/>
      <c r="F25" s="1"/>
      <c r="G25" s="6"/>
      <c r="H25" s="94"/>
    </row>
    <row r="26" spans="1:8" s="1" customFormat="1" ht="18.75">
      <c r="A26" s="299"/>
      <c r="B26" s="61"/>
      <c r="C26" s="389"/>
      <c r="D26" s="4"/>
      <c r="E26" s="398"/>
      <c r="F26" s="6"/>
      <c r="H26" s="95"/>
    </row>
    <row r="27" spans="1:6" s="1" customFormat="1" ht="15.75">
      <c r="A27" s="299" t="s">
        <v>499</v>
      </c>
      <c r="B27" s="7" t="s">
        <v>141</v>
      </c>
      <c r="C27" s="392"/>
      <c r="E27" s="397">
        <f>C28+C29</f>
        <v>121800</v>
      </c>
      <c r="F27" s="1" t="s">
        <v>470</v>
      </c>
    </row>
    <row r="28" spans="1:5" s="1" customFormat="1" ht="31.5">
      <c r="A28" s="299" t="s">
        <v>500</v>
      </c>
      <c r="B28" s="113" t="s">
        <v>165</v>
      </c>
      <c r="C28" s="392">
        <f>'[1]2.mell - bevétel'!H112</f>
        <v>121800</v>
      </c>
      <c r="D28" s="1" t="s">
        <v>5</v>
      </c>
      <c r="E28" s="397"/>
    </row>
    <row r="29" spans="1:5" s="1" customFormat="1" ht="15.75">
      <c r="A29" s="299" t="s">
        <v>501</v>
      </c>
      <c r="B29" s="51" t="s">
        <v>166</v>
      </c>
      <c r="C29" s="392">
        <v>0</v>
      </c>
      <c r="D29" s="1" t="s">
        <v>5</v>
      </c>
      <c r="E29" s="397"/>
    </row>
    <row r="30" spans="1:5" s="1" customFormat="1" ht="15.75">
      <c r="A30" s="299"/>
      <c r="B30" s="61"/>
      <c r="E30" s="112"/>
    </row>
    <row r="31" spans="1:6" s="1" customFormat="1" ht="15.75">
      <c r="A31" s="299" t="s">
        <v>26</v>
      </c>
      <c r="B31" s="7" t="s">
        <v>44</v>
      </c>
      <c r="E31" s="114">
        <f>SUM(E11:E30)</f>
        <v>84147859</v>
      </c>
      <c r="F31" s="1" t="s">
        <v>470</v>
      </c>
    </row>
    <row r="32" spans="1:5" s="1" customFormat="1" ht="15.75">
      <c r="A32" s="299"/>
      <c r="B32" s="51"/>
      <c r="E32" s="112"/>
    </row>
    <row r="33" spans="1:5" s="1" customFormat="1" ht="18.75">
      <c r="A33" s="299" t="s">
        <v>43</v>
      </c>
      <c r="B33" s="111" t="s">
        <v>167</v>
      </c>
      <c r="E33" s="112"/>
    </row>
    <row r="34" spans="1:6" s="1" customFormat="1" ht="15.75">
      <c r="A34" s="299" t="s">
        <v>502</v>
      </c>
      <c r="B34" s="9" t="s">
        <v>16</v>
      </c>
      <c r="C34" s="392"/>
      <c r="E34" s="397">
        <f>C36+C37+C38+C39+C40+C41</f>
        <v>89530789</v>
      </c>
      <c r="F34" s="1" t="s">
        <v>470</v>
      </c>
    </row>
    <row r="35" spans="1:5" s="1" customFormat="1" ht="15.75">
      <c r="A35" s="299"/>
      <c r="B35" s="8" t="s">
        <v>15</v>
      </c>
      <c r="C35" s="392"/>
      <c r="E35" s="397"/>
    </row>
    <row r="36" spans="1:5" s="1" customFormat="1" ht="15.75">
      <c r="A36" s="299" t="s">
        <v>503</v>
      </c>
      <c r="B36" s="51" t="s">
        <v>168</v>
      </c>
      <c r="C36" s="392">
        <f>'[1]4.mell. - kiadás'!E47</f>
        <v>23020575</v>
      </c>
      <c r="D36" s="1" t="s">
        <v>470</v>
      </c>
      <c r="E36" s="397"/>
    </row>
    <row r="37" spans="1:5" s="1" customFormat="1" ht="15.75">
      <c r="A37" s="299" t="s">
        <v>504</v>
      </c>
      <c r="B37" s="51" t="s">
        <v>169</v>
      </c>
      <c r="C37" s="392">
        <f>'[1]4.mell. - kiadás'!F47</f>
        <v>4545417</v>
      </c>
      <c r="D37" s="1" t="s">
        <v>470</v>
      </c>
      <c r="E37" s="397"/>
    </row>
    <row r="38" spans="1:5" s="1" customFormat="1" ht="15.75">
      <c r="A38" s="299" t="s">
        <v>505</v>
      </c>
      <c r="B38" s="51" t="s">
        <v>170</v>
      </c>
      <c r="C38" s="392">
        <f>'[1]4.mell. - kiadás'!G47</f>
        <v>22990174</v>
      </c>
      <c r="D38" s="1" t="s">
        <v>470</v>
      </c>
      <c r="E38" s="397"/>
    </row>
    <row r="39" spans="1:5" s="1" customFormat="1" ht="15.75">
      <c r="A39" s="299" t="s">
        <v>506</v>
      </c>
      <c r="B39" s="115" t="s">
        <v>171</v>
      </c>
      <c r="C39" s="392">
        <f>'[1]4.mell. - kiadás'!H47</f>
        <v>3001400</v>
      </c>
      <c r="D39" s="1" t="s">
        <v>470</v>
      </c>
      <c r="E39" s="397"/>
    </row>
    <row r="40" spans="1:5" s="1" customFormat="1" ht="15.75">
      <c r="A40" s="299" t="s">
        <v>513</v>
      </c>
      <c r="B40" s="51" t="s">
        <v>76</v>
      </c>
      <c r="C40" s="392">
        <f>'[1]4.mell. - kiadás'!I47-C41</f>
        <v>2601500</v>
      </c>
      <c r="D40" s="1" t="s">
        <v>470</v>
      </c>
      <c r="E40" s="397"/>
    </row>
    <row r="41" spans="1:5" s="1" customFormat="1" ht="15.75">
      <c r="A41" s="299" t="s">
        <v>525</v>
      </c>
      <c r="B41" s="51" t="s">
        <v>524</v>
      </c>
      <c r="C41" s="396">
        <f>'[1]10.mell. - közgazd.mérleg'!C33</f>
        <v>33371723</v>
      </c>
      <c r="D41" s="1" t="s">
        <v>1</v>
      </c>
      <c r="E41" s="397"/>
    </row>
    <row r="42" spans="1:6" s="1" customFormat="1" ht="15.75">
      <c r="A42" s="299" t="s">
        <v>507</v>
      </c>
      <c r="B42" s="9" t="s">
        <v>17</v>
      </c>
      <c r="C42" s="392"/>
      <c r="E42" s="395">
        <f>C44+C45+C46</f>
        <v>98245962</v>
      </c>
      <c r="F42" s="1" t="s">
        <v>470</v>
      </c>
    </row>
    <row r="43" spans="1:5" s="1" customFormat="1" ht="15.75">
      <c r="A43" s="299"/>
      <c r="B43" s="8" t="s">
        <v>15</v>
      </c>
      <c r="C43" s="392"/>
      <c r="E43" s="397"/>
    </row>
    <row r="44" spans="1:5" s="1" customFormat="1" ht="15.75">
      <c r="A44" s="299" t="s">
        <v>514</v>
      </c>
      <c r="B44" s="51" t="s">
        <v>172</v>
      </c>
      <c r="C44" s="396">
        <f>'[1]4.mell. - kiadás'!K47</f>
        <v>1428429</v>
      </c>
      <c r="D44" s="1" t="s">
        <v>470</v>
      </c>
      <c r="E44" s="397"/>
    </row>
    <row r="45" spans="1:5" s="1" customFormat="1" ht="15.75">
      <c r="A45" s="299" t="s">
        <v>508</v>
      </c>
      <c r="B45" s="51" t="s">
        <v>173</v>
      </c>
      <c r="C45" s="396">
        <f>'[1]4.mell. - kiadás'!L47</f>
        <v>94817533</v>
      </c>
      <c r="D45" s="1" t="s">
        <v>470</v>
      </c>
      <c r="E45" s="397"/>
    </row>
    <row r="46" spans="1:7" ht="15.75">
      <c r="A46" s="299" t="s">
        <v>509</v>
      </c>
      <c r="B46" s="51" t="s">
        <v>77</v>
      </c>
      <c r="C46" s="396">
        <f>'[1]4.mell. - kiadás'!M47</f>
        <v>2000000</v>
      </c>
      <c r="D46" s="1" t="s">
        <v>470</v>
      </c>
      <c r="E46" s="397"/>
      <c r="F46" s="1"/>
      <c r="G46" s="1"/>
    </row>
    <row r="47" s="1" customFormat="1" ht="7.5" customHeight="1">
      <c r="E47" s="397"/>
    </row>
    <row r="48" spans="1:6" s="1" customFormat="1" ht="15.75">
      <c r="A48" s="299" t="s">
        <v>99</v>
      </c>
      <c r="B48" s="18" t="s">
        <v>174</v>
      </c>
      <c r="C48" s="396"/>
      <c r="E48" s="397">
        <f>C49+C50+C51</f>
        <v>1417579</v>
      </c>
      <c r="F48" s="1" t="s">
        <v>470</v>
      </c>
    </row>
    <row r="49" spans="1:5" s="1" customFormat="1" ht="15.75">
      <c r="A49" s="299" t="s">
        <v>510</v>
      </c>
      <c r="B49" s="51" t="s">
        <v>175</v>
      </c>
      <c r="C49" s="392"/>
      <c r="D49" s="1" t="s">
        <v>470</v>
      </c>
      <c r="E49" s="397"/>
    </row>
    <row r="50" spans="1:7" s="6" customFormat="1" ht="18.75">
      <c r="A50" s="301" t="s">
        <v>511</v>
      </c>
      <c r="B50" s="51" t="s">
        <v>176</v>
      </c>
      <c r="C50" s="392"/>
      <c r="D50" s="1" t="s">
        <v>470</v>
      </c>
      <c r="E50" s="397"/>
      <c r="F50" s="1"/>
      <c r="G50" s="4"/>
    </row>
    <row r="51" spans="1:7" ht="15.75">
      <c r="A51" s="299" t="s">
        <v>512</v>
      </c>
      <c r="B51" s="51" t="s">
        <v>458</v>
      </c>
      <c r="C51" s="396">
        <f>'[1]4.mell. - kiadás'!O19</f>
        <v>1417579</v>
      </c>
      <c r="D51" s="1" t="s">
        <v>470</v>
      </c>
      <c r="E51" s="397"/>
      <c r="F51" s="1"/>
      <c r="G51" s="1"/>
    </row>
    <row r="52" spans="1:7" ht="15.75">
      <c r="A52" s="299" t="s">
        <v>100</v>
      </c>
      <c r="B52" s="7" t="s">
        <v>46</v>
      </c>
      <c r="C52" s="396"/>
      <c r="D52" s="1"/>
      <c r="E52" s="393">
        <f>SUM(E34:E51)</f>
        <v>189194330</v>
      </c>
      <c r="F52" s="4" t="s">
        <v>470</v>
      </c>
      <c r="G52" s="1"/>
    </row>
    <row r="53" spans="1:7" ht="15.75">
      <c r="A53" s="299"/>
      <c r="B53" s="51"/>
      <c r="C53" s="392"/>
      <c r="D53" s="1"/>
      <c r="E53" s="395"/>
      <c r="F53" s="1"/>
      <c r="G53" s="1"/>
    </row>
    <row r="54" spans="1:7" ht="18.75">
      <c r="A54" s="299" t="s">
        <v>106</v>
      </c>
      <c r="B54" s="7" t="s">
        <v>47</v>
      </c>
      <c r="C54" s="392"/>
      <c r="D54" s="1"/>
      <c r="E54" s="393">
        <f>E31-E52</f>
        <v>-105046471</v>
      </c>
      <c r="F54" s="4" t="s">
        <v>470</v>
      </c>
      <c r="G54" s="6"/>
    </row>
    <row r="55" spans="1:5" ht="15.75">
      <c r="A55" s="299"/>
      <c r="B55" s="51"/>
      <c r="C55" s="392"/>
      <c r="D55" s="1"/>
      <c r="E55" s="393"/>
    </row>
    <row r="56" spans="1:6" ht="32.25">
      <c r="A56" s="299" t="s">
        <v>241</v>
      </c>
      <c r="B56" s="106" t="s">
        <v>599</v>
      </c>
      <c r="C56" s="394"/>
      <c r="D56" s="6"/>
      <c r="E56" s="393">
        <f>'[1]2.mell - bevétel'!H118</f>
        <v>59598107</v>
      </c>
      <c r="F56" s="4" t="s">
        <v>470</v>
      </c>
    </row>
    <row r="57" spans="1:7" s="1" customFormat="1" ht="15.75">
      <c r="A57" s="299" t="s">
        <v>243</v>
      </c>
      <c r="B57" s="21" t="s">
        <v>592</v>
      </c>
      <c r="C57" s="389"/>
      <c r="D57" s="4"/>
      <c r="E57" s="393">
        <f>'[1]4.mell. - kiadás'!O19</f>
        <v>1417579</v>
      </c>
      <c r="F57" s="4"/>
      <c r="G57" s="4"/>
    </row>
    <row r="58" spans="1:7" s="1" customFormat="1" ht="31.5">
      <c r="A58" s="299" t="s">
        <v>245</v>
      </c>
      <c r="B58" s="106" t="s">
        <v>624</v>
      </c>
      <c r="C58" s="389"/>
      <c r="D58" s="4"/>
      <c r="E58" s="393">
        <f>'[1]2.mell - bevétel'!H121</f>
        <v>44030785</v>
      </c>
      <c r="F58" s="4"/>
      <c r="G58" s="4"/>
    </row>
    <row r="59" spans="1:6" ht="15.75">
      <c r="A59" s="302" t="s">
        <v>251</v>
      </c>
      <c r="B59" s="7" t="s">
        <v>516</v>
      </c>
      <c r="E59" s="393">
        <f>E54+E56+E57+E58</f>
        <v>0</v>
      </c>
      <c r="F59" s="4" t="s">
        <v>470</v>
      </c>
    </row>
    <row r="60" spans="2:5" s="1" customFormat="1" ht="10.5" customHeight="1">
      <c r="B60" s="5"/>
      <c r="C60" s="392"/>
      <c r="E60" s="391"/>
    </row>
    <row r="61" spans="2:6" ht="15.75">
      <c r="B61" s="5"/>
      <c r="C61" s="392"/>
      <c r="D61" s="1"/>
      <c r="E61" s="391"/>
      <c r="F61" s="7"/>
    </row>
    <row r="62" spans="2:6" ht="15.75">
      <c r="B62" s="7"/>
      <c r="E62" s="390"/>
      <c r="F62" s="7"/>
    </row>
  </sheetData>
  <sheetProtection password="AF00" sheet="1"/>
  <mergeCells count="6">
    <mergeCell ref="B8:F8"/>
    <mergeCell ref="B6:F6"/>
    <mergeCell ref="B5:F5"/>
    <mergeCell ref="B7:F7"/>
    <mergeCell ref="A3:F3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56"/>
  <sheetViews>
    <sheetView view="pageBreakPreview" zoomScale="106" zoomScaleSheetLayoutView="106" zoomScalePageLayoutView="0" workbookViewId="0" topLeftCell="A113">
      <selection activeCell="O71" sqref="O71"/>
    </sheetView>
  </sheetViews>
  <sheetFormatPr defaultColWidth="9.00390625" defaultRowHeight="12.75"/>
  <cols>
    <col min="1" max="1" width="4.25390625" style="60" customWidth="1"/>
    <col min="2" max="5" width="3.125" style="58" customWidth="1"/>
    <col min="6" max="6" width="55.375" style="8" customWidth="1"/>
    <col min="7" max="7" width="13.25390625" style="8" customWidth="1"/>
    <col min="8" max="8" width="13.87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502"/>
      <c r="B1" s="502"/>
      <c r="C1" s="502"/>
      <c r="D1" s="502"/>
      <c r="E1" s="502"/>
      <c r="F1" s="502"/>
      <c r="G1" s="502"/>
      <c r="H1" s="502"/>
      <c r="I1" s="502"/>
    </row>
    <row r="2" spans="1:9" ht="15.75">
      <c r="A2" s="388"/>
      <c r="B2" s="388"/>
      <c r="C2" s="388"/>
      <c r="D2" s="388"/>
      <c r="E2" s="388"/>
      <c r="F2" s="388"/>
      <c r="G2" s="388"/>
      <c r="H2" s="388"/>
      <c r="I2" s="388"/>
    </row>
    <row r="3" spans="1:9" ht="15.75">
      <c r="A3" s="502" t="s">
        <v>603</v>
      </c>
      <c r="B3" s="502"/>
      <c r="C3" s="502"/>
      <c r="D3" s="502"/>
      <c r="E3" s="502"/>
      <c r="F3" s="502"/>
      <c r="G3" s="502"/>
      <c r="H3" s="502"/>
      <c r="I3" s="502"/>
    </row>
    <row r="4" spans="1:9" s="9" customFormat="1" ht="15.75">
      <c r="A4" s="512" t="s">
        <v>578</v>
      </c>
      <c r="B4" s="512"/>
      <c r="C4" s="512"/>
      <c r="D4" s="512"/>
      <c r="E4" s="512"/>
      <c r="F4" s="512"/>
      <c r="G4" s="512"/>
      <c r="H4" s="512"/>
      <c r="I4" s="512"/>
    </row>
    <row r="5" spans="1:9" s="9" customFormat="1" ht="15.75">
      <c r="A5" s="512" t="s">
        <v>37</v>
      </c>
      <c r="B5" s="512"/>
      <c r="C5" s="512"/>
      <c r="D5" s="512"/>
      <c r="E5" s="512"/>
      <c r="F5" s="512"/>
      <c r="G5" s="512"/>
      <c r="H5" s="512"/>
      <c r="I5" s="512"/>
    </row>
    <row r="6" spans="1:9" ht="15.75">
      <c r="A6" s="512" t="s">
        <v>532</v>
      </c>
      <c r="B6" s="512"/>
      <c r="C6" s="512"/>
      <c r="D6" s="512"/>
      <c r="E6" s="512"/>
      <c r="F6" s="512"/>
      <c r="G6" s="512"/>
      <c r="H6" s="512"/>
      <c r="I6" s="512"/>
    </row>
    <row r="7" ht="15.75" customHeight="1" hidden="1"/>
    <row r="8" spans="1:9" ht="15.75">
      <c r="A8" s="515"/>
      <c r="B8" s="515"/>
      <c r="C8" s="515"/>
      <c r="D8" s="515"/>
      <c r="E8" s="515"/>
      <c r="F8" s="515"/>
      <c r="G8" s="515"/>
      <c r="H8" s="515"/>
      <c r="I8" s="515"/>
    </row>
    <row r="9" spans="8:9" ht="16.5" thickBot="1">
      <c r="H9" s="62"/>
      <c r="I9" s="63" t="s">
        <v>467</v>
      </c>
    </row>
    <row r="10" spans="1:9" ht="15.75">
      <c r="A10" s="516" t="s">
        <v>20</v>
      </c>
      <c r="B10" s="517"/>
      <c r="C10" s="517"/>
      <c r="D10" s="517"/>
      <c r="E10" s="517"/>
      <c r="F10" s="518"/>
      <c r="G10" s="64" t="s">
        <v>18</v>
      </c>
      <c r="H10" s="64" t="s">
        <v>18</v>
      </c>
      <c r="I10" s="64" t="s">
        <v>19</v>
      </c>
    </row>
    <row r="11" spans="1:9" ht="15.75">
      <c r="A11" s="519"/>
      <c r="B11" s="520"/>
      <c r="C11" s="520"/>
      <c r="D11" s="520"/>
      <c r="E11" s="520"/>
      <c r="F11" s="521"/>
      <c r="G11" s="65" t="s">
        <v>9</v>
      </c>
      <c r="H11" s="65" t="s">
        <v>9</v>
      </c>
      <c r="I11" s="65"/>
    </row>
    <row r="12" spans="1:9" ht="16.5" thickBot="1">
      <c r="A12" s="522"/>
      <c r="B12" s="523"/>
      <c r="C12" s="523"/>
      <c r="D12" s="523"/>
      <c r="E12" s="523"/>
      <c r="F12" s="524"/>
      <c r="G12" s="66" t="s">
        <v>466</v>
      </c>
      <c r="H12" s="66" t="s">
        <v>532</v>
      </c>
      <c r="I12" s="66" t="s">
        <v>21</v>
      </c>
    </row>
    <row r="13" spans="1:9" ht="6.75" customHeight="1">
      <c r="A13" s="255"/>
      <c r="B13" s="255"/>
      <c r="C13" s="255"/>
      <c r="D13" s="255"/>
      <c r="E13" s="255"/>
      <c r="F13" s="255"/>
      <c r="G13" s="255"/>
      <c r="H13" s="255"/>
      <c r="I13" s="255"/>
    </row>
    <row r="14" spans="1:9" ht="15.75" customHeight="1">
      <c r="A14" s="18" t="s">
        <v>48</v>
      </c>
      <c r="B14" s="506" t="s">
        <v>81</v>
      </c>
      <c r="C14" s="506"/>
      <c r="D14" s="506"/>
      <c r="E14" s="506"/>
      <c r="F14" s="506"/>
      <c r="G14" s="99"/>
      <c r="H14" s="412"/>
      <c r="I14" s="99"/>
    </row>
    <row r="15" spans="1:9" ht="15.75">
      <c r="A15" s="18"/>
      <c r="B15" s="18" t="s">
        <v>48</v>
      </c>
      <c r="C15" s="18" t="s">
        <v>82</v>
      </c>
      <c r="D15" s="18"/>
      <c r="E15" s="18"/>
      <c r="F15" s="18"/>
      <c r="G15" s="413"/>
      <c r="H15" s="413"/>
      <c r="I15" s="18"/>
    </row>
    <row r="16" spans="1:9" ht="18" customHeight="1">
      <c r="A16" s="18"/>
      <c r="B16" s="18"/>
      <c r="C16" s="18" t="s">
        <v>42</v>
      </c>
      <c r="D16" s="506" t="s">
        <v>83</v>
      </c>
      <c r="E16" s="506"/>
      <c r="F16" s="506"/>
      <c r="G16" s="412"/>
      <c r="H16" s="412"/>
      <c r="I16" s="99"/>
    </row>
    <row r="17" spans="1:9" ht="21.75" customHeight="1">
      <c r="A17" s="18"/>
      <c r="B17" s="18"/>
      <c r="C17" s="18"/>
      <c r="D17" s="18" t="s">
        <v>42</v>
      </c>
      <c r="E17" s="506" t="s">
        <v>84</v>
      </c>
      <c r="F17" s="506"/>
      <c r="G17" s="412"/>
      <c r="H17" s="412"/>
      <c r="I17" s="99"/>
    </row>
    <row r="18" spans="1:9" ht="15.75">
      <c r="A18" s="21"/>
      <c r="B18" s="21"/>
      <c r="C18" s="21"/>
      <c r="D18" s="21"/>
      <c r="E18" s="21" t="s">
        <v>55</v>
      </c>
      <c r="F18" s="21" t="s">
        <v>49</v>
      </c>
      <c r="G18" s="411"/>
      <c r="H18" s="411"/>
      <c r="I18" s="100"/>
    </row>
    <row r="19" spans="1:9" ht="10.5" customHeight="1">
      <c r="A19" s="21"/>
      <c r="B19" s="21"/>
      <c r="C19" s="21"/>
      <c r="D19" s="21"/>
      <c r="E19" s="21"/>
      <c r="F19" s="21" t="s">
        <v>85</v>
      </c>
      <c r="G19" s="411"/>
      <c r="I19" s="100"/>
    </row>
    <row r="20" spans="1:9" ht="17.25" customHeight="1">
      <c r="A20" s="21"/>
      <c r="B20" s="21"/>
      <c r="C20" s="21"/>
      <c r="D20" s="21"/>
      <c r="E20" s="21" t="s">
        <v>56</v>
      </c>
      <c r="F20" s="101" t="s">
        <v>50</v>
      </c>
      <c r="G20" s="410"/>
      <c r="I20" s="100"/>
    </row>
    <row r="21" spans="1:9" ht="30.75" customHeight="1">
      <c r="A21" s="21"/>
      <c r="B21" s="21"/>
      <c r="C21" s="21"/>
      <c r="D21" s="21"/>
      <c r="E21" s="21" t="s">
        <v>86</v>
      </c>
      <c r="F21" s="101" t="s">
        <v>87</v>
      </c>
      <c r="G21" s="271">
        <f>2553350</f>
        <v>2553350</v>
      </c>
      <c r="H21" s="271">
        <v>2553350</v>
      </c>
      <c r="I21" s="100">
        <f>H21/G21*100</f>
        <v>100</v>
      </c>
    </row>
    <row r="22" spans="1:9" ht="13.5" customHeight="1">
      <c r="A22" s="21"/>
      <c r="B22" s="21"/>
      <c r="C22" s="21"/>
      <c r="D22" s="21"/>
      <c r="E22" s="21"/>
      <c r="F22" s="21" t="s">
        <v>85</v>
      </c>
      <c r="G22" s="271"/>
      <c r="H22" s="271"/>
      <c r="I22" s="100"/>
    </row>
    <row r="23" spans="1:9" ht="15.75">
      <c r="A23" s="21"/>
      <c r="B23" s="21"/>
      <c r="C23" s="21"/>
      <c r="D23" s="21"/>
      <c r="E23" s="21" t="s">
        <v>88</v>
      </c>
      <c r="F23" s="101" t="s">
        <v>89</v>
      </c>
      <c r="G23" s="271">
        <v>3040000</v>
      </c>
      <c r="H23" s="271">
        <v>3040000</v>
      </c>
      <c r="I23" s="100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85</v>
      </c>
      <c r="G24" s="271"/>
      <c r="H24" s="271"/>
      <c r="I24" s="100"/>
    </row>
    <row r="25" spans="1:9" ht="17.25" customHeight="1">
      <c r="A25" s="21"/>
      <c r="B25" s="21"/>
      <c r="C25" s="21"/>
      <c r="D25" s="21"/>
      <c r="E25" s="21" t="s">
        <v>90</v>
      </c>
      <c r="F25" s="101" t="s">
        <v>91</v>
      </c>
      <c r="G25" s="271">
        <v>100000</v>
      </c>
      <c r="H25" s="271">
        <v>100000</v>
      </c>
      <c r="I25" s="100">
        <f>H25/G25*100</f>
        <v>100</v>
      </c>
    </row>
    <row r="26" spans="1:9" ht="14.25" customHeight="1">
      <c r="A26" s="21"/>
      <c r="B26" s="21"/>
      <c r="C26" s="21"/>
      <c r="D26" s="21"/>
      <c r="E26" s="21"/>
      <c r="F26" s="21" t="s">
        <v>85</v>
      </c>
      <c r="G26" s="271"/>
      <c r="H26" s="271"/>
      <c r="I26" s="100"/>
    </row>
    <row r="27" spans="1:9" ht="15.75">
      <c r="A27" s="21"/>
      <c r="B27" s="21"/>
      <c r="C27" s="21"/>
      <c r="D27" s="21"/>
      <c r="E27" s="21" t="s">
        <v>92</v>
      </c>
      <c r="F27" s="101" t="s">
        <v>93</v>
      </c>
      <c r="G27" s="271">
        <v>7506890</v>
      </c>
      <c r="H27" s="271">
        <v>7506890</v>
      </c>
      <c r="I27" s="100">
        <f>H27/G27*100</f>
        <v>100</v>
      </c>
    </row>
    <row r="28" spans="1:9" s="52" customFormat="1" ht="15.75">
      <c r="A28" s="21"/>
      <c r="B28" s="21"/>
      <c r="C28" s="21"/>
      <c r="D28" s="21"/>
      <c r="E28" s="21"/>
      <c r="F28" s="21" t="s">
        <v>85</v>
      </c>
      <c r="G28" s="272"/>
      <c r="H28" s="272"/>
      <c r="I28" s="100"/>
    </row>
    <row r="29" spans="1:9" ht="15.75">
      <c r="A29" s="21"/>
      <c r="B29" s="21"/>
      <c r="C29" s="21"/>
      <c r="D29" s="21" t="s">
        <v>57</v>
      </c>
      <c r="E29" s="21" t="s">
        <v>94</v>
      </c>
      <c r="F29" s="21"/>
      <c r="G29" s="271">
        <v>5000000</v>
      </c>
      <c r="H29" s="271">
        <v>5000000</v>
      </c>
      <c r="I29" s="100">
        <f>H29/G29*100</f>
        <v>100</v>
      </c>
    </row>
    <row r="30" spans="1:9" ht="15.75">
      <c r="A30" s="21"/>
      <c r="B30" s="21"/>
      <c r="C30" s="21"/>
      <c r="D30" s="21"/>
      <c r="E30" s="21"/>
      <c r="F30" s="21" t="s">
        <v>85</v>
      </c>
      <c r="G30" s="271"/>
      <c r="H30" s="271"/>
      <c r="I30" s="100"/>
    </row>
    <row r="31" spans="1:9" ht="15.75">
      <c r="A31" s="21"/>
      <c r="B31" s="21"/>
      <c r="C31" s="21"/>
      <c r="D31" s="21"/>
      <c r="E31" s="21" t="s">
        <v>469</v>
      </c>
      <c r="F31" s="21"/>
      <c r="G31" s="271">
        <v>3331195</v>
      </c>
      <c r="H31" s="271">
        <v>3664298</v>
      </c>
      <c r="I31" s="100"/>
    </row>
    <row r="32" spans="1:9" ht="15.75">
      <c r="A32" s="21"/>
      <c r="B32" s="21"/>
      <c r="C32" s="21"/>
      <c r="D32" s="21" t="s">
        <v>58</v>
      </c>
      <c r="E32" s="21" t="s">
        <v>150</v>
      </c>
      <c r="F32" s="21"/>
      <c r="G32" s="271">
        <v>20400</v>
      </c>
      <c r="H32" s="271">
        <v>17850</v>
      </c>
      <c r="I32" s="100">
        <f>H32/G32*100</f>
        <v>87.5</v>
      </c>
    </row>
    <row r="33" spans="1:9" ht="15.75">
      <c r="A33" s="21"/>
      <c r="B33" s="21"/>
      <c r="C33" s="21"/>
      <c r="D33" s="21" t="s">
        <v>151</v>
      </c>
      <c r="E33" s="21" t="s">
        <v>107</v>
      </c>
      <c r="F33" s="21"/>
      <c r="G33" s="271">
        <v>286000</v>
      </c>
      <c r="H33" s="271">
        <v>103400</v>
      </c>
      <c r="I33" s="100">
        <f>H33/G33*100</f>
        <v>36.15384615384615</v>
      </c>
    </row>
    <row r="34" spans="1:9" ht="15.75" customHeight="1">
      <c r="A34" s="21"/>
      <c r="B34" s="21"/>
      <c r="C34" s="21" t="s">
        <v>26</v>
      </c>
      <c r="D34" s="505" t="s">
        <v>95</v>
      </c>
      <c r="E34" s="505"/>
      <c r="F34" s="505"/>
      <c r="G34" s="271">
        <v>3000</v>
      </c>
      <c r="H34" s="271">
        <v>3000</v>
      </c>
      <c r="I34" s="100">
        <f>H34/G34*100</f>
        <v>100</v>
      </c>
    </row>
    <row r="35" spans="1:9" ht="15.75">
      <c r="A35" s="21"/>
      <c r="B35" s="21"/>
      <c r="C35" s="21" t="s">
        <v>100</v>
      </c>
      <c r="D35" s="21" t="s">
        <v>468</v>
      </c>
      <c r="E35" s="21"/>
      <c r="F35" s="21"/>
      <c r="G35" s="271">
        <v>11938</v>
      </c>
      <c r="H35" s="271"/>
      <c r="I35" s="100">
        <f>H35/G35*100</f>
        <v>0</v>
      </c>
    </row>
    <row r="36" spans="1:9" ht="16.5" customHeight="1">
      <c r="A36" s="21"/>
      <c r="B36" s="21"/>
      <c r="C36" s="21" t="s">
        <v>106</v>
      </c>
      <c r="D36" s="21" t="s">
        <v>539</v>
      </c>
      <c r="E36" s="21"/>
      <c r="F36" s="21"/>
      <c r="G36" s="271"/>
      <c r="H36" s="271">
        <v>1170400</v>
      </c>
      <c r="I36" s="100"/>
    </row>
    <row r="37" spans="1:9" ht="18.75" customHeight="1">
      <c r="A37" s="103"/>
      <c r="B37" s="103"/>
      <c r="C37" s="104"/>
      <c r="D37" s="513" t="s">
        <v>96</v>
      </c>
      <c r="E37" s="513"/>
      <c r="F37" s="513"/>
      <c r="G37" s="409">
        <f>SUM(G18:G36)</f>
        <v>21852773</v>
      </c>
      <c r="H37" s="409">
        <f>SUM(H18:H36)</f>
        <v>23159188</v>
      </c>
      <c r="I37" s="100">
        <f>H37/G37*100</f>
        <v>105.97825731315655</v>
      </c>
    </row>
    <row r="38" spans="1:9" ht="33" customHeight="1">
      <c r="A38" s="21"/>
      <c r="B38" s="18" t="s">
        <v>52</v>
      </c>
      <c r="C38" s="18" t="s">
        <v>43</v>
      </c>
      <c r="D38" s="506" t="s">
        <v>97</v>
      </c>
      <c r="E38" s="506"/>
      <c r="F38" s="506"/>
      <c r="G38" s="271"/>
      <c r="H38" s="271"/>
      <c r="I38" s="100"/>
    </row>
    <row r="39" spans="1:9" ht="15.75">
      <c r="A39" s="21"/>
      <c r="B39" s="21"/>
      <c r="C39" s="21"/>
      <c r="D39" s="21" t="s">
        <v>42</v>
      </c>
      <c r="E39" s="21" t="s">
        <v>152</v>
      </c>
      <c r="F39" s="21"/>
      <c r="G39" s="271"/>
      <c r="H39" s="271"/>
      <c r="I39" s="100"/>
    </row>
    <row r="40" spans="1:9" ht="30.75" customHeight="1">
      <c r="A40" s="21"/>
      <c r="B40" s="21"/>
      <c r="C40" s="21"/>
      <c r="D40" s="21" t="s">
        <v>26</v>
      </c>
      <c r="E40" s="505" t="s">
        <v>153</v>
      </c>
      <c r="F40" s="505"/>
      <c r="G40" s="271">
        <v>4162000</v>
      </c>
      <c r="H40" s="271">
        <v>4111000</v>
      </c>
      <c r="I40" s="100">
        <f>H40/G40*100</f>
        <v>98.77462758289283</v>
      </c>
    </row>
    <row r="41" spans="1:9" ht="15.75">
      <c r="A41" s="21"/>
      <c r="B41" s="21"/>
      <c r="C41" s="21"/>
      <c r="D41" s="21" t="s">
        <v>43</v>
      </c>
      <c r="E41" s="21" t="s">
        <v>98</v>
      </c>
      <c r="F41" s="21"/>
      <c r="G41" s="271">
        <v>830400</v>
      </c>
      <c r="H41" s="271">
        <v>830400</v>
      </c>
      <c r="I41" s="100">
        <f>H41/G41*100</f>
        <v>100</v>
      </c>
    </row>
    <row r="42" spans="1:9" ht="15.75">
      <c r="A42" s="21"/>
      <c r="B42" s="21"/>
      <c r="C42" s="21"/>
      <c r="D42" s="21" t="s">
        <v>100</v>
      </c>
      <c r="E42" s="21" t="s">
        <v>101</v>
      </c>
      <c r="F42" s="21"/>
      <c r="G42" s="271"/>
      <c r="H42" s="271"/>
      <c r="I42" s="100"/>
    </row>
    <row r="43" spans="1:9" ht="30.75" customHeight="1">
      <c r="A43" s="21"/>
      <c r="B43" s="21"/>
      <c r="C43" s="21"/>
      <c r="D43" s="21"/>
      <c r="E43" s="21" t="s">
        <v>55</v>
      </c>
      <c r="F43" s="101" t="s">
        <v>540</v>
      </c>
      <c r="G43" s="271">
        <v>1672000</v>
      </c>
      <c r="H43" s="271">
        <f>1672000+152000</f>
        <v>1824000</v>
      </c>
      <c r="I43" s="100">
        <f>H43/G43*100</f>
        <v>109.09090909090908</v>
      </c>
    </row>
    <row r="44" spans="1:9" ht="15.75">
      <c r="A44" s="21"/>
      <c r="B44" s="21"/>
      <c r="C44" s="21"/>
      <c r="D44" s="21"/>
      <c r="E44" s="21" t="s">
        <v>56</v>
      </c>
      <c r="F44" s="21" t="s">
        <v>541</v>
      </c>
      <c r="G44" s="271">
        <v>3495759</v>
      </c>
      <c r="H44" s="271">
        <f>3869880-255378</f>
        <v>3614502</v>
      </c>
      <c r="I44" s="100">
        <f>H44/G44*100</f>
        <v>103.39677306130083</v>
      </c>
    </row>
    <row r="45" spans="1:9" ht="33.75" customHeight="1">
      <c r="A45" s="103"/>
      <c r="B45" s="103"/>
      <c r="C45" s="513" t="s">
        <v>102</v>
      </c>
      <c r="D45" s="513"/>
      <c r="E45" s="513"/>
      <c r="F45" s="513"/>
      <c r="G45" s="408">
        <f>SUM(G39:G44)</f>
        <v>10160159</v>
      </c>
      <c r="H45" s="408">
        <f>SUM(H39:H44)</f>
        <v>10379902</v>
      </c>
      <c r="I45" s="100">
        <f>H45/G45*100</f>
        <v>102.16279095632264</v>
      </c>
    </row>
    <row r="46" spans="1:9" ht="3" customHeight="1">
      <c r="A46" s="103"/>
      <c r="B46" s="103"/>
      <c r="C46" s="254"/>
      <c r="D46" s="254"/>
      <c r="E46" s="254"/>
      <c r="F46" s="254"/>
      <c r="G46" s="408"/>
      <c r="H46" s="271"/>
      <c r="I46" s="100"/>
    </row>
    <row r="47" spans="1:9" ht="14.25" customHeight="1">
      <c r="A47" s="21"/>
      <c r="B47" s="21"/>
      <c r="C47" s="18" t="s">
        <v>99</v>
      </c>
      <c r="D47" s="506" t="s">
        <v>103</v>
      </c>
      <c r="E47" s="506"/>
      <c r="F47" s="506"/>
      <c r="G47" s="406"/>
      <c r="H47" s="271"/>
      <c r="I47" s="100"/>
    </row>
    <row r="48" spans="1:9" ht="15.75" customHeight="1">
      <c r="A48" s="21"/>
      <c r="B48" s="21"/>
      <c r="C48" s="21"/>
      <c r="D48" s="21" t="s">
        <v>42</v>
      </c>
      <c r="E48" s="505" t="s">
        <v>53</v>
      </c>
      <c r="F48" s="505"/>
      <c r="G48" s="401"/>
      <c r="H48" s="271"/>
      <c r="I48" s="100"/>
    </row>
    <row r="49" spans="1:9" ht="31.5">
      <c r="A49" s="21"/>
      <c r="B49" s="21"/>
      <c r="C49" s="21"/>
      <c r="D49" s="21"/>
      <c r="E49" s="21" t="s">
        <v>58</v>
      </c>
      <c r="F49" s="101" t="s">
        <v>104</v>
      </c>
      <c r="G49" s="401">
        <v>1200000</v>
      </c>
      <c r="H49" s="271">
        <v>1800000</v>
      </c>
      <c r="I49" s="100">
        <f>H49/G49*100</f>
        <v>150</v>
      </c>
    </row>
    <row r="50" spans="1:9" ht="29.25" customHeight="1">
      <c r="A50" s="21"/>
      <c r="B50" s="21"/>
      <c r="C50" s="513" t="s">
        <v>105</v>
      </c>
      <c r="D50" s="513"/>
      <c r="E50" s="513"/>
      <c r="F50" s="513"/>
      <c r="G50" s="408">
        <f>SUM(G49:G49)</f>
        <v>1200000</v>
      </c>
      <c r="H50" s="408">
        <f>SUM(H49:H49)</f>
        <v>1800000</v>
      </c>
      <c r="I50" s="100">
        <f>H50/G50*100</f>
        <v>150</v>
      </c>
    </row>
    <row r="51" spans="1:9" ht="10.5" customHeight="1">
      <c r="A51" s="21"/>
      <c r="B51" s="21"/>
      <c r="C51" s="254"/>
      <c r="D51" s="254"/>
      <c r="E51" s="254"/>
      <c r="F51" s="254"/>
      <c r="G51" s="408"/>
      <c r="H51" s="408"/>
      <c r="I51" s="100"/>
    </row>
    <row r="52" spans="1:9" ht="15.75">
      <c r="A52" s="21"/>
      <c r="B52" s="21"/>
      <c r="C52" s="18" t="s">
        <v>100</v>
      </c>
      <c r="D52" s="18" t="s">
        <v>629</v>
      </c>
      <c r="E52" s="18"/>
      <c r="F52" s="99"/>
      <c r="G52" s="401"/>
      <c r="H52" s="271"/>
      <c r="I52" s="100"/>
    </row>
    <row r="53" spans="1:9" ht="15.75">
      <c r="A53" s="21"/>
      <c r="B53" s="21"/>
      <c r="C53" s="21"/>
      <c r="D53" s="21"/>
      <c r="E53" s="21" t="s">
        <v>42</v>
      </c>
      <c r="F53" s="101" t="s">
        <v>628</v>
      </c>
      <c r="G53" s="401"/>
      <c r="H53" s="271">
        <v>11121</v>
      </c>
      <c r="I53" s="100"/>
    </row>
    <row r="54" spans="1:9" ht="15.75">
      <c r="A54" s="21"/>
      <c r="B54" s="21"/>
      <c r="C54" s="21"/>
      <c r="D54" s="21"/>
      <c r="E54" s="21" t="s">
        <v>627</v>
      </c>
      <c r="F54" s="101" t="s">
        <v>626</v>
      </c>
      <c r="G54" s="401"/>
      <c r="H54" s="271">
        <v>177800</v>
      </c>
      <c r="I54" s="100"/>
    </row>
    <row r="55" spans="1:9" ht="15.75">
      <c r="A55" s="21"/>
      <c r="B55" s="21"/>
      <c r="C55" s="103" t="s">
        <v>625</v>
      </c>
      <c r="D55" s="103"/>
      <c r="E55" s="103"/>
      <c r="F55" s="104"/>
      <c r="G55" s="401"/>
      <c r="H55" s="407">
        <f>H53+H54</f>
        <v>188921</v>
      </c>
      <c r="I55" s="100"/>
    </row>
    <row r="56" spans="1:9" ht="19.5" customHeight="1">
      <c r="A56" s="105"/>
      <c r="B56" s="510" t="s">
        <v>108</v>
      </c>
      <c r="C56" s="510"/>
      <c r="D56" s="510"/>
      <c r="E56" s="510"/>
      <c r="F56" s="510"/>
      <c r="G56" s="405">
        <f>G37+G45+G50</f>
        <v>33212932</v>
      </c>
      <c r="H56" s="405">
        <f>H37+H45+H50+H55</f>
        <v>35528011</v>
      </c>
      <c r="I56" s="100">
        <f>H56/G56*100</f>
        <v>106.97041441568604</v>
      </c>
    </row>
    <row r="57" spans="1:9" ht="12" customHeight="1">
      <c r="A57" s="21"/>
      <c r="B57" s="21"/>
      <c r="C57" s="21"/>
      <c r="D57" s="21"/>
      <c r="E57" s="21"/>
      <c r="F57" s="21"/>
      <c r="G57" s="400"/>
      <c r="H57" s="271"/>
      <c r="I57" s="100"/>
    </row>
    <row r="58" spans="1:9" ht="15.75" customHeight="1">
      <c r="A58" s="105"/>
      <c r="B58" s="18" t="s">
        <v>51</v>
      </c>
      <c r="C58" s="506" t="s">
        <v>109</v>
      </c>
      <c r="D58" s="506"/>
      <c r="E58" s="506"/>
      <c r="F58" s="506"/>
      <c r="G58" s="406"/>
      <c r="H58" s="271"/>
      <c r="I58" s="100"/>
    </row>
    <row r="59" spans="1:9" ht="30" customHeight="1">
      <c r="A59" s="21"/>
      <c r="B59" s="21"/>
      <c r="C59" s="21" t="s">
        <v>42</v>
      </c>
      <c r="D59" s="511" t="s">
        <v>360</v>
      </c>
      <c r="E59" s="511"/>
      <c r="F59" s="511"/>
      <c r="G59" s="400">
        <v>46400</v>
      </c>
      <c r="H59" s="271">
        <v>46400</v>
      </c>
      <c r="I59" s="100">
        <f>H59/G59*100</f>
        <v>100</v>
      </c>
    </row>
    <row r="60" spans="1:9" ht="15.75" customHeight="1">
      <c r="A60" s="21"/>
      <c r="B60" s="21"/>
      <c r="C60" s="21" t="s">
        <v>26</v>
      </c>
      <c r="D60" s="21" t="s">
        <v>646</v>
      </c>
      <c r="E60" s="21"/>
      <c r="F60" s="21"/>
      <c r="G60" s="400"/>
      <c r="H60" s="271">
        <v>61619</v>
      </c>
      <c r="I60" s="100"/>
    </row>
    <row r="61" spans="1:9" ht="15.75" customHeight="1">
      <c r="A61" s="21"/>
      <c r="B61" s="21"/>
      <c r="C61" s="21" t="s">
        <v>43</v>
      </c>
      <c r="D61" s="21" t="s">
        <v>647</v>
      </c>
      <c r="E61" s="21"/>
      <c r="F61" s="21"/>
      <c r="G61" s="400"/>
      <c r="H61" s="271">
        <v>618183</v>
      </c>
      <c r="I61" s="100"/>
    </row>
    <row r="62" spans="1:9" ht="36" customHeight="1">
      <c r="A62" s="105"/>
      <c r="B62" s="506" t="s">
        <v>110</v>
      </c>
      <c r="C62" s="506"/>
      <c r="D62" s="506"/>
      <c r="E62" s="506"/>
      <c r="F62" s="506"/>
      <c r="G62" s="405">
        <f>SUM(G59:G60)</f>
        <v>46400</v>
      </c>
      <c r="H62" s="405">
        <f>SUM(H59:H61)</f>
        <v>726202</v>
      </c>
      <c r="I62" s="100">
        <f>H62/G62*100</f>
        <v>1565.0905172413793</v>
      </c>
    </row>
    <row r="63" spans="1:9" s="67" customFormat="1" ht="32.25" customHeight="1">
      <c r="A63" s="506" t="s">
        <v>111</v>
      </c>
      <c r="B63" s="506"/>
      <c r="C63" s="506"/>
      <c r="D63" s="506"/>
      <c r="E63" s="506"/>
      <c r="F63" s="506"/>
      <c r="G63" s="273">
        <f>G62+G56</f>
        <v>33259332</v>
      </c>
      <c r="H63" s="273">
        <f>H62+H56</f>
        <v>36254213</v>
      </c>
      <c r="I63" s="100">
        <f>H63/G63*100</f>
        <v>109.00463364688142</v>
      </c>
    </row>
    <row r="64" spans="1:9" ht="34.5" customHeight="1">
      <c r="A64" s="18" t="s">
        <v>51</v>
      </c>
      <c r="B64" s="506" t="s">
        <v>112</v>
      </c>
      <c r="C64" s="506"/>
      <c r="D64" s="506"/>
      <c r="E64" s="506"/>
      <c r="F64" s="506"/>
      <c r="G64" s="273"/>
      <c r="H64" s="406"/>
      <c r="I64" s="100"/>
    </row>
    <row r="65" spans="1:9" ht="15.75" customHeight="1">
      <c r="A65" s="98"/>
      <c r="B65" s="98"/>
      <c r="C65" s="106" t="s">
        <v>42</v>
      </c>
      <c r="D65" s="505" t="s">
        <v>648</v>
      </c>
      <c r="E65" s="514"/>
      <c r="F65" s="514"/>
      <c r="G65" s="405"/>
      <c r="H65" s="825">
        <v>29335000</v>
      </c>
      <c r="I65" s="100"/>
    </row>
    <row r="66" spans="1:9" ht="15.75" customHeight="1">
      <c r="A66" s="506" t="s">
        <v>649</v>
      </c>
      <c r="B66" s="826"/>
      <c r="C66" s="826"/>
      <c r="D66" s="826"/>
      <c r="E66" s="826"/>
      <c r="F66" s="826"/>
      <c r="G66" s="405"/>
      <c r="H66" s="405">
        <f>H65</f>
        <v>29335000</v>
      </c>
      <c r="I66" s="100"/>
    </row>
    <row r="67" spans="1:9" ht="15.75">
      <c r="A67" s="18" t="s">
        <v>52</v>
      </c>
      <c r="B67" s="18" t="s">
        <v>113</v>
      </c>
      <c r="C67" s="18"/>
      <c r="D67" s="18"/>
      <c r="E67" s="18"/>
      <c r="F67" s="18"/>
      <c r="G67" s="274"/>
      <c r="H67" s="403"/>
      <c r="I67" s="100"/>
    </row>
    <row r="68" spans="1:9" ht="15.75">
      <c r="A68" s="21"/>
      <c r="B68" s="21" t="s">
        <v>42</v>
      </c>
      <c r="C68" s="21" t="s">
        <v>114</v>
      </c>
      <c r="D68" s="21"/>
      <c r="E68" s="21"/>
      <c r="F68" s="21"/>
      <c r="G68" s="275"/>
      <c r="H68" s="400"/>
      <c r="I68" s="100"/>
    </row>
    <row r="69" spans="1:9" s="9" customFormat="1" ht="15.75">
      <c r="A69" s="21"/>
      <c r="B69" s="21"/>
      <c r="C69" s="21" t="s">
        <v>42</v>
      </c>
      <c r="D69" s="21" t="s">
        <v>115</v>
      </c>
      <c r="E69" s="21"/>
      <c r="F69" s="21"/>
      <c r="G69" s="400">
        <v>1500000</v>
      </c>
      <c r="H69" s="271">
        <v>1500000</v>
      </c>
      <c r="I69" s="100">
        <f>H69/G69*100</f>
        <v>100</v>
      </c>
    </row>
    <row r="70" spans="1:9" ht="15.75">
      <c r="A70" s="18"/>
      <c r="B70" s="18" t="s">
        <v>26</v>
      </c>
      <c r="C70" s="18" t="s">
        <v>116</v>
      </c>
      <c r="D70" s="18"/>
      <c r="E70" s="18"/>
      <c r="F70" s="18"/>
      <c r="G70" s="403"/>
      <c r="H70" s="271"/>
      <c r="I70" s="100"/>
    </row>
    <row r="71" spans="1:9" ht="15.75">
      <c r="A71" s="21"/>
      <c r="B71" s="21"/>
      <c r="C71" s="21" t="s">
        <v>42</v>
      </c>
      <c r="D71" s="21" t="s">
        <v>117</v>
      </c>
      <c r="E71" s="21"/>
      <c r="F71" s="21"/>
      <c r="G71" s="400">
        <v>3900000</v>
      </c>
      <c r="H71" s="276">
        <v>3900000</v>
      </c>
      <c r="I71" s="100">
        <f>H71/G71*100</f>
        <v>100</v>
      </c>
    </row>
    <row r="72" spans="1:9" ht="15.75">
      <c r="A72" s="18"/>
      <c r="B72" s="18" t="s">
        <v>43</v>
      </c>
      <c r="C72" s="18" t="s">
        <v>118</v>
      </c>
      <c r="D72" s="18"/>
      <c r="E72" s="18"/>
      <c r="F72" s="18"/>
      <c r="G72" s="403"/>
      <c r="H72" s="271"/>
      <c r="I72" s="100"/>
    </row>
    <row r="73" spans="1:9" ht="15.75">
      <c r="A73" s="21"/>
      <c r="B73" s="21"/>
      <c r="C73" s="21" t="s">
        <v>42</v>
      </c>
      <c r="D73" s="21" t="s">
        <v>119</v>
      </c>
      <c r="E73" s="21"/>
      <c r="F73" s="21"/>
      <c r="G73" s="400">
        <v>1913000</v>
      </c>
      <c r="H73" s="271">
        <v>1913000</v>
      </c>
      <c r="I73" s="100">
        <f>H73/G73*100</f>
        <v>100</v>
      </c>
    </row>
    <row r="74" spans="1:9" ht="15.75">
      <c r="A74" s="21"/>
      <c r="B74" s="18" t="s">
        <v>99</v>
      </c>
      <c r="C74" s="18" t="s">
        <v>120</v>
      </c>
      <c r="D74" s="21"/>
      <c r="E74" s="21"/>
      <c r="F74" s="21"/>
      <c r="G74" s="400"/>
      <c r="H74" s="271"/>
      <c r="I74" s="100"/>
    </row>
    <row r="75" spans="1:9" ht="15.75">
      <c r="A75" s="21"/>
      <c r="B75" s="21"/>
      <c r="C75" s="21" t="s">
        <v>42</v>
      </c>
      <c r="D75" s="21" t="s">
        <v>121</v>
      </c>
      <c r="E75" s="21"/>
      <c r="F75" s="21"/>
      <c r="G75" s="400">
        <v>140000</v>
      </c>
      <c r="H75" s="271">
        <v>140000</v>
      </c>
      <c r="I75" s="100">
        <f>H75/G75*100</f>
        <v>100</v>
      </c>
    </row>
    <row r="76" spans="1:9" ht="15.75">
      <c r="A76" s="21"/>
      <c r="B76" s="21"/>
      <c r="C76" s="21" t="s">
        <v>26</v>
      </c>
      <c r="D76" s="21" t="s">
        <v>80</v>
      </c>
      <c r="E76" s="21"/>
      <c r="F76" s="21"/>
      <c r="G76" s="400">
        <v>280000</v>
      </c>
      <c r="H76" s="271">
        <v>280000</v>
      </c>
      <c r="I76" s="100">
        <f>H76/G76*100</f>
        <v>100</v>
      </c>
    </row>
    <row r="77" spans="1:9" ht="15.75" customHeight="1">
      <c r="A77" s="18"/>
      <c r="B77" s="18" t="s">
        <v>100</v>
      </c>
      <c r="C77" s="18" t="s">
        <v>122</v>
      </c>
      <c r="D77" s="18"/>
      <c r="E77" s="18"/>
      <c r="F77" s="18"/>
      <c r="G77" s="403"/>
      <c r="H77" s="271"/>
      <c r="I77" s="100"/>
    </row>
    <row r="78" spans="1:9" ht="15.75">
      <c r="A78" s="21"/>
      <c r="B78" s="21"/>
      <c r="C78" s="18" t="s">
        <v>42</v>
      </c>
      <c r="D78" s="21" t="s">
        <v>123</v>
      </c>
      <c r="E78" s="21"/>
      <c r="F78" s="21"/>
      <c r="G78" s="400">
        <v>5000</v>
      </c>
      <c r="H78" s="271">
        <v>5000</v>
      </c>
      <c r="I78" s="100">
        <f>H78/G78*100</f>
        <v>100</v>
      </c>
    </row>
    <row r="79" spans="1:9" ht="9" customHeight="1">
      <c r="A79" s="105"/>
      <c r="B79" s="105"/>
      <c r="C79" s="105" t="s">
        <v>43</v>
      </c>
      <c r="D79" s="107" t="s">
        <v>122</v>
      </c>
      <c r="E79" s="105"/>
      <c r="F79" s="105"/>
      <c r="G79" s="402"/>
      <c r="H79" s="271"/>
      <c r="I79" s="100"/>
    </row>
    <row r="80" spans="1:9" s="9" customFormat="1" ht="15.75">
      <c r="A80" s="21"/>
      <c r="B80" s="21"/>
      <c r="C80" s="18" t="s">
        <v>99</v>
      </c>
      <c r="D80" s="21" t="s">
        <v>124</v>
      </c>
      <c r="E80" s="21"/>
      <c r="F80" s="21"/>
      <c r="G80" s="400">
        <v>75000</v>
      </c>
      <c r="H80" s="271">
        <v>75000</v>
      </c>
      <c r="I80" s="100">
        <f>H80/G80*100</f>
        <v>100</v>
      </c>
    </row>
    <row r="81" spans="1:9" ht="15.75">
      <c r="A81" s="105"/>
      <c r="B81" s="105"/>
      <c r="C81" s="105"/>
      <c r="D81" s="105"/>
      <c r="E81" s="105"/>
      <c r="F81" s="105"/>
      <c r="G81" s="402"/>
      <c r="H81" s="271"/>
      <c r="I81" s="100"/>
    </row>
    <row r="82" spans="1:9" ht="15.75">
      <c r="A82" s="18" t="s">
        <v>69</v>
      </c>
      <c r="B82" s="105"/>
      <c r="C82" s="105"/>
      <c r="D82" s="105"/>
      <c r="E82" s="105"/>
      <c r="F82" s="105"/>
      <c r="G82" s="405">
        <f>G69+G71+G73+G75+G76+G78+G79+G80</f>
        <v>7813000</v>
      </c>
      <c r="H82" s="405">
        <f>H69+H71+H73+H75+H76+H78+H79+H80</f>
        <v>7813000</v>
      </c>
      <c r="I82" s="100">
        <f>H82/G82*100</f>
        <v>100</v>
      </c>
    </row>
    <row r="83" spans="1:9" ht="15.75">
      <c r="A83" s="18" t="s">
        <v>125</v>
      </c>
      <c r="B83" s="18" t="s">
        <v>54</v>
      </c>
      <c r="C83" s="18"/>
      <c r="D83" s="18"/>
      <c r="E83" s="18"/>
      <c r="F83" s="18"/>
      <c r="G83" s="274"/>
      <c r="H83" s="403"/>
      <c r="I83" s="100"/>
    </row>
    <row r="84" spans="1:9" ht="15.75">
      <c r="A84" s="105"/>
      <c r="B84" s="105" t="s">
        <v>42</v>
      </c>
      <c r="C84" s="509" t="s">
        <v>126</v>
      </c>
      <c r="D84" s="509"/>
      <c r="E84" s="509"/>
      <c r="F84" s="509"/>
      <c r="G84" s="402"/>
      <c r="H84" s="402"/>
      <c r="I84" s="100"/>
    </row>
    <row r="85" spans="1:9" ht="15.75">
      <c r="A85" s="105"/>
      <c r="B85" s="105"/>
      <c r="C85" s="105" t="s">
        <v>42</v>
      </c>
      <c r="D85" s="107" t="s">
        <v>137</v>
      </c>
      <c r="E85" s="107"/>
      <c r="F85" s="107"/>
      <c r="G85" s="402">
        <v>186535</v>
      </c>
      <c r="H85" s="271">
        <f>82942+105000</f>
        <v>187942</v>
      </c>
      <c r="I85" s="100">
        <f>H85/G85*100</f>
        <v>100.75428203822338</v>
      </c>
    </row>
    <row r="86" spans="1:9" ht="15.75">
      <c r="A86" s="105"/>
      <c r="B86" s="105"/>
      <c r="C86" s="105" t="s">
        <v>26</v>
      </c>
      <c r="D86" s="107" t="s">
        <v>129</v>
      </c>
      <c r="E86" s="107"/>
      <c r="F86" s="107"/>
      <c r="G86" s="402"/>
      <c r="H86" s="335"/>
      <c r="I86" s="100"/>
    </row>
    <row r="87" spans="1:9" ht="15.75">
      <c r="A87" s="105"/>
      <c r="B87" s="105"/>
      <c r="C87" s="105"/>
      <c r="D87" s="107" t="s">
        <v>42</v>
      </c>
      <c r="E87" s="107" t="s">
        <v>130</v>
      </c>
      <c r="F87" s="107"/>
      <c r="G87" s="402">
        <v>20000</v>
      </c>
      <c r="H87" s="271">
        <v>20000</v>
      </c>
      <c r="I87" s="100">
        <f>H87/G87*100</f>
        <v>100</v>
      </c>
    </row>
    <row r="88" spans="1:9" ht="15.75">
      <c r="A88" s="105"/>
      <c r="B88" s="105"/>
      <c r="C88" s="105"/>
      <c r="D88" s="107" t="s">
        <v>26</v>
      </c>
      <c r="E88" s="107" t="s">
        <v>131</v>
      </c>
      <c r="F88" s="107"/>
      <c r="G88" s="402">
        <v>820000</v>
      </c>
      <c r="H88" s="271">
        <v>820000</v>
      </c>
      <c r="I88" s="100">
        <f>H88/G88*100</f>
        <v>100</v>
      </c>
    </row>
    <row r="89" spans="1:9" ht="15.75">
      <c r="A89" s="105"/>
      <c r="B89" s="105"/>
      <c r="C89" s="105"/>
      <c r="D89" s="107" t="s">
        <v>43</v>
      </c>
      <c r="E89" s="107" t="s">
        <v>132</v>
      </c>
      <c r="F89" s="107"/>
      <c r="G89" s="402">
        <v>2000</v>
      </c>
      <c r="H89" s="271">
        <v>2000</v>
      </c>
      <c r="I89" s="100">
        <f>H89/G89*100</f>
        <v>100</v>
      </c>
    </row>
    <row r="90" spans="1:9" ht="15.75">
      <c r="A90" s="105"/>
      <c r="B90" s="105"/>
      <c r="C90" s="105"/>
      <c r="D90" s="107" t="s">
        <v>99</v>
      </c>
      <c r="E90" s="107" t="s">
        <v>133</v>
      </c>
      <c r="F90" s="107"/>
      <c r="G90" s="402">
        <v>85179</v>
      </c>
      <c r="H90" s="271">
        <v>85179</v>
      </c>
      <c r="I90" s="100">
        <f>H90/G90*100</f>
        <v>100</v>
      </c>
    </row>
    <row r="91" spans="1:9" ht="15.75">
      <c r="A91" s="105"/>
      <c r="B91" s="105"/>
      <c r="C91" s="105" t="s">
        <v>43</v>
      </c>
      <c r="D91" s="107" t="s">
        <v>154</v>
      </c>
      <c r="E91" s="107"/>
      <c r="F91" s="107"/>
      <c r="G91" s="402"/>
      <c r="H91" s="335"/>
      <c r="I91" s="100"/>
    </row>
    <row r="92" spans="1:9" ht="15.75">
      <c r="A92" s="105"/>
      <c r="B92" s="105"/>
      <c r="D92" s="105" t="s">
        <v>42</v>
      </c>
      <c r="E92" s="107" t="s">
        <v>127</v>
      </c>
      <c r="F92" s="105"/>
      <c r="G92" s="402">
        <v>51800</v>
      </c>
      <c r="H92" s="271">
        <v>41000</v>
      </c>
      <c r="I92" s="100">
        <f>H92/G92*100</f>
        <v>79.15057915057915</v>
      </c>
    </row>
    <row r="93" spans="1:9" ht="15.75">
      <c r="A93" s="105"/>
      <c r="B93" s="105"/>
      <c r="D93" s="105" t="s">
        <v>26</v>
      </c>
      <c r="E93" s="107" t="s">
        <v>128</v>
      </c>
      <c r="F93" s="107"/>
      <c r="G93" s="402">
        <v>177600</v>
      </c>
      <c r="H93" s="271">
        <f>274498</f>
        <v>274498</v>
      </c>
      <c r="I93" s="100">
        <f>H93/G93*100</f>
        <v>154.5596846846847</v>
      </c>
    </row>
    <row r="94" spans="4:9" ht="15.75">
      <c r="D94" s="58" t="s">
        <v>43</v>
      </c>
      <c r="E94" s="107" t="s">
        <v>70</v>
      </c>
      <c r="G94" s="402">
        <v>660744</v>
      </c>
      <c r="H94" s="271">
        <v>521023</v>
      </c>
      <c r="I94" s="100">
        <f>H94/G94*100</f>
        <v>78.85398883682636</v>
      </c>
    </row>
    <row r="95" spans="4:9" ht="15.75">
      <c r="D95" s="58" t="s">
        <v>43</v>
      </c>
      <c r="E95" s="509" t="s">
        <v>650</v>
      </c>
      <c r="F95" s="827"/>
      <c r="G95" s="402"/>
      <c r="H95" s="271">
        <v>118000</v>
      </c>
      <c r="I95" s="100"/>
    </row>
    <row r="96" spans="1:9" ht="15.75">
      <c r="A96" s="105"/>
      <c r="B96" s="105" t="s">
        <v>26</v>
      </c>
      <c r="C96" s="107" t="s">
        <v>134</v>
      </c>
      <c r="D96" s="107"/>
      <c r="E96" s="107"/>
      <c r="F96" s="107"/>
      <c r="G96" s="402"/>
      <c r="H96" s="335"/>
      <c r="I96" s="100"/>
    </row>
    <row r="97" spans="1:9" ht="15.75">
      <c r="A97" s="105"/>
      <c r="B97" s="105"/>
      <c r="C97" s="105" t="s">
        <v>42</v>
      </c>
      <c r="D97" s="107" t="s">
        <v>135</v>
      </c>
      <c r="E97" s="107"/>
      <c r="F97" s="107"/>
      <c r="G97" s="402">
        <v>4099152</v>
      </c>
      <c r="H97" s="271">
        <v>4099152</v>
      </c>
      <c r="I97" s="100">
        <f>H97/G97*100</f>
        <v>100</v>
      </c>
    </row>
    <row r="98" spans="1:9" ht="15.75">
      <c r="A98" s="105"/>
      <c r="B98" s="105" t="s">
        <v>43</v>
      </c>
      <c r="C98" s="107" t="s">
        <v>136</v>
      </c>
      <c r="D98" s="107"/>
      <c r="E98" s="107"/>
      <c r="F98" s="107"/>
      <c r="G98" s="402"/>
      <c r="H98" s="335"/>
      <c r="I98" s="100"/>
    </row>
    <row r="99" spans="1:9" ht="16.5" customHeight="1">
      <c r="A99" s="105"/>
      <c r="B99" s="105"/>
      <c r="C99" s="105" t="s">
        <v>42</v>
      </c>
      <c r="D99" s="107" t="s">
        <v>78</v>
      </c>
      <c r="E99" s="107"/>
      <c r="F99" s="107"/>
      <c r="G99" s="402">
        <v>1843937</v>
      </c>
      <c r="H99" s="271">
        <v>1267352</v>
      </c>
      <c r="I99" s="100">
        <f aca="true" t="shared" si="0" ref="I99:I105">H99/G99*100</f>
        <v>68.73076466278403</v>
      </c>
    </row>
    <row r="100" spans="1:9" ht="15.75" customHeight="1">
      <c r="A100" s="105"/>
      <c r="B100" s="105" t="s">
        <v>99</v>
      </c>
      <c r="C100" s="107" t="s">
        <v>138</v>
      </c>
      <c r="D100" s="105"/>
      <c r="E100" s="105"/>
      <c r="F100" s="105"/>
      <c r="G100" s="402">
        <v>1412426</v>
      </c>
      <c r="H100" s="271">
        <f>10800+28938+1106771+74113+22394+140677+342184+2+303000</f>
        <v>2028879</v>
      </c>
      <c r="I100" s="100">
        <f t="shared" si="0"/>
        <v>143.64497679878448</v>
      </c>
    </row>
    <row r="101" spans="1:9" ht="12" customHeight="1">
      <c r="A101" s="105"/>
      <c r="B101" s="105" t="s">
        <v>100</v>
      </c>
      <c r="C101" s="107" t="s">
        <v>139</v>
      </c>
      <c r="D101" s="105"/>
      <c r="E101" s="105"/>
      <c r="F101" s="105"/>
      <c r="G101" s="402">
        <v>1316846</v>
      </c>
      <c r="H101" s="271">
        <f>701771+74113+60950+83806+236180+1</f>
        <v>1156821</v>
      </c>
      <c r="I101" s="100">
        <f t="shared" si="0"/>
        <v>87.8478576841939</v>
      </c>
    </row>
    <row r="102" spans="1:11" ht="15.75">
      <c r="A102" s="105"/>
      <c r="B102" s="105" t="s">
        <v>106</v>
      </c>
      <c r="C102" s="107" t="s">
        <v>140</v>
      </c>
      <c r="D102" s="105"/>
      <c r="E102" s="105"/>
      <c r="F102" s="105"/>
      <c r="G102" s="402">
        <v>2000</v>
      </c>
      <c r="H102" s="271">
        <v>2000</v>
      </c>
      <c r="I102" s="100">
        <f t="shared" si="0"/>
        <v>100</v>
      </c>
      <c r="K102" s="270"/>
    </row>
    <row r="103" spans="1:9" ht="15.75">
      <c r="A103" s="105"/>
      <c r="B103" s="293" t="s">
        <v>241</v>
      </c>
      <c r="C103" s="509" t="s">
        <v>477</v>
      </c>
      <c r="D103" s="509"/>
      <c r="E103" s="509"/>
      <c r="F103" s="509"/>
      <c r="G103" s="402">
        <v>4825255</v>
      </c>
      <c r="H103" s="271"/>
      <c r="I103" s="100">
        <f t="shared" si="0"/>
        <v>0</v>
      </c>
    </row>
    <row r="104" spans="1:9" ht="14.25" customHeight="1">
      <c r="A104" s="105"/>
      <c r="B104" s="293"/>
      <c r="C104" s="107"/>
      <c r="D104" s="107"/>
      <c r="E104" s="107"/>
      <c r="F104" s="107"/>
      <c r="G104" s="402"/>
      <c r="H104" s="271"/>
      <c r="I104" s="100"/>
    </row>
    <row r="105" spans="1:9" ht="15.75">
      <c r="A105" s="18" t="s">
        <v>22</v>
      </c>
      <c r="B105" s="105"/>
      <c r="C105" s="105"/>
      <c r="D105" s="105"/>
      <c r="E105" s="105"/>
      <c r="F105" s="105"/>
      <c r="G105" s="405">
        <f>SUM(G84:G103)</f>
        <v>15503474</v>
      </c>
      <c r="H105" s="404">
        <f>SUM(H84:H103)</f>
        <v>10623846</v>
      </c>
      <c r="I105" s="100">
        <f t="shared" si="0"/>
        <v>68.52558336279985</v>
      </c>
    </row>
    <row r="106" spans="1:9" ht="42.75" customHeight="1">
      <c r="A106" s="105"/>
      <c r="B106" s="105"/>
      <c r="C106" s="105"/>
      <c r="D106" s="105"/>
      <c r="E106" s="105"/>
      <c r="F106" s="105"/>
      <c r="G106" s="402"/>
      <c r="H106" s="335"/>
      <c r="I106" s="100"/>
    </row>
    <row r="107" spans="1:9" ht="22.5" customHeight="1">
      <c r="A107" s="105"/>
      <c r="B107" s="105"/>
      <c r="C107" s="105"/>
      <c r="D107" s="105"/>
      <c r="E107" s="105"/>
      <c r="F107" s="105"/>
      <c r="G107" s="402"/>
      <c r="H107" s="335"/>
      <c r="I107" s="100"/>
    </row>
    <row r="108" spans="1:9" ht="16.5" customHeight="1">
      <c r="A108" s="18" t="s">
        <v>59</v>
      </c>
      <c r="B108" s="18" t="s">
        <v>141</v>
      </c>
      <c r="C108" s="18"/>
      <c r="D108" s="18"/>
      <c r="E108" s="18"/>
      <c r="F108" s="18"/>
      <c r="G108" s="403"/>
      <c r="H108" s="335"/>
      <c r="I108" s="100"/>
    </row>
    <row r="109" spans="1:9" ht="15.75" customHeight="1">
      <c r="A109" s="21"/>
      <c r="B109" s="21" t="s">
        <v>42</v>
      </c>
      <c r="C109" s="505" t="s">
        <v>142</v>
      </c>
      <c r="D109" s="505"/>
      <c r="E109" s="505"/>
      <c r="F109" s="505"/>
      <c r="G109" s="401"/>
      <c r="H109" s="335"/>
      <c r="I109" s="100"/>
    </row>
    <row r="110" spans="1:9" ht="14.25" customHeight="1">
      <c r="A110" s="21"/>
      <c r="B110" s="21"/>
      <c r="C110" s="106" t="s">
        <v>42</v>
      </c>
      <c r="D110" s="507" t="s">
        <v>143</v>
      </c>
      <c r="E110" s="507"/>
      <c r="F110" s="507"/>
      <c r="G110" s="401">
        <v>61800</v>
      </c>
      <c r="H110" s="271">
        <v>121800</v>
      </c>
      <c r="I110" s="100">
        <f>H110/G110*100</f>
        <v>197.0873786407767</v>
      </c>
    </row>
    <row r="111" spans="1:9" ht="15.75">
      <c r="A111" s="105"/>
      <c r="B111" s="105"/>
      <c r="C111" s="105"/>
      <c r="D111" s="21"/>
      <c r="E111" s="105"/>
      <c r="F111" s="105"/>
      <c r="G111" s="402"/>
      <c r="H111" s="271"/>
      <c r="I111" s="100"/>
    </row>
    <row r="112" spans="1:9" ht="15.75" customHeight="1">
      <c r="A112" s="508" t="s">
        <v>144</v>
      </c>
      <c r="B112" s="508"/>
      <c r="C112" s="508"/>
      <c r="D112" s="508"/>
      <c r="E112" s="508"/>
      <c r="F112" s="508"/>
      <c r="G112" s="274">
        <f>SUM(G110:G111)</f>
        <v>61800</v>
      </c>
      <c r="H112" s="274">
        <f>SUM(H110:H111)</f>
        <v>121800</v>
      </c>
      <c r="I112" s="100">
        <f>H112/G112*100</f>
        <v>197.0873786407767</v>
      </c>
    </row>
    <row r="113" spans="1:9" ht="15.75" customHeight="1">
      <c r="A113" s="105"/>
      <c r="B113" s="105"/>
      <c r="C113" s="105"/>
      <c r="D113" s="105"/>
      <c r="E113" s="105"/>
      <c r="F113" s="105"/>
      <c r="G113" s="402"/>
      <c r="H113" s="271"/>
      <c r="I113" s="100"/>
    </row>
    <row r="114" spans="1:9" ht="15.75" customHeight="1">
      <c r="A114" s="109" t="s">
        <v>145</v>
      </c>
      <c r="B114" s="109"/>
      <c r="C114" s="109"/>
      <c r="D114" s="109"/>
      <c r="E114" s="109"/>
      <c r="F114" s="109"/>
      <c r="G114" s="274">
        <f>G112+G105+G82+G63</f>
        <v>56637606</v>
      </c>
      <c r="H114" s="274">
        <f>H112+H105+H82+H63+H66</f>
        <v>84147859</v>
      </c>
      <c r="I114" s="100">
        <f>H114/G114*100</f>
        <v>148.57241494282084</v>
      </c>
    </row>
    <row r="115" spans="1:9" ht="36" customHeight="1">
      <c r="A115" s="109"/>
      <c r="B115" s="109"/>
      <c r="C115" s="109"/>
      <c r="D115" s="109"/>
      <c r="E115" s="109"/>
      <c r="F115" s="109"/>
      <c r="G115" s="277"/>
      <c r="H115" s="271"/>
      <c r="I115" s="100"/>
    </row>
    <row r="116" spans="1:9" ht="39" customHeight="1">
      <c r="A116" s="110" t="s">
        <v>146</v>
      </c>
      <c r="B116" s="506" t="s">
        <v>147</v>
      </c>
      <c r="C116" s="506"/>
      <c r="D116" s="506"/>
      <c r="E116" s="506"/>
      <c r="F116" s="506"/>
      <c r="G116" s="401"/>
      <c r="H116" s="271"/>
      <c r="I116" s="100"/>
    </row>
    <row r="117" spans="1:9" ht="16.5" customHeight="1">
      <c r="A117" s="18"/>
      <c r="B117" s="98" t="s">
        <v>42</v>
      </c>
      <c r="C117" s="506" t="s">
        <v>148</v>
      </c>
      <c r="D117" s="506"/>
      <c r="E117" s="506"/>
      <c r="F117" s="506"/>
      <c r="G117" s="401"/>
      <c r="H117" s="271"/>
      <c r="I117" s="100"/>
    </row>
    <row r="118" spans="1:9" ht="16.5" customHeight="1">
      <c r="A118" s="18"/>
      <c r="B118" s="98"/>
      <c r="C118" s="106" t="s">
        <v>42</v>
      </c>
      <c r="D118" s="505" t="s">
        <v>598</v>
      </c>
      <c r="E118" s="505"/>
      <c r="F118" s="505"/>
      <c r="G118" s="401">
        <v>12010222</v>
      </c>
      <c r="H118" s="271">
        <f>57466277-1417579+2228909+1003000+317500</f>
        <v>59598107</v>
      </c>
      <c r="I118" s="100">
        <f>H118/G118*100</f>
        <v>496.2281879552268</v>
      </c>
    </row>
    <row r="119" spans="1:9" ht="15.75" customHeight="1">
      <c r="A119" s="21"/>
      <c r="B119" s="21"/>
      <c r="C119" s="298" t="s">
        <v>26</v>
      </c>
      <c r="D119" s="504" t="s">
        <v>488</v>
      </c>
      <c r="E119" s="504"/>
      <c r="F119" s="504"/>
      <c r="G119" s="400">
        <v>10000000</v>
      </c>
      <c r="H119" s="335"/>
      <c r="I119" s="100"/>
    </row>
    <row r="120" spans="1:9" ht="15" customHeight="1">
      <c r="A120" s="21"/>
      <c r="B120" s="21"/>
      <c r="C120" s="21" t="s">
        <v>43</v>
      </c>
      <c r="D120" s="504" t="s">
        <v>489</v>
      </c>
      <c r="E120" s="504"/>
      <c r="F120" s="504"/>
      <c r="G120" s="400">
        <v>1121209</v>
      </c>
      <c r="H120" s="385">
        <v>1417579</v>
      </c>
      <c r="I120" s="100"/>
    </row>
    <row r="121" spans="1:9" ht="15.75" customHeight="1">
      <c r="A121" s="21"/>
      <c r="B121" s="21"/>
      <c r="C121" s="21" t="s">
        <v>99</v>
      </c>
      <c r="D121" s="505" t="s">
        <v>148</v>
      </c>
      <c r="E121" s="514"/>
      <c r="F121" s="514"/>
      <c r="G121" s="98"/>
      <c r="H121" s="385">
        <f>1115738+600000+38100+2520923+296450+100000+38756947+602627</f>
        <v>44030785</v>
      </c>
      <c r="I121" s="100"/>
    </row>
    <row r="122" spans="1:9" ht="16.5">
      <c r="A122" s="109" t="s">
        <v>147</v>
      </c>
      <c r="B122" s="109"/>
      <c r="C122" s="109"/>
      <c r="D122" s="109"/>
      <c r="E122" s="109"/>
      <c r="F122" s="109"/>
      <c r="G122" s="274">
        <f>G118+G119+G120</f>
        <v>23131431</v>
      </c>
      <c r="H122" s="274">
        <f>SUM(H118:H121)</f>
        <v>105046471</v>
      </c>
      <c r="I122" s="100">
        <f>H122/G122*100</f>
        <v>454.1287177606954</v>
      </c>
    </row>
    <row r="123" spans="1:9" ht="15.75">
      <c r="A123" s="21"/>
      <c r="B123" s="21"/>
      <c r="C123" s="21"/>
      <c r="D123" s="21"/>
      <c r="E123" s="21"/>
      <c r="F123" s="21"/>
      <c r="G123" s="278"/>
      <c r="H123" s="275"/>
      <c r="I123" s="100"/>
    </row>
    <row r="124" spans="1:9" ht="18.75">
      <c r="A124" s="20" t="s">
        <v>149</v>
      </c>
      <c r="B124" s="20"/>
      <c r="C124" s="20"/>
      <c r="D124" s="20"/>
      <c r="E124" s="20"/>
      <c r="F124" s="20"/>
      <c r="G124" s="274">
        <f>G114+G122</f>
        <v>79769037</v>
      </c>
      <c r="H124" s="274">
        <f>H114+H122</f>
        <v>189194330</v>
      </c>
      <c r="I124" s="100">
        <f>H124/G124*100</f>
        <v>237.177653279179</v>
      </c>
    </row>
    <row r="125" spans="7:8" ht="15.75">
      <c r="G125" s="270"/>
      <c r="H125" s="270"/>
    </row>
    <row r="126" spans="7:8" ht="15.75">
      <c r="G126" s="270"/>
      <c r="H126" s="270"/>
    </row>
    <row r="127" spans="7:8" ht="15.75">
      <c r="G127" s="270"/>
      <c r="H127" s="270"/>
    </row>
    <row r="128" spans="7:8" ht="15.75">
      <c r="G128" s="270"/>
      <c r="H128" s="270"/>
    </row>
    <row r="129" spans="7:8" ht="15.75">
      <c r="G129" s="270"/>
      <c r="H129" s="270"/>
    </row>
    <row r="130" spans="7:8" ht="15.75">
      <c r="G130" s="270"/>
      <c r="H130" s="270"/>
    </row>
    <row r="131" spans="7:8" ht="15.75">
      <c r="G131" s="270"/>
      <c r="H131" s="270"/>
    </row>
    <row r="132" spans="7:8" ht="15.75">
      <c r="G132" s="270"/>
      <c r="H132" s="270"/>
    </row>
    <row r="133" spans="7:8" ht="15.75">
      <c r="G133" s="270"/>
      <c r="H133" s="270"/>
    </row>
    <row r="134" spans="7:8" ht="15.75">
      <c r="G134" s="270"/>
      <c r="H134" s="270"/>
    </row>
    <row r="135" spans="7:8" ht="15.75">
      <c r="G135" s="270"/>
      <c r="H135" s="270"/>
    </row>
    <row r="136" spans="7:8" ht="15.75">
      <c r="G136" s="270"/>
      <c r="H136" s="270"/>
    </row>
    <row r="137" spans="7:8" ht="15.75">
      <c r="G137" s="270"/>
      <c r="H137" s="270"/>
    </row>
    <row r="138" spans="7:8" ht="15.75">
      <c r="G138" s="270"/>
      <c r="H138" s="270"/>
    </row>
    <row r="139" spans="7:8" ht="15.75">
      <c r="G139" s="270"/>
      <c r="H139" s="270"/>
    </row>
    <row r="140" spans="7:8" ht="15.75">
      <c r="G140" s="270"/>
      <c r="H140" s="270"/>
    </row>
    <row r="141" spans="7:8" ht="15.75">
      <c r="G141" s="270"/>
      <c r="H141" s="270"/>
    </row>
    <row r="142" spans="7:8" ht="15.75">
      <c r="G142" s="270"/>
      <c r="H142" s="270"/>
    </row>
    <row r="143" spans="7:8" ht="15.75">
      <c r="G143" s="270"/>
      <c r="H143" s="270"/>
    </row>
    <row r="144" spans="7:8" ht="15.75">
      <c r="G144" s="270"/>
      <c r="H144" s="270"/>
    </row>
    <row r="145" spans="7:8" ht="15.75">
      <c r="G145" s="270"/>
      <c r="H145" s="270"/>
    </row>
    <row r="146" spans="7:8" ht="15.75">
      <c r="G146" s="270"/>
      <c r="H146" s="270"/>
    </row>
    <row r="147" spans="7:8" ht="15.75">
      <c r="G147" s="270"/>
      <c r="H147" s="270"/>
    </row>
    <row r="148" spans="7:8" ht="15.75">
      <c r="G148" s="270"/>
      <c r="H148" s="270"/>
    </row>
    <row r="149" spans="7:8" ht="15.75">
      <c r="G149" s="270"/>
      <c r="H149" s="270"/>
    </row>
    <row r="150" spans="7:8" ht="15.75">
      <c r="G150" s="270"/>
      <c r="H150" s="270"/>
    </row>
    <row r="151" spans="7:8" ht="15.75">
      <c r="G151" s="270"/>
      <c r="H151" s="270"/>
    </row>
    <row r="152" spans="7:8" ht="15.75">
      <c r="G152" s="270"/>
      <c r="H152" s="270"/>
    </row>
    <row r="153" spans="7:8" ht="15.75">
      <c r="G153" s="270"/>
      <c r="H153" s="270"/>
    </row>
    <row r="154" spans="7:8" ht="15.75">
      <c r="G154" s="270"/>
      <c r="H154" s="270"/>
    </row>
    <row r="155" spans="7:8" ht="15.75">
      <c r="G155" s="270"/>
      <c r="H155" s="270"/>
    </row>
    <row r="156" spans="7:8" ht="15.75">
      <c r="G156" s="270"/>
      <c r="H156" s="270"/>
    </row>
  </sheetData>
  <sheetProtection password="AF00" sheet="1"/>
  <mergeCells count="38">
    <mergeCell ref="A112:F112"/>
    <mergeCell ref="B116:F116"/>
    <mergeCell ref="C117:F117"/>
    <mergeCell ref="D119:F119"/>
    <mergeCell ref="D120:F120"/>
    <mergeCell ref="D121:F121"/>
    <mergeCell ref="A66:F66"/>
    <mergeCell ref="C84:F84"/>
    <mergeCell ref="E95:F95"/>
    <mergeCell ref="C103:F103"/>
    <mergeCell ref="C109:F109"/>
    <mergeCell ref="D110:F110"/>
    <mergeCell ref="A3:I3"/>
    <mergeCell ref="D118:F118"/>
    <mergeCell ref="D16:F16"/>
    <mergeCell ref="A1:I1"/>
    <mergeCell ref="A8:I8"/>
    <mergeCell ref="B14:F14"/>
    <mergeCell ref="A10:F12"/>
    <mergeCell ref="A4:I4"/>
    <mergeCell ref="A5:I5"/>
    <mergeCell ref="A6:I6"/>
    <mergeCell ref="D47:F47"/>
    <mergeCell ref="E48:F48"/>
    <mergeCell ref="C50:F50"/>
    <mergeCell ref="C45:F45"/>
    <mergeCell ref="E17:F17"/>
    <mergeCell ref="D34:F34"/>
    <mergeCell ref="D37:F37"/>
    <mergeCell ref="D38:F38"/>
    <mergeCell ref="B56:F56"/>
    <mergeCell ref="C58:F58"/>
    <mergeCell ref="D59:F59"/>
    <mergeCell ref="B62:F62"/>
    <mergeCell ref="A63:F63"/>
    <mergeCell ref="B64:F64"/>
    <mergeCell ref="D65:F65"/>
    <mergeCell ref="E40:F40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6" r:id="rId1"/>
  <rowBreaks count="2" manualBreakCount="2">
    <brk id="50" max="8" man="1"/>
    <brk id="10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34"/>
  <sheetViews>
    <sheetView view="pageBreakPreview" zoomScale="90" zoomScaleSheetLayoutView="90" zoomScalePageLayoutView="0" workbookViewId="0" topLeftCell="A1">
      <selection activeCell="L25" sqref="L25"/>
    </sheetView>
  </sheetViews>
  <sheetFormatPr defaultColWidth="9.00390625" defaultRowHeight="12.75"/>
  <cols>
    <col min="1" max="1" width="3.875" style="160" customWidth="1"/>
    <col min="2" max="2" width="9.125" style="160" customWidth="1"/>
    <col min="3" max="3" width="61.125" style="160" customWidth="1"/>
    <col min="4" max="7" width="26.25390625" style="160" customWidth="1"/>
    <col min="8" max="16384" width="9.125" style="160" customWidth="1"/>
  </cols>
  <sheetData>
    <row r="1" spans="1:7" ht="15" customHeight="1">
      <c r="A1" s="525"/>
      <c r="B1" s="503"/>
      <c r="C1" s="503"/>
      <c r="D1" s="503"/>
      <c r="E1" s="503"/>
      <c r="F1" s="503"/>
      <c r="G1" s="503"/>
    </row>
    <row r="3" spans="1:7" s="155" customFormat="1" ht="15.75">
      <c r="A3" s="525" t="s">
        <v>604</v>
      </c>
      <c r="B3" s="503"/>
      <c r="C3" s="503"/>
      <c r="D3" s="503"/>
      <c r="E3" s="503"/>
      <c r="F3" s="503"/>
      <c r="G3" s="503"/>
    </row>
    <row r="4" spans="3:7" s="73" customFormat="1" ht="15" customHeight="1">
      <c r="C4" s="526"/>
      <c r="D4" s="526"/>
      <c r="E4" s="526"/>
      <c r="F4" s="526"/>
      <c r="G4" s="526"/>
    </row>
    <row r="5" spans="2:7" s="157" customFormat="1" ht="15" customHeight="1">
      <c r="B5" s="527"/>
      <c r="C5" s="527"/>
      <c r="D5" s="527"/>
      <c r="E5" s="527"/>
      <c r="F5" s="527"/>
      <c r="G5" s="527"/>
    </row>
    <row r="6" spans="2:7" s="126" customFormat="1" ht="15" customHeight="1">
      <c r="B6" s="527" t="s">
        <v>39</v>
      </c>
      <c r="C6" s="527"/>
      <c r="D6" s="527"/>
      <c r="E6" s="527"/>
      <c r="F6" s="527"/>
      <c r="G6" s="527"/>
    </row>
    <row r="7" spans="2:7" s="126" customFormat="1" ht="15.75" customHeight="1">
      <c r="B7" s="528" t="s">
        <v>287</v>
      </c>
      <c r="C7" s="528"/>
      <c r="D7" s="528"/>
      <c r="E7" s="528"/>
      <c r="F7" s="528"/>
      <c r="G7" s="528"/>
    </row>
    <row r="8" spans="3:7" s="126" customFormat="1" ht="15" customHeight="1">
      <c r="C8" s="527" t="s">
        <v>532</v>
      </c>
      <c r="D8" s="527"/>
      <c r="E8" s="527"/>
      <c r="F8" s="527"/>
      <c r="G8" s="527"/>
    </row>
    <row r="9" spans="3:7" s="155" customFormat="1" ht="12" customHeight="1" thickBot="1">
      <c r="C9" s="156"/>
      <c r="D9" s="159"/>
      <c r="E9" s="427"/>
      <c r="F9" s="427"/>
      <c r="G9" s="426"/>
    </row>
    <row r="10" spans="1:7" s="155" customFormat="1" ht="23.25" customHeight="1" thickBot="1">
      <c r="A10" s="529" t="s">
        <v>471</v>
      </c>
      <c r="B10" s="532" t="s">
        <v>178</v>
      </c>
      <c r="C10" s="535" t="s">
        <v>179</v>
      </c>
      <c r="D10" s="538" t="s">
        <v>288</v>
      </c>
      <c r="E10" s="541" t="s">
        <v>289</v>
      </c>
      <c r="F10" s="541"/>
      <c r="G10" s="542"/>
    </row>
    <row r="11" spans="1:7" s="155" customFormat="1" ht="39.75" customHeight="1" thickBot="1">
      <c r="A11" s="530"/>
      <c r="B11" s="533"/>
      <c r="C11" s="536"/>
      <c r="D11" s="539"/>
      <c r="E11" s="423" t="s">
        <v>290</v>
      </c>
      <c r="F11" s="425" t="s">
        <v>291</v>
      </c>
      <c r="G11" s="424" t="s">
        <v>292</v>
      </c>
    </row>
    <row r="12" spans="1:7" s="155" customFormat="1" ht="22.5" customHeight="1">
      <c r="A12" s="530"/>
      <c r="B12" s="533"/>
      <c r="C12" s="536"/>
      <c r="D12" s="539"/>
      <c r="E12" s="543" t="s">
        <v>293</v>
      </c>
      <c r="F12" s="544"/>
      <c r="G12" s="545"/>
    </row>
    <row r="13" spans="1:7" ht="21.75" customHeight="1" thickBot="1">
      <c r="A13" s="531"/>
      <c r="B13" s="534"/>
      <c r="C13" s="537"/>
      <c r="D13" s="540"/>
      <c r="E13" s="546"/>
      <c r="F13" s="547"/>
      <c r="G13" s="548"/>
    </row>
    <row r="14" spans="1:7" ht="30">
      <c r="A14" s="283" t="s">
        <v>42</v>
      </c>
      <c r="B14" s="279" t="s">
        <v>195</v>
      </c>
      <c r="C14" s="161" t="s">
        <v>196</v>
      </c>
      <c r="D14" s="420">
        <f>SUM(E14:G14)</f>
        <v>246800</v>
      </c>
      <c r="E14" s="420">
        <v>7000</v>
      </c>
      <c r="F14" s="420">
        <f>121800+118000</f>
        <v>239800</v>
      </c>
      <c r="G14" s="419"/>
    </row>
    <row r="15" spans="1:7" ht="15">
      <c r="A15" s="282" t="s">
        <v>26</v>
      </c>
      <c r="B15" s="280" t="s">
        <v>197</v>
      </c>
      <c r="C15" s="119" t="s">
        <v>35</v>
      </c>
      <c r="D15" s="418">
        <f aca="true" t="shared" si="0" ref="D15:D22">SUM(E15:G15)</f>
        <v>51800</v>
      </c>
      <c r="E15" s="418">
        <v>51800</v>
      </c>
      <c r="F15" s="418"/>
      <c r="G15" s="417"/>
    </row>
    <row r="16" spans="1:7" ht="15">
      <c r="A16" s="282" t="s">
        <v>43</v>
      </c>
      <c r="B16" s="280" t="s">
        <v>198</v>
      </c>
      <c r="C16" s="119" t="s">
        <v>199</v>
      </c>
      <c r="D16" s="418">
        <f t="shared" si="0"/>
        <v>1259117</v>
      </c>
      <c r="E16" s="418">
        <f>820000+303000</f>
        <v>1123000</v>
      </c>
      <c r="F16" s="418">
        <f>85179+2000+20000+28938</f>
        <v>136117</v>
      </c>
      <c r="G16" s="417"/>
    </row>
    <row r="17" spans="1:7" ht="15">
      <c r="A17" s="282" t="s">
        <v>99</v>
      </c>
      <c r="B17" s="280" t="s">
        <v>294</v>
      </c>
      <c r="C17" s="119" t="s">
        <v>295</v>
      </c>
      <c r="D17" s="418">
        <f t="shared" si="0"/>
        <v>64863011</v>
      </c>
      <c r="E17" s="418">
        <f>35442468+11121+177800+152000-255378+29335000</f>
        <v>64863011</v>
      </c>
      <c r="F17" s="418"/>
      <c r="G17" s="417"/>
    </row>
    <row r="18" spans="1:7" ht="15">
      <c r="A18" s="282" t="s">
        <v>100</v>
      </c>
      <c r="B18" s="280" t="s">
        <v>473</v>
      </c>
      <c r="C18" s="119" t="s">
        <v>474</v>
      </c>
      <c r="D18" s="418">
        <f t="shared" si="0"/>
        <v>104443844</v>
      </c>
      <c r="E18" s="418">
        <f>57466277+2228909+1320500+1115738+600000+38100+2520923+296450+100000+38756947</f>
        <v>104443844</v>
      </c>
      <c r="F18" s="418"/>
      <c r="G18" s="417"/>
    </row>
    <row r="19" spans="1:7" ht="15">
      <c r="A19" s="282" t="s">
        <v>106</v>
      </c>
      <c r="B19" s="280" t="s">
        <v>544</v>
      </c>
      <c r="C19" s="119" t="s">
        <v>545</v>
      </c>
      <c r="D19" s="418">
        <f t="shared" si="0"/>
        <v>61619</v>
      </c>
      <c r="E19" s="418">
        <v>61619</v>
      </c>
      <c r="F19" s="418"/>
      <c r="G19" s="417"/>
    </row>
    <row r="20" spans="1:7" ht="15">
      <c r="A20" s="282" t="s">
        <v>241</v>
      </c>
      <c r="B20" s="280" t="s">
        <v>202</v>
      </c>
      <c r="C20" s="119" t="s">
        <v>203</v>
      </c>
      <c r="D20" s="418">
        <f t="shared" si="0"/>
        <v>5907694</v>
      </c>
      <c r="E20" s="418">
        <v>5907694</v>
      </c>
      <c r="F20" s="418"/>
      <c r="G20" s="417"/>
    </row>
    <row r="21" spans="1:7" ht="15">
      <c r="A21" s="282" t="s">
        <v>243</v>
      </c>
      <c r="B21" s="281">
        <v>104051</v>
      </c>
      <c r="C21" s="119" t="s">
        <v>355</v>
      </c>
      <c r="D21" s="418">
        <f t="shared" si="0"/>
        <v>46400</v>
      </c>
      <c r="E21" s="418"/>
      <c r="F21" s="418"/>
      <c r="G21" s="417">
        <v>46400</v>
      </c>
    </row>
    <row r="22" spans="1:7" ht="30.75" thickBot="1">
      <c r="A22" s="282" t="s">
        <v>245</v>
      </c>
      <c r="B22" s="281">
        <v>900020</v>
      </c>
      <c r="C22" s="119" t="s">
        <v>300</v>
      </c>
      <c r="D22" s="418">
        <f t="shared" si="0"/>
        <v>7808000</v>
      </c>
      <c r="E22" s="418">
        <v>7808000</v>
      </c>
      <c r="F22" s="418"/>
      <c r="G22" s="417"/>
    </row>
    <row r="23" spans="1:7" ht="30" customHeight="1" thickBot="1">
      <c r="A23" s="376" t="s">
        <v>251</v>
      </c>
      <c r="B23" s="377"/>
      <c r="C23" s="366" t="s">
        <v>546</v>
      </c>
      <c r="D23" s="422">
        <f>SUM(D14:D22)</f>
        <v>184688285</v>
      </c>
      <c r="E23" s="422">
        <f>SUM(E14:E22)</f>
        <v>184265968</v>
      </c>
      <c r="F23" s="422">
        <f>SUM(F14:F22)</f>
        <v>375917</v>
      </c>
      <c r="G23" s="422">
        <f>SUM(G14:G22)</f>
        <v>46400</v>
      </c>
    </row>
    <row r="25" spans="1:7" ht="17.25" customHeight="1">
      <c r="A25" s="282" t="s">
        <v>253</v>
      </c>
      <c r="B25" s="828" t="s">
        <v>544</v>
      </c>
      <c r="C25" s="829" t="s">
        <v>651</v>
      </c>
      <c r="D25" s="418">
        <f aca="true" t="shared" si="1" ref="D25:D30">SUM(E25:G25)</f>
        <v>618183</v>
      </c>
      <c r="E25" s="418">
        <v>618183</v>
      </c>
      <c r="F25" s="830"/>
      <c r="G25" s="830"/>
    </row>
    <row r="26" spans="1:7" ht="15">
      <c r="A26" s="282" t="s">
        <v>255</v>
      </c>
      <c r="B26" s="831" t="s">
        <v>473</v>
      </c>
      <c r="C26" s="832" t="s">
        <v>474</v>
      </c>
      <c r="D26" s="420">
        <f t="shared" si="1"/>
        <v>602627</v>
      </c>
      <c r="E26" s="420">
        <v>602627</v>
      </c>
      <c r="F26" s="833"/>
      <c r="G26" s="834"/>
    </row>
    <row r="27" spans="1:7" ht="15">
      <c r="A27" s="282" t="s">
        <v>260</v>
      </c>
      <c r="B27" s="303" t="s">
        <v>296</v>
      </c>
      <c r="C27" s="304" t="s">
        <v>297</v>
      </c>
      <c r="D27" s="420">
        <f t="shared" si="1"/>
        <v>422725</v>
      </c>
      <c r="E27" s="420">
        <v>422725</v>
      </c>
      <c r="F27" s="420"/>
      <c r="G27" s="419"/>
    </row>
    <row r="28" spans="1:7" ht="15">
      <c r="A28" s="364" t="s">
        <v>262</v>
      </c>
      <c r="B28" s="280" t="s">
        <v>298</v>
      </c>
      <c r="C28" s="119" t="s">
        <v>299</v>
      </c>
      <c r="D28" s="418">
        <f t="shared" si="1"/>
        <v>271287</v>
      </c>
      <c r="E28" s="418"/>
      <c r="F28" s="418">
        <f>166287+105000</f>
        <v>271287</v>
      </c>
      <c r="G28" s="417"/>
    </row>
    <row r="29" spans="1:7" ht="15.75" thickBot="1">
      <c r="A29" s="364" t="s">
        <v>264</v>
      </c>
      <c r="B29" s="280" t="s">
        <v>298</v>
      </c>
      <c r="C29" s="121" t="s">
        <v>437</v>
      </c>
      <c r="D29" s="418">
        <f t="shared" si="1"/>
        <v>745507</v>
      </c>
      <c r="E29" s="418"/>
      <c r="F29" s="418">
        <v>745507</v>
      </c>
      <c r="G29" s="417"/>
    </row>
    <row r="30" spans="1:7" ht="15.75" thickBot="1">
      <c r="A30" s="386" t="s">
        <v>271</v>
      </c>
      <c r="B30" s="281" t="s">
        <v>219</v>
      </c>
      <c r="C30" s="344" t="s">
        <v>353</v>
      </c>
      <c r="D30" s="416">
        <f t="shared" si="1"/>
        <v>1845716</v>
      </c>
      <c r="E30" s="416">
        <v>1845716</v>
      </c>
      <c r="F30" s="416"/>
      <c r="G30" s="415"/>
    </row>
    <row r="31" spans="1:7" ht="15" thickBot="1">
      <c r="A31" s="386" t="s">
        <v>274</v>
      </c>
      <c r="B31" s="162"/>
      <c r="C31" s="357" t="s">
        <v>549</v>
      </c>
      <c r="D31" s="378">
        <f>D27+D28+D29+D30+D26+D25</f>
        <v>4506045</v>
      </c>
      <c r="E31" s="378">
        <f>E27+E28+E29+E30+E26+E25</f>
        <v>3489251</v>
      </c>
      <c r="F31" s="378">
        <f>F27+F28+F29+F30</f>
        <v>1016794</v>
      </c>
      <c r="G31" s="378">
        <f>G27+G28+G29+G30</f>
        <v>0</v>
      </c>
    </row>
    <row r="32" spans="2:7" ht="16.5" thickBot="1">
      <c r="B32" s="162"/>
      <c r="C32" s="358" t="s">
        <v>550</v>
      </c>
      <c r="D32" s="378">
        <f>D23+D31</f>
        <v>189194330</v>
      </c>
      <c r="E32" s="378">
        <f>E23+E31</f>
        <v>187755219</v>
      </c>
      <c r="F32" s="378">
        <f>F23+F31</f>
        <v>1392711</v>
      </c>
      <c r="G32" s="378">
        <f>G23+G31</f>
        <v>46400</v>
      </c>
    </row>
    <row r="34" ht="12.75">
      <c r="D34" s="414"/>
    </row>
  </sheetData>
  <sheetProtection password="AF00" sheet="1"/>
  <mergeCells count="13">
    <mergeCell ref="A10:A13"/>
    <mergeCell ref="B10:B13"/>
    <mergeCell ref="C10:C13"/>
    <mergeCell ref="D10:D13"/>
    <mergeCell ref="E10:G10"/>
    <mergeCell ref="E12:G13"/>
    <mergeCell ref="A3:G3"/>
    <mergeCell ref="A1:G1"/>
    <mergeCell ref="C4:G4"/>
    <mergeCell ref="C8:G8"/>
    <mergeCell ref="B5:G5"/>
    <mergeCell ref="B6:G6"/>
    <mergeCell ref="B7:G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T49"/>
  <sheetViews>
    <sheetView view="pageBreakPreview" zoomScale="60" zoomScalePageLayoutView="0" workbookViewId="0" topLeftCell="A1">
      <selection activeCell="Y16" sqref="Y16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37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1:20" ht="15" customHeight="1">
      <c r="A1" s="525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</row>
    <row r="3" spans="1:20" ht="15.75">
      <c r="A3" s="525" t="s">
        <v>605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</row>
    <row r="4" spans="2:17" ht="15.75" customHeight="1"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</row>
    <row r="5" spans="2:20" s="117" customFormat="1" ht="15.75" customHeight="1"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</row>
    <row r="6" spans="2:17" s="117" customFormat="1" ht="15.7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2:20" s="117" customFormat="1" ht="15.75" customHeight="1">
      <c r="B7" s="562" t="s">
        <v>39</v>
      </c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</row>
    <row r="8" spans="2:20" s="117" customFormat="1" ht="15.75" customHeight="1">
      <c r="B8" s="562" t="s">
        <v>177</v>
      </c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</row>
    <row r="9" spans="2:20" s="117" customFormat="1" ht="15.75" customHeight="1">
      <c r="B9" s="562" t="s">
        <v>531</v>
      </c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</row>
    <row r="10" spans="19:20" s="117" customFormat="1" ht="15.75" thickBot="1">
      <c r="S10" s="563" t="s">
        <v>472</v>
      </c>
      <c r="T10" s="563"/>
    </row>
    <row r="11" spans="1:20" s="118" customFormat="1" ht="20.25" customHeight="1" thickBot="1">
      <c r="A11" s="558" t="s">
        <v>471</v>
      </c>
      <c r="B11" s="555" t="s">
        <v>178</v>
      </c>
      <c r="C11" s="549" t="s">
        <v>179</v>
      </c>
      <c r="D11" s="552" t="s">
        <v>180</v>
      </c>
      <c r="E11" s="566" t="s">
        <v>181</v>
      </c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8"/>
      <c r="S11" s="564" t="s">
        <v>3</v>
      </c>
      <c r="T11" s="565"/>
    </row>
    <row r="12" spans="1:20" s="118" customFormat="1" ht="38.25" customHeight="1" thickBot="1">
      <c r="A12" s="559"/>
      <c r="B12" s="556"/>
      <c r="C12" s="550"/>
      <c r="D12" s="553"/>
      <c r="E12" s="569" t="s">
        <v>71</v>
      </c>
      <c r="F12" s="570"/>
      <c r="G12" s="570"/>
      <c r="H12" s="570"/>
      <c r="I12" s="570"/>
      <c r="J12" s="571"/>
      <c r="K12" s="583" t="s">
        <v>72</v>
      </c>
      <c r="L12" s="584"/>
      <c r="M12" s="584"/>
      <c r="N12" s="585"/>
      <c r="O12" s="572" t="s">
        <v>182</v>
      </c>
      <c r="P12" s="573"/>
      <c r="Q12" s="573"/>
      <c r="R12" s="574"/>
      <c r="S12" s="578" t="s">
        <v>7</v>
      </c>
      <c r="T12" s="579"/>
    </row>
    <row r="13" spans="1:20" s="118" customFormat="1" ht="21" customHeight="1" thickBot="1">
      <c r="A13" s="559"/>
      <c r="B13" s="556"/>
      <c r="C13" s="550"/>
      <c r="D13" s="553"/>
      <c r="E13" s="552" t="s">
        <v>183</v>
      </c>
      <c r="F13" s="552" t="s">
        <v>184</v>
      </c>
      <c r="G13" s="552" t="s">
        <v>185</v>
      </c>
      <c r="H13" s="552" t="s">
        <v>186</v>
      </c>
      <c r="I13" s="552" t="s">
        <v>187</v>
      </c>
      <c r="J13" s="588" t="s">
        <v>188</v>
      </c>
      <c r="K13" s="580" t="s">
        <v>189</v>
      </c>
      <c r="L13" s="580" t="s">
        <v>73</v>
      </c>
      <c r="M13" s="552" t="s">
        <v>301</v>
      </c>
      <c r="N13" s="575" t="s">
        <v>302</v>
      </c>
      <c r="O13" s="552" t="s">
        <v>438</v>
      </c>
      <c r="P13" s="552" t="s">
        <v>190</v>
      </c>
      <c r="Q13" s="552" t="s">
        <v>191</v>
      </c>
      <c r="R13" s="575" t="s">
        <v>303</v>
      </c>
      <c r="S13" s="153" t="s">
        <v>192</v>
      </c>
      <c r="T13" s="154" t="s">
        <v>193</v>
      </c>
    </row>
    <row r="14" spans="1:20" s="118" customFormat="1" ht="18.75" customHeight="1">
      <c r="A14" s="559"/>
      <c r="B14" s="556"/>
      <c r="C14" s="550"/>
      <c r="D14" s="553"/>
      <c r="E14" s="553"/>
      <c r="F14" s="553"/>
      <c r="G14" s="553"/>
      <c r="H14" s="553"/>
      <c r="I14" s="553"/>
      <c r="J14" s="589"/>
      <c r="K14" s="581"/>
      <c r="L14" s="581"/>
      <c r="M14" s="553"/>
      <c r="N14" s="576"/>
      <c r="O14" s="553"/>
      <c r="P14" s="553"/>
      <c r="Q14" s="553"/>
      <c r="R14" s="576"/>
      <c r="S14" s="586" t="s">
        <v>194</v>
      </c>
      <c r="T14" s="587"/>
    </row>
    <row r="15" spans="1:20" s="118" customFormat="1" ht="20.25" customHeight="1" thickBot="1">
      <c r="A15" s="560"/>
      <c r="B15" s="557"/>
      <c r="C15" s="551"/>
      <c r="D15" s="554"/>
      <c r="E15" s="554"/>
      <c r="F15" s="554"/>
      <c r="G15" s="554"/>
      <c r="H15" s="554"/>
      <c r="I15" s="554"/>
      <c r="J15" s="590"/>
      <c r="K15" s="582"/>
      <c r="L15" s="582"/>
      <c r="M15" s="554"/>
      <c r="N15" s="577"/>
      <c r="O15" s="554"/>
      <c r="P15" s="554"/>
      <c r="Q15" s="554"/>
      <c r="R15" s="577"/>
      <c r="S15" s="578"/>
      <c r="T15" s="579"/>
    </row>
    <row r="16" spans="1:20" s="117" customFormat="1" ht="30">
      <c r="A16" s="322" t="s">
        <v>42</v>
      </c>
      <c r="B16" s="320" t="s">
        <v>195</v>
      </c>
      <c r="C16" s="119" t="s">
        <v>196</v>
      </c>
      <c r="D16" s="292">
        <f>J16+N16+P16+Q16</f>
        <v>53224801</v>
      </c>
      <c r="E16" s="284">
        <v>12122418</v>
      </c>
      <c r="F16" s="285">
        <v>2531780</v>
      </c>
      <c r="G16" s="285">
        <f>3646740+100000+1003000-60960</f>
        <v>4688780</v>
      </c>
      <c r="H16" s="285"/>
      <c r="I16" s="285">
        <f>348500+60000+38756947-1000000+152000-255378-30000-3259976-316230-659920-3000-12720</f>
        <v>33780223</v>
      </c>
      <c r="J16" s="286">
        <f aca="true" t="shared" si="0" ref="J16:J38">SUM(E16:I16)</f>
        <v>53123201</v>
      </c>
      <c r="K16" s="287">
        <v>101600</v>
      </c>
      <c r="L16" s="287"/>
      <c r="M16" s="287"/>
      <c r="N16" s="288">
        <f>SUM(K16:M16)</f>
        <v>101600</v>
      </c>
      <c r="O16" s="288"/>
      <c r="P16" s="289"/>
      <c r="Q16" s="290"/>
      <c r="R16" s="290"/>
      <c r="S16" s="327">
        <f>0.5+0.1+0.2-0.3</f>
        <v>0.5</v>
      </c>
      <c r="T16" s="328">
        <v>0.5</v>
      </c>
    </row>
    <row r="17" spans="1:20" s="117" customFormat="1" ht="15">
      <c r="A17" s="322" t="s">
        <v>26</v>
      </c>
      <c r="B17" s="280" t="s">
        <v>197</v>
      </c>
      <c r="C17" s="119" t="s">
        <v>35</v>
      </c>
      <c r="D17" s="292">
        <f aca="true" t="shared" si="1" ref="D17:D38">J17+N17+P17+Q17</f>
        <v>68150</v>
      </c>
      <c r="E17" s="284"/>
      <c r="F17" s="285"/>
      <c r="G17" s="285">
        <v>68150</v>
      </c>
      <c r="H17" s="285"/>
      <c r="I17" s="285"/>
      <c r="J17" s="286">
        <f t="shared" si="0"/>
        <v>68150</v>
      </c>
      <c r="K17" s="287"/>
      <c r="L17" s="287"/>
      <c r="M17" s="287"/>
      <c r="N17" s="288"/>
      <c r="O17" s="288"/>
      <c r="P17" s="289"/>
      <c r="Q17" s="290"/>
      <c r="R17" s="290"/>
      <c r="S17" s="329"/>
      <c r="T17" s="330"/>
    </row>
    <row r="18" spans="1:20" s="117" customFormat="1" ht="29.25" customHeight="1">
      <c r="A18" s="322" t="s">
        <v>43</v>
      </c>
      <c r="B18" s="280" t="s">
        <v>198</v>
      </c>
      <c r="C18" s="119" t="s">
        <v>199</v>
      </c>
      <c r="D18" s="292">
        <f>J18+N18+R18</f>
        <v>1186340</v>
      </c>
      <c r="E18" s="284"/>
      <c r="F18" s="285"/>
      <c r="G18" s="285">
        <f>282890+381000+421000</f>
        <v>1084890</v>
      </c>
      <c r="H18" s="285"/>
      <c r="I18" s="285"/>
      <c r="J18" s="286">
        <f t="shared" si="0"/>
        <v>1084890</v>
      </c>
      <c r="K18" s="287">
        <v>101450</v>
      </c>
      <c r="L18" s="287"/>
      <c r="M18" s="287"/>
      <c r="N18" s="288">
        <f>SUM(K18:M18)</f>
        <v>101450</v>
      </c>
      <c r="O18" s="288"/>
      <c r="P18" s="289"/>
      <c r="Q18" s="290"/>
      <c r="R18" s="290"/>
      <c r="S18" s="331"/>
      <c r="T18" s="330"/>
    </row>
    <row r="19" spans="1:20" s="117" customFormat="1" ht="30" customHeight="1">
      <c r="A19" s="322" t="s">
        <v>99</v>
      </c>
      <c r="B19" s="280" t="s">
        <v>294</v>
      </c>
      <c r="C19" s="119" t="s">
        <v>295</v>
      </c>
      <c r="D19" s="292">
        <f>J19+N19+R19</f>
        <v>1420579</v>
      </c>
      <c r="E19" s="284"/>
      <c r="F19" s="285"/>
      <c r="G19" s="285"/>
      <c r="H19" s="285"/>
      <c r="I19" s="285">
        <v>3000</v>
      </c>
      <c r="J19" s="286">
        <f t="shared" si="0"/>
        <v>3000</v>
      </c>
      <c r="K19" s="287"/>
      <c r="L19" s="287"/>
      <c r="M19" s="287"/>
      <c r="N19" s="288">
        <f>SUM(K19:M19)</f>
        <v>0</v>
      </c>
      <c r="O19" s="288">
        <v>1417579</v>
      </c>
      <c r="P19" s="289"/>
      <c r="Q19" s="290"/>
      <c r="R19" s="290">
        <f>O19+P19+Q19</f>
        <v>1417579</v>
      </c>
      <c r="S19" s="327"/>
      <c r="T19" s="330"/>
    </row>
    <row r="20" spans="1:20" s="117" customFormat="1" ht="18.75" customHeight="1">
      <c r="A20" s="322" t="s">
        <v>100</v>
      </c>
      <c r="B20" s="280" t="s">
        <v>544</v>
      </c>
      <c r="C20" s="119" t="s">
        <v>545</v>
      </c>
      <c r="D20" s="292">
        <f>J20+N20+R20</f>
        <v>242615</v>
      </c>
      <c r="E20" s="284">
        <f>163059+57077</f>
        <v>220136</v>
      </c>
      <c r="F20" s="285">
        <f>17937+4542</f>
        <v>22479</v>
      </c>
      <c r="G20" s="285"/>
      <c r="H20" s="285"/>
      <c r="I20" s="285"/>
      <c r="J20" s="286">
        <f t="shared" si="0"/>
        <v>242615</v>
      </c>
      <c r="K20" s="287"/>
      <c r="L20" s="287"/>
      <c r="M20" s="287"/>
      <c r="N20" s="288"/>
      <c r="O20" s="288"/>
      <c r="P20" s="289"/>
      <c r="Q20" s="290"/>
      <c r="R20" s="290"/>
      <c r="S20" s="327"/>
      <c r="T20" s="330"/>
    </row>
    <row r="21" spans="1:20" s="117" customFormat="1" ht="30" customHeight="1">
      <c r="A21" s="322" t="s">
        <v>106</v>
      </c>
      <c r="B21" s="280" t="s">
        <v>475</v>
      </c>
      <c r="C21" s="119" t="s">
        <v>476</v>
      </c>
      <c r="D21" s="292">
        <f>J21+N21+R21</f>
        <v>92365163</v>
      </c>
      <c r="E21" s="284"/>
      <c r="F21" s="285"/>
      <c r="G21" s="285">
        <v>24130</v>
      </c>
      <c r="H21" s="285"/>
      <c r="I21" s="285"/>
      <c r="J21" s="286">
        <f>SUM(E21:I21)</f>
        <v>24130</v>
      </c>
      <c r="K21" s="287"/>
      <c r="L21" s="287">
        <f>53880487+2228909+1115738+2520923+3259976+29335000</f>
        <v>92341033</v>
      </c>
      <c r="M21" s="287"/>
      <c r="N21" s="288">
        <f aca="true" t="shared" si="2" ref="N21:N26">SUM(K21:M21)</f>
        <v>92341033</v>
      </c>
      <c r="O21" s="288"/>
      <c r="P21" s="289"/>
      <c r="Q21" s="290"/>
      <c r="R21" s="290"/>
      <c r="S21" s="327"/>
      <c r="T21" s="330"/>
    </row>
    <row r="22" spans="1:20" s="117" customFormat="1" ht="30">
      <c r="A22" s="322" t="s">
        <v>241</v>
      </c>
      <c r="B22" s="280" t="s">
        <v>200</v>
      </c>
      <c r="C22" s="119" t="s">
        <v>201</v>
      </c>
      <c r="D22" s="292">
        <f>J22+N22+P22+Q22</f>
        <v>26670</v>
      </c>
      <c r="E22" s="284"/>
      <c r="F22" s="285"/>
      <c r="G22" s="285">
        <v>26670</v>
      </c>
      <c r="H22" s="285"/>
      <c r="I22" s="285"/>
      <c r="J22" s="286">
        <f t="shared" si="0"/>
        <v>26670</v>
      </c>
      <c r="K22" s="287"/>
      <c r="L22" s="287"/>
      <c r="M22" s="287"/>
      <c r="N22" s="288">
        <f t="shared" si="2"/>
        <v>0</v>
      </c>
      <c r="O22" s="288"/>
      <c r="P22" s="289"/>
      <c r="Q22" s="290"/>
      <c r="R22" s="290"/>
      <c r="S22" s="327"/>
      <c r="T22" s="330"/>
    </row>
    <row r="23" spans="1:20" s="117" customFormat="1" ht="15">
      <c r="A23" s="322" t="s">
        <v>243</v>
      </c>
      <c r="B23" s="280" t="s">
        <v>444</v>
      </c>
      <c r="C23" s="119" t="s">
        <v>445</v>
      </c>
      <c r="D23" s="292">
        <f>J23+N23+P23+Q23</f>
        <v>19050</v>
      </c>
      <c r="E23" s="284"/>
      <c r="F23" s="285"/>
      <c r="G23" s="285">
        <v>19050</v>
      </c>
      <c r="H23" s="285"/>
      <c r="I23" s="285"/>
      <c r="J23" s="286">
        <f t="shared" si="0"/>
        <v>19050</v>
      </c>
      <c r="K23" s="287"/>
      <c r="L23" s="287"/>
      <c r="M23" s="287"/>
      <c r="N23" s="288">
        <f t="shared" si="2"/>
        <v>0</v>
      </c>
      <c r="O23" s="288"/>
      <c r="P23" s="289"/>
      <c r="Q23" s="290"/>
      <c r="R23" s="290"/>
      <c r="S23" s="327"/>
      <c r="T23" s="330"/>
    </row>
    <row r="24" spans="1:20" s="117" customFormat="1" ht="30">
      <c r="A24" s="322" t="s">
        <v>245</v>
      </c>
      <c r="B24" s="280" t="s">
        <v>202</v>
      </c>
      <c r="C24" s="119" t="s">
        <v>203</v>
      </c>
      <c r="D24" s="292">
        <f>J24+N24+P24+Q24</f>
        <v>5907694</v>
      </c>
      <c r="E24" s="284"/>
      <c r="F24" s="285"/>
      <c r="G24" s="285">
        <f>4407694-450000-526500</f>
        <v>3431194</v>
      </c>
      <c r="H24" s="285"/>
      <c r="I24" s="285"/>
      <c r="J24" s="286">
        <f t="shared" si="0"/>
        <v>3431194</v>
      </c>
      <c r="K24" s="287"/>
      <c r="L24" s="287">
        <f>1500000+450000+526500</f>
        <v>2476500</v>
      </c>
      <c r="M24" s="287"/>
      <c r="N24" s="288">
        <f t="shared" si="2"/>
        <v>2476500</v>
      </c>
      <c r="O24" s="288"/>
      <c r="P24" s="289"/>
      <c r="Q24" s="290"/>
      <c r="R24" s="290"/>
      <c r="S24" s="331"/>
      <c r="T24" s="330"/>
    </row>
    <row r="25" spans="1:20" s="117" customFormat="1" ht="15">
      <c r="A25" s="322" t="s">
        <v>251</v>
      </c>
      <c r="B25" s="280" t="s">
        <v>204</v>
      </c>
      <c r="C25" s="119" t="s">
        <v>205</v>
      </c>
      <c r="D25" s="292">
        <f>J25+N25+P25+Q25</f>
        <v>2000000</v>
      </c>
      <c r="E25" s="284"/>
      <c r="F25" s="285"/>
      <c r="G25" s="285"/>
      <c r="H25" s="285"/>
      <c r="I25" s="285"/>
      <c r="J25" s="286"/>
      <c r="K25" s="287"/>
      <c r="L25" s="287"/>
      <c r="M25" s="287">
        <f>1000000+1000000</f>
        <v>2000000</v>
      </c>
      <c r="N25" s="288">
        <f t="shared" si="2"/>
        <v>2000000</v>
      </c>
      <c r="O25" s="288"/>
      <c r="P25" s="289"/>
      <c r="Q25" s="290"/>
      <c r="R25" s="290"/>
      <c r="S25" s="331"/>
      <c r="T25" s="330"/>
    </row>
    <row r="26" spans="1:20" s="117" customFormat="1" ht="15">
      <c r="A26" s="322" t="s">
        <v>253</v>
      </c>
      <c r="B26" s="280" t="s">
        <v>206</v>
      </c>
      <c r="C26" s="119" t="s">
        <v>207</v>
      </c>
      <c r="D26" s="292">
        <f>J26+N26+P26+Q26</f>
        <v>2650772</v>
      </c>
      <c r="E26" s="284"/>
      <c r="F26" s="285"/>
      <c r="G26" s="285">
        <v>1952752</v>
      </c>
      <c r="H26" s="287"/>
      <c r="I26" s="285"/>
      <c r="J26" s="286">
        <f t="shared" si="0"/>
        <v>1952752</v>
      </c>
      <c r="K26" s="287">
        <f>38100+659920</f>
        <v>698020</v>
      </c>
      <c r="L26" s="287"/>
      <c r="M26" s="287"/>
      <c r="N26" s="288">
        <f t="shared" si="2"/>
        <v>698020</v>
      </c>
      <c r="O26" s="288"/>
      <c r="P26" s="289"/>
      <c r="Q26" s="290"/>
      <c r="R26" s="290"/>
      <c r="S26" s="331"/>
      <c r="T26" s="330"/>
    </row>
    <row r="27" spans="1:20" s="117" customFormat="1" ht="15">
      <c r="A27" s="322" t="s">
        <v>255</v>
      </c>
      <c r="B27" s="280" t="s">
        <v>208</v>
      </c>
      <c r="C27" s="119" t="s">
        <v>209</v>
      </c>
      <c r="D27" s="292">
        <f t="shared" si="1"/>
        <v>229870</v>
      </c>
      <c r="E27" s="284"/>
      <c r="F27" s="285"/>
      <c r="G27" s="285">
        <f>635000-381000-24130</f>
        <v>229870</v>
      </c>
      <c r="H27" s="287"/>
      <c r="I27" s="285"/>
      <c r="J27" s="286">
        <f t="shared" si="0"/>
        <v>229870</v>
      </c>
      <c r="K27" s="287"/>
      <c r="L27" s="287"/>
      <c r="M27" s="287"/>
      <c r="N27" s="288"/>
      <c r="O27" s="288"/>
      <c r="P27" s="289"/>
      <c r="Q27" s="290"/>
      <c r="R27" s="290"/>
      <c r="S27" s="331"/>
      <c r="T27" s="330"/>
    </row>
    <row r="28" spans="1:20" s="117" customFormat="1" ht="30">
      <c r="A28" s="322" t="s">
        <v>260</v>
      </c>
      <c r="B28" s="280" t="s">
        <v>210</v>
      </c>
      <c r="C28" s="119" t="s">
        <v>211</v>
      </c>
      <c r="D28" s="292">
        <f t="shared" si="1"/>
        <v>4425144</v>
      </c>
      <c r="E28" s="284">
        <v>2155000</v>
      </c>
      <c r="F28" s="285">
        <v>390308</v>
      </c>
      <c r="G28" s="285">
        <f>1051106+317500+316230</f>
        <v>1684836</v>
      </c>
      <c r="H28" s="287"/>
      <c r="I28" s="285"/>
      <c r="J28" s="286">
        <f t="shared" si="0"/>
        <v>4230144</v>
      </c>
      <c r="K28" s="287">
        <v>195000</v>
      </c>
      <c r="L28" s="287"/>
      <c r="M28" s="287"/>
      <c r="N28" s="288">
        <f>SUM(K28:M28)</f>
        <v>195000</v>
      </c>
      <c r="O28" s="288"/>
      <c r="P28" s="289"/>
      <c r="Q28" s="290"/>
      <c r="R28" s="290"/>
      <c r="S28" s="331">
        <v>1</v>
      </c>
      <c r="T28" s="330">
        <v>1</v>
      </c>
    </row>
    <row r="29" spans="1:20" s="117" customFormat="1" ht="15">
      <c r="A29" s="322" t="s">
        <v>262</v>
      </c>
      <c r="B29" s="280" t="s">
        <v>212</v>
      </c>
      <c r="C29" s="119" t="s">
        <v>33</v>
      </c>
      <c r="D29" s="292">
        <f t="shared" si="1"/>
        <v>125730</v>
      </c>
      <c r="E29" s="284"/>
      <c r="F29" s="285"/>
      <c r="G29" s="285">
        <v>125730</v>
      </c>
      <c r="H29" s="287"/>
      <c r="I29" s="285"/>
      <c r="J29" s="286">
        <f t="shared" si="0"/>
        <v>125730</v>
      </c>
      <c r="K29" s="287"/>
      <c r="L29" s="287"/>
      <c r="M29" s="287"/>
      <c r="N29" s="288">
        <f aca="true" t="shared" si="3" ref="N29:N38">SUM(K29:M29)</f>
        <v>0</v>
      </c>
      <c r="O29" s="288"/>
      <c r="P29" s="289"/>
      <c r="Q29" s="290"/>
      <c r="R29" s="290"/>
      <c r="S29" s="331"/>
      <c r="T29" s="330"/>
    </row>
    <row r="30" spans="1:20" s="117" customFormat="1" ht="31.5" customHeight="1">
      <c r="A30" s="322" t="s">
        <v>264</v>
      </c>
      <c r="B30" s="280" t="s">
        <v>213</v>
      </c>
      <c r="C30" s="119" t="s">
        <v>214</v>
      </c>
      <c r="D30" s="292">
        <f t="shared" si="1"/>
        <v>705000</v>
      </c>
      <c r="E30" s="284"/>
      <c r="F30" s="285"/>
      <c r="G30" s="285"/>
      <c r="H30" s="285"/>
      <c r="I30" s="285">
        <f>675000+30000</f>
        <v>705000</v>
      </c>
      <c r="J30" s="286">
        <f t="shared" si="0"/>
        <v>705000</v>
      </c>
      <c r="K30" s="287"/>
      <c r="L30" s="287"/>
      <c r="M30" s="287"/>
      <c r="N30" s="288">
        <f t="shared" si="3"/>
        <v>0</v>
      </c>
      <c r="O30" s="288"/>
      <c r="P30" s="289"/>
      <c r="Q30" s="290"/>
      <c r="R30" s="290"/>
      <c r="S30" s="331"/>
      <c r="T30" s="330"/>
    </row>
    <row r="31" spans="1:20" s="117" customFormat="1" ht="15">
      <c r="A31" s="322" t="s">
        <v>271</v>
      </c>
      <c r="B31" s="280" t="s">
        <v>215</v>
      </c>
      <c r="C31" s="119" t="s">
        <v>36</v>
      </c>
      <c r="D31" s="292">
        <f t="shared" si="1"/>
        <v>909491</v>
      </c>
      <c r="E31" s="284">
        <v>586500</v>
      </c>
      <c r="F31" s="285">
        <v>117067</v>
      </c>
      <c r="G31" s="285">
        <v>82550</v>
      </c>
      <c r="H31" s="285"/>
      <c r="I31" s="285"/>
      <c r="J31" s="286">
        <f t="shared" si="0"/>
        <v>786117</v>
      </c>
      <c r="K31" s="287">
        <f>179959-56585</f>
        <v>123374</v>
      </c>
      <c r="L31" s="287"/>
      <c r="M31" s="287"/>
      <c r="N31" s="288">
        <f t="shared" si="3"/>
        <v>123374</v>
      </c>
      <c r="O31" s="288"/>
      <c r="P31" s="289"/>
      <c r="Q31" s="290"/>
      <c r="R31" s="290"/>
      <c r="S31" s="331">
        <v>0.2</v>
      </c>
      <c r="T31" s="330">
        <v>0.2</v>
      </c>
    </row>
    <row r="32" spans="1:20" s="117" customFormat="1" ht="30">
      <c r="A32" s="322" t="s">
        <v>274</v>
      </c>
      <c r="B32" s="280" t="s">
        <v>439</v>
      </c>
      <c r="C32" s="119" t="s">
        <v>440</v>
      </c>
      <c r="D32" s="292">
        <f t="shared" si="1"/>
        <v>3289935</v>
      </c>
      <c r="E32" s="284">
        <f>2154350+9306</f>
        <v>2163656</v>
      </c>
      <c r="F32" s="285">
        <f>432499+1815</f>
        <v>434314</v>
      </c>
      <c r="G32" s="285">
        <v>635380</v>
      </c>
      <c r="H32" s="285"/>
      <c r="I32" s="285"/>
      <c r="J32" s="286">
        <f>SUM(E32:I32)</f>
        <v>3233350</v>
      </c>
      <c r="K32" s="287">
        <v>56585</v>
      </c>
      <c r="L32" s="287"/>
      <c r="M32" s="287"/>
      <c r="N32" s="288">
        <f t="shared" si="3"/>
        <v>56585</v>
      </c>
      <c r="O32" s="288"/>
      <c r="P32" s="289"/>
      <c r="Q32" s="290"/>
      <c r="R32" s="290"/>
      <c r="S32" s="331">
        <f>0.75+0.3</f>
        <v>1.05</v>
      </c>
      <c r="T32" s="330">
        <v>0.3</v>
      </c>
    </row>
    <row r="33" spans="1:20" s="117" customFormat="1" ht="15">
      <c r="A33" s="322" t="s">
        <v>276</v>
      </c>
      <c r="B33" s="280" t="s">
        <v>441</v>
      </c>
      <c r="C33" s="119" t="s">
        <v>442</v>
      </c>
      <c r="D33" s="292">
        <f t="shared" si="1"/>
        <v>376835</v>
      </c>
      <c r="E33" s="284">
        <v>320000</v>
      </c>
      <c r="F33" s="285">
        <v>56835</v>
      </c>
      <c r="G33" s="285"/>
      <c r="H33" s="285"/>
      <c r="I33" s="285"/>
      <c r="J33" s="286">
        <f>SUM(E33:I33)</f>
        <v>376835</v>
      </c>
      <c r="K33" s="287"/>
      <c r="L33" s="287"/>
      <c r="M33" s="287"/>
      <c r="N33" s="288">
        <f t="shared" si="3"/>
        <v>0</v>
      </c>
      <c r="O33" s="288"/>
      <c r="P33" s="289"/>
      <c r="Q33" s="290"/>
      <c r="R33" s="290"/>
      <c r="S33" s="331"/>
      <c r="T33" s="330"/>
    </row>
    <row r="34" spans="1:20" s="117" customFormat="1" ht="15">
      <c r="A34" s="322" t="s">
        <v>347</v>
      </c>
      <c r="B34" s="280" t="s">
        <v>216</v>
      </c>
      <c r="C34" s="119" t="s">
        <v>34</v>
      </c>
      <c r="D34" s="292">
        <f t="shared" si="1"/>
        <v>210000</v>
      </c>
      <c r="E34" s="284"/>
      <c r="F34" s="285"/>
      <c r="G34" s="285"/>
      <c r="H34" s="285"/>
      <c r="I34" s="285">
        <f>120000+90000</f>
        <v>210000</v>
      </c>
      <c r="J34" s="286">
        <f t="shared" si="0"/>
        <v>210000</v>
      </c>
      <c r="K34" s="287"/>
      <c r="L34" s="287"/>
      <c r="M34" s="287"/>
      <c r="N34" s="288">
        <f t="shared" si="3"/>
        <v>0</v>
      </c>
      <c r="O34" s="288"/>
      <c r="P34" s="289"/>
      <c r="Q34" s="290"/>
      <c r="R34" s="290"/>
      <c r="S34" s="331"/>
      <c r="T34" s="330"/>
    </row>
    <row r="35" spans="1:20" s="117" customFormat="1" ht="15">
      <c r="A35" s="322" t="s">
        <v>349</v>
      </c>
      <c r="B35" s="280" t="s">
        <v>217</v>
      </c>
      <c r="C35" s="119" t="s">
        <v>218</v>
      </c>
      <c r="D35" s="292">
        <f t="shared" si="1"/>
        <v>75000</v>
      </c>
      <c r="E35" s="284"/>
      <c r="F35" s="285"/>
      <c r="G35" s="285"/>
      <c r="H35" s="285"/>
      <c r="I35" s="285">
        <v>75000</v>
      </c>
      <c r="J35" s="286">
        <f t="shared" si="0"/>
        <v>75000</v>
      </c>
      <c r="K35" s="287"/>
      <c r="L35" s="287"/>
      <c r="M35" s="287"/>
      <c r="N35" s="288">
        <f t="shared" si="3"/>
        <v>0</v>
      </c>
      <c r="O35" s="288"/>
      <c r="P35" s="289"/>
      <c r="Q35" s="290"/>
      <c r="R35" s="290"/>
      <c r="S35" s="331"/>
      <c r="T35" s="330"/>
    </row>
    <row r="36" spans="1:20" s="117" customFormat="1" ht="30">
      <c r="A36" s="322" t="s">
        <v>478</v>
      </c>
      <c r="B36" s="280">
        <v>104051</v>
      </c>
      <c r="C36" s="119" t="s">
        <v>355</v>
      </c>
      <c r="D36" s="292">
        <f t="shared" si="1"/>
        <v>46400</v>
      </c>
      <c r="E36" s="284"/>
      <c r="F36" s="285"/>
      <c r="G36" s="285"/>
      <c r="H36" s="285">
        <v>46400</v>
      </c>
      <c r="I36" s="285"/>
      <c r="J36" s="286">
        <f t="shared" si="0"/>
        <v>46400</v>
      </c>
      <c r="K36" s="287"/>
      <c r="L36" s="287"/>
      <c r="M36" s="287"/>
      <c r="N36" s="288">
        <f t="shared" si="3"/>
        <v>0</v>
      </c>
      <c r="O36" s="288"/>
      <c r="P36" s="289"/>
      <c r="Q36" s="290"/>
      <c r="R36" s="290"/>
      <c r="S36" s="331"/>
      <c r="T36" s="330"/>
    </row>
    <row r="37" spans="1:20" s="117" customFormat="1" ht="15">
      <c r="A37" s="322" t="s">
        <v>479</v>
      </c>
      <c r="B37" s="280">
        <v>107052</v>
      </c>
      <c r="C37" s="122" t="s">
        <v>220</v>
      </c>
      <c r="D37" s="292">
        <f t="shared" si="1"/>
        <v>1274900</v>
      </c>
      <c r="E37" s="284"/>
      <c r="F37" s="285"/>
      <c r="G37" s="285">
        <v>74900</v>
      </c>
      <c r="H37" s="285"/>
      <c r="I37" s="285">
        <f>600000+600000</f>
        <v>1200000</v>
      </c>
      <c r="J37" s="286">
        <f t="shared" si="0"/>
        <v>1274900</v>
      </c>
      <c r="K37" s="287"/>
      <c r="L37" s="287"/>
      <c r="M37" s="287"/>
      <c r="N37" s="288">
        <f t="shared" si="3"/>
        <v>0</v>
      </c>
      <c r="O37" s="288"/>
      <c r="P37" s="289"/>
      <c r="Q37" s="290"/>
      <c r="R37" s="290"/>
      <c r="S37" s="331"/>
      <c r="T37" s="330"/>
    </row>
    <row r="38" spans="1:20" s="117" customFormat="1" ht="27.75" customHeight="1" thickBot="1">
      <c r="A38" s="322" t="s">
        <v>480</v>
      </c>
      <c r="B38" s="280">
        <v>107060</v>
      </c>
      <c r="C38" s="119" t="s">
        <v>221</v>
      </c>
      <c r="D38" s="292">
        <f t="shared" si="1"/>
        <v>3206480</v>
      </c>
      <c r="E38" s="284"/>
      <c r="F38" s="285"/>
      <c r="G38" s="285">
        <f>177800+60960+12720</f>
        <v>251480</v>
      </c>
      <c r="H38" s="285">
        <f>3015000+-60000</f>
        <v>2955000</v>
      </c>
      <c r="I38" s="285"/>
      <c r="J38" s="286">
        <f t="shared" si="0"/>
        <v>3206480</v>
      </c>
      <c r="K38" s="287"/>
      <c r="L38" s="287"/>
      <c r="M38" s="287"/>
      <c r="N38" s="288">
        <f t="shared" si="3"/>
        <v>0</v>
      </c>
      <c r="O38" s="288"/>
      <c r="P38" s="289"/>
      <c r="Q38" s="290"/>
      <c r="R38" s="290"/>
      <c r="S38" s="327"/>
      <c r="T38" s="330"/>
    </row>
    <row r="39" spans="1:20" ht="15" thickBot="1">
      <c r="A39" s="355" t="s">
        <v>481</v>
      </c>
      <c r="B39" s="321"/>
      <c r="C39" s="163" t="s">
        <v>546</v>
      </c>
      <c r="D39" s="291">
        <f>SUM(D16:D38)</f>
        <v>173986619</v>
      </c>
      <c r="E39" s="291">
        <f aca="true" t="shared" si="4" ref="E39:T39">SUM(E16:E38)</f>
        <v>17567710</v>
      </c>
      <c r="F39" s="291">
        <f t="shared" si="4"/>
        <v>3552783</v>
      </c>
      <c r="G39" s="291">
        <f t="shared" si="4"/>
        <v>14380362</v>
      </c>
      <c r="H39" s="291">
        <f t="shared" si="4"/>
        <v>3001400</v>
      </c>
      <c r="I39" s="291">
        <f t="shared" si="4"/>
        <v>35973223</v>
      </c>
      <c r="J39" s="291">
        <f t="shared" si="4"/>
        <v>74475478</v>
      </c>
      <c r="K39" s="291">
        <f t="shared" si="4"/>
        <v>1276029</v>
      </c>
      <c r="L39" s="291">
        <f t="shared" si="4"/>
        <v>94817533</v>
      </c>
      <c r="M39" s="291">
        <f t="shared" si="4"/>
        <v>2000000</v>
      </c>
      <c r="N39" s="291">
        <f t="shared" si="4"/>
        <v>98093562</v>
      </c>
      <c r="O39" s="291">
        <f t="shared" si="4"/>
        <v>1417579</v>
      </c>
      <c r="P39" s="291">
        <f t="shared" si="4"/>
        <v>0</v>
      </c>
      <c r="Q39" s="291">
        <f t="shared" si="4"/>
        <v>0</v>
      </c>
      <c r="R39" s="291">
        <f t="shared" si="4"/>
        <v>1417579</v>
      </c>
      <c r="S39" s="332">
        <f t="shared" si="4"/>
        <v>2.75</v>
      </c>
      <c r="T39" s="332">
        <f t="shared" si="4"/>
        <v>2</v>
      </c>
    </row>
    <row r="40" spans="1:20" ht="14.25">
      <c r="A40" s="428"/>
      <c r="B40" s="359"/>
      <c r="C40" s="359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1"/>
      <c r="T40" s="361"/>
    </row>
    <row r="41" spans="1:20" ht="15">
      <c r="A41" s="322" t="s">
        <v>482</v>
      </c>
      <c r="B41" s="835" t="s">
        <v>544</v>
      </c>
      <c r="C41" s="836" t="s">
        <v>652</v>
      </c>
      <c r="D41" s="341">
        <f>J41+N41+P41+Q41</f>
        <v>785386</v>
      </c>
      <c r="E41" s="340">
        <f>153633+563265</f>
        <v>716898</v>
      </c>
      <c r="F41" s="285">
        <f>13570+54918</f>
        <v>68488</v>
      </c>
      <c r="G41" s="285"/>
      <c r="H41" s="285"/>
      <c r="I41" s="285"/>
      <c r="J41" s="286">
        <f>SUM(E41:I41)</f>
        <v>785386</v>
      </c>
      <c r="K41" s="287"/>
      <c r="L41" s="287"/>
      <c r="M41" s="287"/>
      <c r="N41" s="288">
        <f>SUM(K41:M41)</f>
        <v>0</v>
      </c>
      <c r="O41" s="288"/>
      <c r="P41" s="289"/>
      <c r="Q41" s="290"/>
      <c r="R41" s="290"/>
      <c r="S41" s="837"/>
      <c r="T41" s="330">
        <v>1</v>
      </c>
    </row>
    <row r="42" spans="1:20" ht="15">
      <c r="A42" s="322" t="s">
        <v>483</v>
      </c>
      <c r="B42" s="280" t="s">
        <v>296</v>
      </c>
      <c r="C42" s="119" t="s">
        <v>297</v>
      </c>
      <c r="D42" s="341">
        <f>J42+N42+P42+Q42</f>
        <v>6881282</v>
      </c>
      <c r="E42" s="340">
        <f>2444800-153633</f>
        <v>2291167</v>
      </c>
      <c r="F42" s="285">
        <f>468858-13570</f>
        <v>455288</v>
      </c>
      <c r="G42" s="285">
        <f>3735637+300990+22000</f>
        <v>4058627</v>
      </c>
      <c r="H42" s="285"/>
      <c r="I42" s="285"/>
      <c r="J42" s="286">
        <f>SUM(E42:I42)</f>
        <v>6805082</v>
      </c>
      <c r="K42" s="287">
        <v>76200</v>
      </c>
      <c r="L42" s="287"/>
      <c r="M42" s="287"/>
      <c r="N42" s="288">
        <f>SUM(K42:M42)</f>
        <v>76200</v>
      </c>
      <c r="O42" s="288"/>
      <c r="P42" s="289"/>
      <c r="Q42" s="290"/>
      <c r="R42" s="290"/>
      <c r="S42" s="331">
        <v>1</v>
      </c>
      <c r="T42" s="330">
        <v>1</v>
      </c>
    </row>
    <row r="43" spans="1:20" ht="30">
      <c r="A43" s="322" t="s">
        <v>484</v>
      </c>
      <c r="B43" s="280" t="s">
        <v>298</v>
      </c>
      <c r="C43" s="119" t="s">
        <v>299</v>
      </c>
      <c r="D43" s="342">
        <f>J43+N43+P43+Q43</f>
        <v>1156671</v>
      </c>
      <c r="E43" s="340">
        <v>391168</v>
      </c>
      <c r="F43" s="285">
        <v>75017</v>
      </c>
      <c r="G43" s="285">
        <f>608200+54094+16000</f>
        <v>678294</v>
      </c>
      <c r="H43" s="285"/>
      <c r="I43" s="285"/>
      <c r="J43" s="286">
        <f>SUM(E43:I43)</f>
        <v>1144479</v>
      </c>
      <c r="K43" s="287">
        <v>12192</v>
      </c>
      <c r="L43" s="287"/>
      <c r="M43" s="287"/>
      <c r="N43" s="288">
        <f>SUM(K43:M43)</f>
        <v>12192</v>
      </c>
      <c r="O43" s="288"/>
      <c r="P43" s="289"/>
      <c r="Q43" s="290"/>
      <c r="R43" s="290"/>
      <c r="S43" s="331"/>
      <c r="T43" s="330"/>
    </row>
    <row r="44" spans="1:20" ht="15.75" thickBot="1">
      <c r="A44" s="343" t="s">
        <v>515</v>
      </c>
      <c r="B44" s="280" t="s">
        <v>354</v>
      </c>
      <c r="C44" s="121" t="s">
        <v>443</v>
      </c>
      <c r="D44" s="342">
        <f>J44+N44+P44+Q44</f>
        <v>1692712</v>
      </c>
      <c r="E44" s="340">
        <v>537856</v>
      </c>
      <c r="F44" s="285">
        <v>103149</v>
      </c>
      <c r="G44" s="285">
        <f>946161+72782+16000</f>
        <v>1034943</v>
      </c>
      <c r="H44" s="285"/>
      <c r="I44" s="285"/>
      <c r="J44" s="286">
        <f>SUM(E44:I44)</f>
        <v>1675948</v>
      </c>
      <c r="K44" s="287">
        <v>16764</v>
      </c>
      <c r="L44" s="287"/>
      <c r="M44" s="287"/>
      <c r="N44" s="288">
        <f>SUM(K44:M44)</f>
        <v>16764</v>
      </c>
      <c r="O44" s="288"/>
      <c r="P44" s="289"/>
      <c r="Q44" s="290"/>
      <c r="R44" s="290"/>
      <c r="S44" s="331"/>
      <c r="T44" s="330"/>
    </row>
    <row r="45" spans="1:20" ht="16.5" customHeight="1" thickBot="1">
      <c r="A45" s="356" t="s">
        <v>547</v>
      </c>
      <c r="B45" s="281" t="s">
        <v>219</v>
      </c>
      <c r="C45" s="344" t="s">
        <v>353</v>
      </c>
      <c r="D45" s="345">
        <f>J45+N45+P45+Q45</f>
        <v>4691660</v>
      </c>
      <c r="E45" s="346">
        <v>1515776</v>
      </c>
      <c r="F45" s="347">
        <v>290692</v>
      </c>
      <c r="G45" s="347">
        <f>2612187+174761+51000</f>
        <v>2837948</v>
      </c>
      <c r="H45" s="347"/>
      <c r="I45" s="347"/>
      <c r="J45" s="348">
        <f>SUM(E45:I45)</f>
        <v>4644416</v>
      </c>
      <c r="K45" s="349">
        <v>47244</v>
      </c>
      <c r="L45" s="349"/>
      <c r="M45" s="349"/>
      <c r="N45" s="350">
        <f>SUM(K45:M45)</f>
        <v>47244</v>
      </c>
      <c r="O45" s="350"/>
      <c r="P45" s="351"/>
      <c r="Q45" s="352"/>
      <c r="R45" s="352"/>
      <c r="S45" s="329">
        <v>1</v>
      </c>
      <c r="T45" s="353">
        <v>1</v>
      </c>
    </row>
    <row r="46" spans="1:20" ht="21.75" customHeight="1" thickBot="1">
      <c r="A46" s="356" t="s">
        <v>548</v>
      </c>
      <c r="B46" s="354"/>
      <c r="C46" s="357" t="s">
        <v>549</v>
      </c>
      <c r="D46" s="362">
        <f aca="true" t="shared" si="5" ref="D46:R46">D43+D44+D45+D42+D41</f>
        <v>15207711</v>
      </c>
      <c r="E46" s="362">
        <f t="shared" si="5"/>
        <v>5452865</v>
      </c>
      <c r="F46" s="362">
        <f t="shared" si="5"/>
        <v>992634</v>
      </c>
      <c r="G46" s="362">
        <f t="shared" si="5"/>
        <v>8609812</v>
      </c>
      <c r="H46" s="362">
        <f t="shared" si="5"/>
        <v>0</v>
      </c>
      <c r="I46" s="362">
        <f t="shared" si="5"/>
        <v>0</v>
      </c>
      <c r="J46" s="362">
        <f t="shared" si="5"/>
        <v>15055311</v>
      </c>
      <c r="K46" s="362">
        <f t="shared" si="5"/>
        <v>152400</v>
      </c>
      <c r="L46" s="362">
        <f t="shared" si="5"/>
        <v>0</v>
      </c>
      <c r="M46" s="362">
        <f t="shared" si="5"/>
        <v>0</v>
      </c>
      <c r="N46" s="362">
        <f t="shared" si="5"/>
        <v>152400</v>
      </c>
      <c r="O46" s="362">
        <f t="shared" si="5"/>
        <v>0</v>
      </c>
      <c r="P46" s="362">
        <f t="shared" si="5"/>
        <v>0</v>
      </c>
      <c r="Q46" s="362">
        <f t="shared" si="5"/>
        <v>0</v>
      </c>
      <c r="R46" s="362">
        <f t="shared" si="5"/>
        <v>0</v>
      </c>
      <c r="S46" s="329">
        <f>S41+S42+S43+S44+S45</f>
        <v>2</v>
      </c>
      <c r="T46" s="329">
        <f>T41+T42+T43+T44+T45</f>
        <v>3</v>
      </c>
    </row>
    <row r="47" spans="2:20" ht="16.5" thickBot="1">
      <c r="B47" s="354"/>
      <c r="C47" s="358" t="s">
        <v>550</v>
      </c>
      <c r="D47" s="362">
        <f>D39+D46</f>
        <v>189194330</v>
      </c>
      <c r="E47" s="362">
        <f aca="true" t="shared" si="6" ref="E47:T47">E39+E46</f>
        <v>23020575</v>
      </c>
      <c r="F47" s="362">
        <f t="shared" si="6"/>
        <v>4545417</v>
      </c>
      <c r="G47" s="362">
        <f t="shared" si="6"/>
        <v>22990174</v>
      </c>
      <c r="H47" s="362">
        <f t="shared" si="6"/>
        <v>3001400</v>
      </c>
      <c r="I47" s="362">
        <f t="shared" si="6"/>
        <v>35973223</v>
      </c>
      <c r="J47" s="362">
        <f t="shared" si="6"/>
        <v>89530789</v>
      </c>
      <c r="K47" s="362">
        <f t="shared" si="6"/>
        <v>1428429</v>
      </c>
      <c r="L47" s="362">
        <f t="shared" si="6"/>
        <v>94817533</v>
      </c>
      <c r="M47" s="362">
        <f t="shared" si="6"/>
        <v>2000000</v>
      </c>
      <c r="N47" s="362">
        <f t="shared" si="6"/>
        <v>98245962</v>
      </c>
      <c r="O47" s="362">
        <f t="shared" si="6"/>
        <v>1417579</v>
      </c>
      <c r="P47" s="362">
        <f t="shared" si="6"/>
        <v>0</v>
      </c>
      <c r="Q47" s="362">
        <f t="shared" si="6"/>
        <v>0</v>
      </c>
      <c r="R47" s="362">
        <f t="shared" si="6"/>
        <v>1417579</v>
      </c>
      <c r="S47" s="387">
        <f t="shared" si="6"/>
        <v>4.75</v>
      </c>
      <c r="T47" s="387">
        <f t="shared" si="6"/>
        <v>5</v>
      </c>
    </row>
    <row r="48" ht="12.75">
      <c r="D48" s="363"/>
    </row>
    <row r="49" ht="12.75">
      <c r="D49" s="363"/>
    </row>
  </sheetData>
  <sheetProtection password="AF00" sheet="1"/>
  <mergeCells count="33">
    <mergeCell ref="S14:T15"/>
    <mergeCell ref="G13:G15"/>
    <mergeCell ref="L13:L15"/>
    <mergeCell ref="J13:J15"/>
    <mergeCell ref="M13:M15"/>
    <mergeCell ref="H13:H15"/>
    <mergeCell ref="R13:R15"/>
    <mergeCell ref="E13:E15"/>
    <mergeCell ref="K13:K15"/>
    <mergeCell ref="P13:P15"/>
    <mergeCell ref="O13:O15"/>
    <mergeCell ref="K12:N12"/>
    <mergeCell ref="Q13:Q15"/>
    <mergeCell ref="S10:T10"/>
    <mergeCell ref="B8:T8"/>
    <mergeCell ref="S11:T11"/>
    <mergeCell ref="E11:R11"/>
    <mergeCell ref="B9:T9"/>
    <mergeCell ref="E12:J12"/>
    <mergeCell ref="D11:D15"/>
    <mergeCell ref="O12:R12"/>
    <mergeCell ref="N13:N15"/>
    <mergeCell ref="S12:T12"/>
    <mergeCell ref="A3:T3"/>
    <mergeCell ref="A1:T1"/>
    <mergeCell ref="C11:C15"/>
    <mergeCell ref="F13:F15"/>
    <mergeCell ref="B11:B15"/>
    <mergeCell ref="A11:A15"/>
    <mergeCell ref="I13:I15"/>
    <mergeCell ref="B4:Q4"/>
    <mergeCell ref="B5:T5"/>
    <mergeCell ref="B7:T7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4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4.125" style="160" customWidth="1"/>
    <col min="2" max="2" width="9.125" style="160" customWidth="1"/>
    <col min="3" max="3" width="63.125" style="160" customWidth="1"/>
    <col min="4" max="4" width="24.00390625" style="160" customWidth="1"/>
    <col min="5" max="7" width="26.25390625" style="160" customWidth="1"/>
    <col min="8" max="16384" width="9.125" style="160" customWidth="1"/>
  </cols>
  <sheetData>
    <row r="1" spans="1:7" ht="17.25" customHeight="1">
      <c r="A1" s="525"/>
      <c r="B1" s="503"/>
      <c r="C1" s="503"/>
      <c r="D1" s="503"/>
      <c r="E1" s="503"/>
      <c r="F1" s="503"/>
      <c r="G1" s="503"/>
    </row>
    <row r="3" spans="1:7" s="155" customFormat="1" ht="15.75">
      <c r="A3" s="525" t="s">
        <v>606</v>
      </c>
      <c r="B3" s="503"/>
      <c r="C3" s="503"/>
      <c r="D3" s="503"/>
      <c r="E3" s="503"/>
      <c r="F3" s="503"/>
      <c r="G3" s="503"/>
    </row>
    <row r="4" spans="3:7" s="73" customFormat="1" ht="15" customHeight="1">
      <c r="C4" s="526"/>
      <c r="D4" s="526"/>
      <c r="E4" s="526"/>
      <c r="F4" s="526"/>
      <c r="G4" s="526"/>
    </row>
    <row r="5" spans="4:7" s="157" customFormat="1" ht="15" customHeight="1">
      <c r="D5" s="158"/>
      <c r="E5" s="441"/>
      <c r="F5" s="441"/>
      <c r="G5" s="441"/>
    </row>
    <row r="6" spans="3:7" s="126" customFormat="1" ht="15" customHeight="1">
      <c r="C6" s="527" t="s">
        <v>39</v>
      </c>
      <c r="D6" s="527"/>
      <c r="E6" s="527"/>
      <c r="F6" s="527"/>
      <c r="G6" s="527"/>
    </row>
    <row r="7" spans="3:7" s="126" customFormat="1" ht="15.75" customHeight="1">
      <c r="C7" s="528" t="s">
        <v>305</v>
      </c>
      <c r="D7" s="528"/>
      <c r="E7" s="528"/>
      <c r="F7" s="528"/>
      <c r="G7" s="528"/>
    </row>
    <row r="8" spans="3:7" s="126" customFormat="1" ht="15" customHeight="1">
      <c r="C8" s="527" t="s">
        <v>532</v>
      </c>
      <c r="D8" s="527"/>
      <c r="E8" s="527"/>
      <c r="F8" s="527"/>
      <c r="G8" s="527"/>
    </row>
    <row r="9" spans="3:7" s="155" customFormat="1" ht="12" customHeight="1" thickBot="1">
      <c r="C9" s="156"/>
      <c r="D9" s="159"/>
      <c r="E9" s="427"/>
      <c r="F9" s="427"/>
      <c r="G9" s="426"/>
    </row>
    <row r="10" spans="1:7" s="155" customFormat="1" ht="19.5" customHeight="1" thickBot="1">
      <c r="A10" s="591" t="s">
        <v>485</v>
      </c>
      <c r="B10" s="593" t="s">
        <v>178</v>
      </c>
      <c r="C10" s="535" t="s">
        <v>179</v>
      </c>
      <c r="D10" s="538" t="s">
        <v>306</v>
      </c>
      <c r="E10" s="541" t="s">
        <v>289</v>
      </c>
      <c r="F10" s="541"/>
      <c r="G10" s="542"/>
    </row>
    <row r="11" spans="1:7" s="155" customFormat="1" ht="33" customHeight="1" thickBot="1">
      <c r="A11" s="592"/>
      <c r="B11" s="594"/>
      <c r="C11" s="536"/>
      <c r="D11" s="539"/>
      <c r="E11" s="423" t="s">
        <v>290</v>
      </c>
      <c r="F11" s="425" t="s">
        <v>291</v>
      </c>
      <c r="G11" s="424" t="s">
        <v>292</v>
      </c>
    </row>
    <row r="12" spans="1:7" s="155" customFormat="1" ht="22.5" customHeight="1">
      <c r="A12" s="592"/>
      <c r="B12" s="594"/>
      <c r="C12" s="536"/>
      <c r="D12" s="539"/>
      <c r="E12" s="543" t="s">
        <v>293</v>
      </c>
      <c r="F12" s="544"/>
      <c r="G12" s="545"/>
    </row>
    <row r="13" spans="1:7" ht="13.5" customHeight="1" thickBot="1">
      <c r="A13" s="592"/>
      <c r="B13" s="594"/>
      <c r="C13" s="536"/>
      <c r="D13" s="539"/>
      <c r="E13" s="595"/>
      <c r="F13" s="596"/>
      <c r="G13" s="597"/>
    </row>
    <row r="14" spans="1:7" ht="30">
      <c r="A14" s="440" t="s">
        <v>42</v>
      </c>
      <c r="B14" s="320" t="s">
        <v>195</v>
      </c>
      <c r="C14" s="439" t="s">
        <v>196</v>
      </c>
      <c r="D14" s="438">
        <f>SUM(E14:G14)</f>
        <v>53224801</v>
      </c>
      <c r="E14" s="437">
        <f>15792963+100000+38756947+1003000-1000000-3259976+152000-255378-60960-30000-316230-12720-659920-3000</f>
        <v>50206726</v>
      </c>
      <c r="F14" s="421">
        <f>2958075+60000</f>
        <v>3018075</v>
      </c>
      <c r="G14" s="436"/>
    </row>
    <row r="15" spans="1:7" ht="15">
      <c r="A15" s="283" t="s">
        <v>26</v>
      </c>
      <c r="B15" s="303" t="s">
        <v>197</v>
      </c>
      <c r="C15" s="304" t="s">
        <v>35</v>
      </c>
      <c r="D15" s="435">
        <f aca="true" t="shared" si="0" ref="D15:D35">SUM(E15:G15)</f>
        <v>68150</v>
      </c>
      <c r="E15" s="434">
        <v>68150</v>
      </c>
      <c r="F15" s="420"/>
      <c r="G15" s="419"/>
    </row>
    <row r="16" spans="1:7" ht="15">
      <c r="A16" s="282" t="s">
        <v>43</v>
      </c>
      <c r="B16" s="280" t="s">
        <v>198</v>
      </c>
      <c r="C16" s="119" t="s">
        <v>199</v>
      </c>
      <c r="D16" s="432">
        <f t="shared" si="0"/>
        <v>1186340</v>
      </c>
      <c r="E16" s="431">
        <f>282890+101450+381000+421000</f>
        <v>1186340</v>
      </c>
      <c r="F16" s="418"/>
      <c r="G16" s="417"/>
    </row>
    <row r="17" spans="1:7" ht="15">
      <c r="A17" s="282" t="s">
        <v>99</v>
      </c>
      <c r="B17" s="280" t="s">
        <v>294</v>
      </c>
      <c r="C17" s="119" t="s">
        <v>295</v>
      </c>
      <c r="D17" s="432">
        <f>SUM(E17:G17)</f>
        <v>1420579</v>
      </c>
      <c r="E17" s="431">
        <f>1417579+3000</f>
        <v>1420579</v>
      </c>
      <c r="F17" s="418"/>
      <c r="G17" s="417"/>
    </row>
    <row r="18" spans="1:7" ht="15">
      <c r="A18" s="282" t="s">
        <v>100</v>
      </c>
      <c r="B18" s="280" t="s">
        <v>544</v>
      </c>
      <c r="C18" s="119" t="s">
        <v>545</v>
      </c>
      <c r="D18" s="432">
        <f>SUM(E18:G18)</f>
        <v>242615</v>
      </c>
      <c r="E18" s="431">
        <f>180996+61619</f>
        <v>242615</v>
      </c>
      <c r="F18" s="418"/>
      <c r="G18" s="417"/>
    </row>
    <row r="19" spans="1:7" ht="15">
      <c r="A19" s="282" t="s">
        <v>106</v>
      </c>
      <c r="B19" s="120" t="s">
        <v>475</v>
      </c>
      <c r="C19" s="119" t="s">
        <v>476</v>
      </c>
      <c r="D19" s="432">
        <f>SUM(E19:G19)</f>
        <v>92365163</v>
      </c>
      <c r="E19" s="431">
        <f>53880487+2228909+1115738+2520923+29335000+3259976+24130</f>
        <v>92365163</v>
      </c>
      <c r="F19" s="418"/>
      <c r="G19" s="417"/>
    </row>
    <row r="20" spans="1:7" ht="27" customHeight="1">
      <c r="A20" s="282" t="s">
        <v>241</v>
      </c>
      <c r="B20" s="280" t="s">
        <v>200</v>
      </c>
      <c r="C20" s="119" t="s">
        <v>201</v>
      </c>
      <c r="D20" s="432">
        <f t="shared" si="0"/>
        <v>26670</v>
      </c>
      <c r="E20" s="431">
        <v>26670</v>
      </c>
      <c r="F20" s="418"/>
      <c r="G20" s="417"/>
    </row>
    <row r="21" spans="1:7" ht="15">
      <c r="A21" s="282" t="s">
        <v>243</v>
      </c>
      <c r="B21" s="280" t="s">
        <v>444</v>
      </c>
      <c r="C21" s="119" t="s">
        <v>445</v>
      </c>
      <c r="D21" s="432">
        <f t="shared" si="0"/>
        <v>19050</v>
      </c>
      <c r="E21" s="307">
        <v>19050</v>
      </c>
      <c r="F21" s="125"/>
      <c r="G21" s="305"/>
    </row>
    <row r="22" spans="1:7" ht="15">
      <c r="A22" s="282" t="s">
        <v>245</v>
      </c>
      <c r="B22" s="280" t="s">
        <v>202</v>
      </c>
      <c r="C22" s="119" t="s">
        <v>203</v>
      </c>
      <c r="D22" s="432">
        <f t="shared" si="0"/>
        <v>5907694</v>
      </c>
      <c r="E22" s="431">
        <f>5907694</f>
        <v>5907694</v>
      </c>
      <c r="F22" s="418"/>
      <c r="G22" s="417"/>
    </row>
    <row r="23" spans="1:7" ht="15">
      <c r="A23" s="282" t="s">
        <v>251</v>
      </c>
      <c r="B23" s="280" t="s">
        <v>204</v>
      </c>
      <c r="C23" s="119" t="s">
        <v>205</v>
      </c>
      <c r="D23" s="432">
        <f t="shared" si="0"/>
        <v>2000000</v>
      </c>
      <c r="E23" s="431"/>
      <c r="F23" s="418">
        <f>1000000+1000000</f>
        <v>2000000</v>
      </c>
      <c r="G23" s="417"/>
    </row>
    <row r="24" spans="1:7" ht="15">
      <c r="A24" s="282" t="s">
        <v>253</v>
      </c>
      <c r="B24" s="280" t="s">
        <v>206</v>
      </c>
      <c r="C24" s="119" t="s">
        <v>207</v>
      </c>
      <c r="D24" s="432">
        <f t="shared" si="0"/>
        <v>2650772</v>
      </c>
      <c r="E24" s="431">
        <f>1952752+38100+659920</f>
        <v>2650772</v>
      </c>
      <c r="F24" s="418"/>
      <c r="G24" s="417"/>
    </row>
    <row r="25" spans="1:7" ht="15">
      <c r="A25" s="282" t="s">
        <v>255</v>
      </c>
      <c r="B25" s="280" t="s">
        <v>208</v>
      </c>
      <c r="C25" s="119" t="s">
        <v>209</v>
      </c>
      <c r="D25" s="432">
        <f t="shared" si="0"/>
        <v>229870</v>
      </c>
      <c r="E25" s="431">
        <f>635000-381000-24130</f>
        <v>229870</v>
      </c>
      <c r="F25" s="418"/>
      <c r="G25" s="417"/>
    </row>
    <row r="26" spans="1:7" ht="15">
      <c r="A26" s="282" t="s">
        <v>260</v>
      </c>
      <c r="B26" s="280" t="s">
        <v>210</v>
      </c>
      <c r="C26" s="119" t="s">
        <v>211</v>
      </c>
      <c r="D26" s="432">
        <f t="shared" si="0"/>
        <v>4425144</v>
      </c>
      <c r="E26" s="431">
        <f>3596414+195000+317500+316230</f>
        <v>4425144</v>
      </c>
      <c r="F26" s="418"/>
      <c r="G26" s="417"/>
    </row>
    <row r="27" spans="1:7" ht="15">
      <c r="A27" s="282" t="s">
        <v>262</v>
      </c>
      <c r="B27" s="280" t="s">
        <v>212</v>
      </c>
      <c r="C27" s="119" t="s">
        <v>33</v>
      </c>
      <c r="D27" s="432">
        <f t="shared" si="0"/>
        <v>125730</v>
      </c>
      <c r="E27" s="431">
        <v>125730</v>
      </c>
      <c r="F27" s="418"/>
      <c r="G27" s="417"/>
    </row>
    <row r="28" spans="1:7" ht="15">
      <c r="A28" s="282" t="s">
        <v>264</v>
      </c>
      <c r="B28" s="280" t="s">
        <v>213</v>
      </c>
      <c r="C28" s="119" t="s">
        <v>214</v>
      </c>
      <c r="D28" s="432">
        <f t="shared" si="0"/>
        <v>705000</v>
      </c>
      <c r="E28" s="431">
        <f>675000+30000</f>
        <v>705000</v>
      </c>
      <c r="F28" s="418"/>
      <c r="G28" s="417"/>
    </row>
    <row r="29" spans="1:7" ht="15">
      <c r="A29" s="282" t="s">
        <v>271</v>
      </c>
      <c r="B29" s="280" t="s">
        <v>215</v>
      </c>
      <c r="C29" s="119" t="s">
        <v>36</v>
      </c>
      <c r="D29" s="432">
        <f t="shared" si="0"/>
        <v>909491</v>
      </c>
      <c r="E29" s="431">
        <f>951580-56585</f>
        <v>894995</v>
      </c>
      <c r="F29" s="418">
        <f>10800+1784+1912</f>
        <v>14496</v>
      </c>
      <c r="G29" s="417"/>
    </row>
    <row r="30" spans="1:7" ht="15">
      <c r="A30" s="282" t="s">
        <v>274</v>
      </c>
      <c r="B30" s="280" t="s">
        <v>439</v>
      </c>
      <c r="C30" s="119" t="s">
        <v>446</v>
      </c>
      <c r="D30" s="432">
        <f t="shared" si="0"/>
        <v>3289935</v>
      </c>
      <c r="E30" s="431">
        <f>3146126+11121+56585</f>
        <v>3213832</v>
      </c>
      <c r="F30" s="418">
        <f>16200+40500+9367+10036</f>
        <v>76103</v>
      </c>
      <c r="G30" s="417"/>
    </row>
    <row r="31" spans="1:7" ht="15">
      <c r="A31" s="282" t="s">
        <v>276</v>
      </c>
      <c r="B31" s="280" t="s">
        <v>447</v>
      </c>
      <c r="C31" s="119" t="s">
        <v>448</v>
      </c>
      <c r="D31" s="432">
        <f t="shared" si="0"/>
        <v>376835</v>
      </c>
      <c r="E31" s="431">
        <v>376835</v>
      </c>
      <c r="F31" s="418"/>
      <c r="G31" s="417"/>
    </row>
    <row r="32" spans="1:7" ht="15">
      <c r="A32" s="282" t="s">
        <v>347</v>
      </c>
      <c r="B32" s="280" t="s">
        <v>216</v>
      </c>
      <c r="C32" s="119" t="s">
        <v>34</v>
      </c>
      <c r="D32" s="432">
        <f t="shared" si="0"/>
        <v>210000</v>
      </c>
      <c r="E32" s="431"/>
      <c r="F32" s="418">
        <v>210000</v>
      </c>
      <c r="G32" s="417"/>
    </row>
    <row r="33" spans="1:7" ht="15">
      <c r="A33" s="282" t="s">
        <v>349</v>
      </c>
      <c r="B33" s="280" t="s">
        <v>217</v>
      </c>
      <c r="C33" s="119" t="s">
        <v>218</v>
      </c>
      <c r="D33" s="432">
        <f t="shared" si="0"/>
        <v>75000</v>
      </c>
      <c r="E33" s="431"/>
      <c r="F33" s="418">
        <v>75000</v>
      </c>
      <c r="G33" s="417"/>
    </row>
    <row r="34" spans="1:7" ht="15">
      <c r="A34" s="282" t="s">
        <v>478</v>
      </c>
      <c r="B34" s="280">
        <v>104051</v>
      </c>
      <c r="C34" s="122" t="s">
        <v>355</v>
      </c>
      <c r="D34" s="432">
        <f t="shared" si="0"/>
        <v>46400</v>
      </c>
      <c r="E34" s="431"/>
      <c r="F34" s="418"/>
      <c r="G34" s="417">
        <v>46400</v>
      </c>
    </row>
    <row r="35" spans="1:14" ht="15">
      <c r="A35" s="282" t="s">
        <v>479</v>
      </c>
      <c r="B35" s="280">
        <v>107052</v>
      </c>
      <c r="C35" s="122" t="s">
        <v>220</v>
      </c>
      <c r="D35" s="432">
        <f t="shared" si="0"/>
        <v>1274900</v>
      </c>
      <c r="E35" s="308">
        <f>674900+600000</f>
        <v>1274900</v>
      </c>
      <c r="F35" s="125"/>
      <c r="G35" s="305"/>
      <c r="H35" s="267"/>
      <c r="I35" s="267"/>
      <c r="J35" s="268"/>
      <c r="K35" s="269"/>
      <c r="L35" s="269"/>
      <c r="M35" s="269"/>
      <c r="N35" s="268"/>
    </row>
    <row r="36" spans="1:7" ht="15.75" thickBot="1">
      <c r="A36" s="282" t="s">
        <v>480</v>
      </c>
      <c r="B36" s="280">
        <v>107060</v>
      </c>
      <c r="C36" s="119" t="s">
        <v>221</v>
      </c>
      <c r="D36" s="432">
        <f>SUM(E36:G36)</f>
        <v>3206480</v>
      </c>
      <c r="E36" s="431">
        <f>3015000+177800-60000+60960+12720</f>
        <v>3206480</v>
      </c>
      <c r="F36" s="418"/>
      <c r="G36" s="417"/>
    </row>
    <row r="37" spans="1:7" ht="18.75" customHeight="1" thickBot="1">
      <c r="A37" s="838" t="s">
        <v>481</v>
      </c>
      <c r="B37" s="294"/>
      <c r="C37" s="306" t="s">
        <v>551</v>
      </c>
      <c r="D37" s="422">
        <f>SUM(D14:D36)</f>
        <v>173986619</v>
      </c>
      <c r="E37" s="433">
        <f>SUM(E14:E36)</f>
        <v>168546545</v>
      </c>
      <c r="F37" s="422">
        <f>SUM(F14:F36)</f>
        <v>5393674</v>
      </c>
      <c r="G37" s="422">
        <f>SUM(G14:G36)</f>
        <v>46400</v>
      </c>
    </row>
    <row r="38" spans="1:7" ht="14.25">
      <c r="A38" s="364"/>
      <c r="B38" s="839"/>
      <c r="C38" s="839"/>
      <c r="D38" s="840"/>
      <c r="E38" s="840"/>
      <c r="F38" s="840"/>
      <c r="G38" s="840"/>
    </row>
    <row r="39" spans="1:7" ht="12.75">
      <c r="A39" s="364" t="s">
        <v>482</v>
      </c>
      <c r="B39" s="841" t="s">
        <v>544</v>
      </c>
      <c r="C39" s="830" t="s">
        <v>545</v>
      </c>
      <c r="D39" s="432">
        <f>SUM(E39:G39)</f>
        <v>785386</v>
      </c>
      <c r="E39" s="431">
        <f>167203+618183</f>
        <v>785386</v>
      </c>
      <c r="F39" s="418"/>
      <c r="G39" s="830"/>
    </row>
    <row r="40" spans="1:7" ht="15">
      <c r="A40" s="364" t="s">
        <v>483</v>
      </c>
      <c r="B40" s="280" t="s">
        <v>296</v>
      </c>
      <c r="C40" s="119" t="s">
        <v>297</v>
      </c>
      <c r="D40" s="432">
        <f>SUM(E40:G40)</f>
        <v>6881282</v>
      </c>
      <c r="E40" s="431">
        <f>6662072+300990+22000-167203</f>
        <v>6817859</v>
      </c>
      <c r="F40" s="418">
        <v>63423</v>
      </c>
      <c r="G40" s="417"/>
    </row>
    <row r="41" spans="1:7" ht="15">
      <c r="A41" s="282" t="s">
        <v>484</v>
      </c>
      <c r="B41" s="280" t="s">
        <v>298</v>
      </c>
      <c r="C41" s="119" t="s">
        <v>299</v>
      </c>
      <c r="D41" s="432">
        <f>SUM(E41:G41)</f>
        <v>1156671</v>
      </c>
      <c r="E41" s="431"/>
      <c r="F41" s="418">
        <f>1086577+54094+16000</f>
        <v>1156671</v>
      </c>
      <c r="G41" s="417"/>
    </row>
    <row r="42" spans="1:7" ht="15">
      <c r="A42" s="364" t="s">
        <v>515</v>
      </c>
      <c r="B42" s="280" t="s">
        <v>298</v>
      </c>
      <c r="C42" s="119" t="s">
        <v>553</v>
      </c>
      <c r="D42" s="432">
        <f>SUM(E42:G42)</f>
        <v>1692712</v>
      </c>
      <c r="E42" s="431"/>
      <c r="F42" s="418">
        <f>1603930+72782+16000</f>
        <v>1692712</v>
      </c>
      <c r="G42" s="417"/>
    </row>
    <row r="43" spans="1:7" ht="18" customHeight="1" thickBot="1">
      <c r="A43" s="364" t="s">
        <v>547</v>
      </c>
      <c r="B43" s="281" t="s">
        <v>219</v>
      </c>
      <c r="C43" s="365" t="s">
        <v>552</v>
      </c>
      <c r="D43" s="430">
        <f>SUM(E43:G43)</f>
        <v>4691660</v>
      </c>
      <c r="E43" s="429">
        <f>4426577+174761</f>
        <v>4601338</v>
      </c>
      <c r="F43" s="416">
        <f>39322+51000</f>
        <v>90322</v>
      </c>
      <c r="G43" s="415"/>
    </row>
    <row r="44" spans="1:7" ht="24.75" customHeight="1" thickBot="1">
      <c r="A44" s="366" t="s">
        <v>548</v>
      </c>
      <c r="B44" s="366"/>
      <c r="C44" s="357" t="s">
        <v>549</v>
      </c>
      <c r="D44" s="367">
        <f>D40+D41+D42+D43+D39</f>
        <v>15207711</v>
      </c>
      <c r="E44" s="367">
        <f>E40+E41+E42+E43+E39</f>
        <v>12204583</v>
      </c>
      <c r="F44" s="367">
        <f>F40+F41+F42+F43+F39</f>
        <v>3003128</v>
      </c>
      <c r="G44" s="367">
        <f>G40+G41+G42+G43</f>
        <v>0</v>
      </c>
    </row>
    <row r="45" spans="1:7" ht="16.5" thickBot="1">
      <c r="A45" s="366" t="s">
        <v>653</v>
      </c>
      <c r="B45" s="366"/>
      <c r="C45" s="358" t="s">
        <v>550</v>
      </c>
      <c r="D45" s="367">
        <f>D37+D44</f>
        <v>189194330</v>
      </c>
      <c r="E45" s="367">
        <f>E37+E44</f>
        <v>180751128</v>
      </c>
      <c r="F45" s="367">
        <f>F37+F44</f>
        <v>8396802</v>
      </c>
      <c r="G45" s="367">
        <f>G37+G44</f>
        <v>46400</v>
      </c>
    </row>
  </sheetData>
  <sheetProtection password="AF00" sheet="1"/>
  <mergeCells count="12">
    <mergeCell ref="A10:A13"/>
    <mergeCell ref="B10:B13"/>
    <mergeCell ref="C10:C13"/>
    <mergeCell ref="D10:D13"/>
    <mergeCell ref="E10:G10"/>
    <mergeCell ref="E12:G13"/>
    <mergeCell ref="A1:G1"/>
    <mergeCell ref="C4:G4"/>
    <mergeCell ref="C6:G6"/>
    <mergeCell ref="C7:G7"/>
    <mergeCell ref="C8:G8"/>
    <mergeCell ref="A3:G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U41"/>
  <sheetViews>
    <sheetView view="pageBreakPreview" zoomScale="80" zoomScaleSheetLayoutView="80" zoomScalePageLayoutView="0" workbookViewId="0" topLeftCell="A1">
      <selection activeCell="M26" sqref="M26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525"/>
      <c r="B1" s="525"/>
      <c r="C1" s="525"/>
      <c r="D1" s="525"/>
      <c r="E1" s="525"/>
      <c r="F1" s="525"/>
    </row>
    <row r="3" spans="1:10" ht="15.75">
      <c r="A3" s="525" t="s">
        <v>607</v>
      </c>
      <c r="B3" s="525"/>
      <c r="C3" s="525"/>
      <c r="D3" s="525"/>
      <c r="E3" s="525"/>
      <c r="F3" s="525"/>
      <c r="G3" s="96"/>
      <c r="H3" s="96"/>
      <c r="I3" s="96"/>
      <c r="J3" s="96"/>
    </row>
    <row r="4" spans="1:6" ht="15">
      <c r="A4" s="612"/>
      <c r="B4" s="612"/>
      <c r="C4" s="612"/>
      <c r="D4" s="612"/>
      <c r="E4" s="612"/>
      <c r="F4" s="612"/>
    </row>
    <row r="5" spans="1:6" ht="15">
      <c r="A5" s="612"/>
      <c r="B5" s="612"/>
      <c r="C5" s="612"/>
      <c r="D5" s="612"/>
      <c r="E5" s="612"/>
      <c r="F5" s="612"/>
    </row>
    <row r="6" ht="12.75" customHeight="1"/>
    <row r="7" spans="1:6" s="21" customFormat="1" ht="15.75">
      <c r="A7" s="613" t="s">
        <v>578</v>
      </c>
      <c r="B7" s="613"/>
      <c r="C7" s="613"/>
      <c r="D7" s="613"/>
      <c r="E7" s="613"/>
      <c r="F7" s="613"/>
    </row>
    <row r="8" spans="1:6" s="21" customFormat="1" ht="15.75">
      <c r="A8" s="613" t="s">
        <v>449</v>
      </c>
      <c r="B8" s="613"/>
      <c r="C8" s="613"/>
      <c r="D8" s="613"/>
      <c r="E8" s="613"/>
      <c r="F8" s="613"/>
    </row>
    <row r="9" spans="1:6" ht="15">
      <c r="A9" s="612" t="s">
        <v>533</v>
      </c>
      <c r="B9" s="612"/>
      <c r="C9" s="612"/>
      <c r="D9" s="612"/>
      <c r="E9" s="612"/>
      <c r="F9" s="612"/>
    </row>
    <row r="10" ht="15">
      <c r="F10" s="123" t="s">
        <v>467</v>
      </c>
    </row>
    <row r="11" spans="1:6" ht="15" customHeight="1">
      <c r="A11" s="598" t="s">
        <v>0</v>
      </c>
      <c r="B11" s="599"/>
      <c r="C11" s="599"/>
      <c r="D11" s="599"/>
      <c r="E11" s="600"/>
      <c r="F11" s="607" t="s">
        <v>10</v>
      </c>
    </row>
    <row r="12" spans="1:6" ht="15">
      <c r="A12" s="601"/>
      <c r="B12" s="602"/>
      <c r="C12" s="602"/>
      <c r="D12" s="602"/>
      <c r="E12" s="603"/>
      <c r="F12" s="608"/>
    </row>
    <row r="13" spans="1:6" ht="15">
      <c r="A13" s="604"/>
      <c r="B13" s="605"/>
      <c r="C13" s="605"/>
      <c r="D13" s="605"/>
      <c r="E13" s="606"/>
      <c r="F13" s="609"/>
    </row>
    <row r="14" spans="1:6" ht="15">
      <c r="A14" s="13" t="s">
        <v>222</v>
      </c>
      <c r="E14" s="22"/>
      <c r="F14" s="23"/>
    </row>
    <row r="15" spans="1:2" s="13" customFormat="1" ht="15">
      <c r="A15" s="123"/>
      <c r="B15" s="11"/>
    </row>
    <row r="16" spans="1:5" ht="29.25" customHeight="1">
      <c r="A16" s="123"/>
      <c r="B16" s="508" t="s">
        <v>223</v>
      </c>
      <c r="C16" s="508"/>
      <c r="D16" s="508"/>
      <c r="E16" s="508"/>
    </row>
    <row r="17" spans="1:6" ht="15.75">
      <c r="A17" s="124" t="s">
        <v>42</v>
      </c>
      <c r="B17" s="15" t="s">
        <v>554</v>
      </c>
      <c r="F17" s="442">
        <f>69700*2</f>
        <v>139400</v>
      </c>
    </row>
    <row r="18" spans="1:6" ht="15">
      <c r="A18" s="12" t="s">
        <v>26</v>
      </c>
      <c r="B18" s="11" t="s">
        <v>27</v>
      </c>
      <c r="F18" s="442">
        <v>209100</v>
      </c>
    </row>
    <row r="19" spans="1:6" ht="15">
      <c r="A19" s="12"/>
      <c r="F19" s="442"/>
    </row>
    <row r="20" spans="1:6" ht="15">
      <c r="A20" s="12" t="s">
        <v>43</v>
      </c>
      <c r="B20" s="11" t="s">
        <v>654</v>
      </c>
      <c r="F20" s="442">
        <v>3000</v>
      </c>
    </row>
    <row r="21" spans="1:6" ht="15">
      <c r="A21" s="12"/>
      <c r="F21" s="442"/>
    </row>
    <row r="22" spans="1:6" ht="37.5" customHeight="1">
      <c r="A22" s="12" t="s">
        <v>99</v>
      </c>
      <c r="B22" s="14" t="s">
        <v>529</v>
      </c>
      <c r="F22" s="442">
        <v>75000</v>
      </c>
    </row>
    <row r="23" spans="1:6" ht="13.5" customHeight="1">
      <c r="A23" s="12"/>
      <c r="B23" s="14"/>
      <c r="F23" s="442"/>
    </row>
    <row r="24" spans="1:6" ht="33.75" customHeight="1">
      <c r="A24" s="368" t="s">
        <v>100</v>
      </c>
      <c r="B24" s="610" t="s">
        <v>556</v>
      </c>
      <c r="C24" s="611"/>
      <c r="D24" s="611"/>
      <c r="E24" s="611"/>
      <c r="F24" s="442">
        <f>600000+600000</f>
        <v>1200000</v>
      </c>
    </row>
    <row r="25" ht="13.5" customHeight="1">
      <c r="F25" s="442"/>
    </row>
    <row r="26" spans="1:6" ht="33" customHeight="1">
      <c r="A26" s="13"/>
      <c r="B26" s="508" t="s">
        <v>224</v>
      </c>
      <c r="C26" s="508"/>
      <c r="D26" s="508"/>
      <c r="E26" s="508"/>
      <c r="F26" s="393">
        <f>SUM(F17:F25)</f>
        <v>1626500</v>
      </c>
    </row>
    <row r="27" ht="13.5" customHeight="1">
      <c r="F27" s="442"/>
    </row>
    <row r="28" spans="1:255" ht="15.75" customHeight="1">
      <c r="A28" s="13"/>
      <c r="B28" s="508" t="s">
        <v>225</v>
      </c>
      <c r="C28" s="508"/>
      <c r="D28" s="508"/>
      <c r="E28" s="508"/>
      <c r="F28" s="44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.75">
      <c r="A29" s="12"/>
      <c r="F29" s="44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ht="15.75">
      <c r="A30" s="12" t="s">
        <v>42</v>
      </c>
      <c r="B30" s="17" t="s">
        <v>24</v>
      </c>
      <c r="C30" s="17"/>
      <c r="D30" s="17"/>
      <c r="E30" s="17"/>
      <c r="F30" s="442">
        <v>40000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ht="15.75">
      <c r="A31" s="12" t="s">
        <v>26</v>
      </c>
      <c r="B31" s="17" t="s">
        <v>25</v>
      </c>
      <c r="C31" s="17"/>
      <c r="D31" s="17"/>
      <c r="E31" s="17"/>
      <c r="F31" s="442">
        <v>40000</v>
      </c>
      <c r="G31" s="5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6" ht="13.5" customHeight="1">
      <c r="A32" s="12" t="s">
        <v>43</v>
      </c>
      <c r="B32" s="17" t="s">
        <v>555</v>
      </c>
      <c r="C32" s="17"/>
      <c r="D32" s="17"/>
      <c r="E32" s="17"/>
      <c r="F32" s="442">
        <f>40000+90000</f>
        <v>130000</v>
      </c>
    </row>
    <row r="33" spans="1:6" ht="13.5" customHeight="1">
      <c r="A33" s="12" t="s">
        <v>99</v>
      </c>
      <c r="B33" s="17" t="s">
        <v>45</v>
      </c>
      <c r="C33" s="17"/>
      <c r="D33" s="17"/>
      <c r="E33" s="17"/>
      <c r="F33" s="442">
        <v>75000</v>
      </c>
    </row>
    <row r="34" spans="1:8" ht="32.25" customHeight="1">
      <c r="A34" s="12" t="s">
        <v>100</v>
      </c>
      <c r="B34" s="17" t="s">
        <v>74</v>
      </c>
      <c r="F34" s="442">
        <f>600000+30000</f>
        <v>630000</v>
      </c>
      <c r="G34" s="16"/>
      <c r="H34" s="16"/>
    </row>
    <row r="35" spans="1:8" ht="12.75" customHeight="1">
      <c r="A35" s="443" t="s">
        <v>106</v>
      </c>
      <c r="B35" s="11" t="s">
        <v>630</v>
      </c>
      <c r="F35" s="442">
        <v>60000</v>
      </c>
      <c r="G35" s="16"/>
      <c r="H35" s="16"/>
    </row>
    <row r="36" spans="1:7" s="18" customFormat="1" ht="15.75" customHeight="1">
      <c r="A36" s="13"/>
      <c r="B36" s="508" t="s">
        <v>226</v>
      </c>
      <c r="C36" s="508"/>
      <c r="D36" s="508"/>
      <c r="E36" s="508"/>
      <c r="F36" s="393">
        <f>SUM(F29:F35)</f>
        <v>975000</v>
      </c>
      <c r="G36" s="19"/>
    </row>
    <row r="37" spans="1:7" s="18" customFormat="1" ht="15.75">
      <c r="A37" s="13"/>
      <c r="B37" s="11"/>
      <c r="C37" s="11"/>
      <c r="D37" s="11"/>
      <c r="E37" s="11"/>
      <c r="F37" s="442"/>
      <c r="G37" s="19"/>
    </row>
    <row r="38" spans="1:7" s="18" customFormat="1" ht="15.75">
      <c r="A38" s="13" t="s">
        <v>227</v>
      </c>
      <c r="F38" s="393">
        <f>F36+F26</f>
        <v>2601500</v>
      </c>
      <c r="G38" s="19"/>
    </row>
    <row r="39" spans="1:6" s="20" customFormat="1" ht="18.75">
      <c r="A39" s="13"/>
      <c r="B39" s="18"/>
      <c r="C39" s="18"/>
      <c r="D39" s="18"/>
      <c r="E39" s="18"/>
      <c r="F39" s="393"/>
    </row>
    <row r="40" spans="1:6" ht="15.75">
      <c r="A40" s="18"/>
      <c r="B40" s="18"/>
      <c r="C40" s="18"/>
      <c r="D40" s="18"/>
      <c r="E40" s="18"/>
      <c r="F40" s="442"/>
    </row>
    <row r="41" spans="1:6" ht="18.75">
      <c r="A41" s="20" t="s">
        <v>6</v>
      </c>
      <c r="B41" s="20"/>
      <c r="C41" s="20"/>
      <c r="D41" s="20"/>
      <c r="E41" s="20"/>
      <c r="F41" s="413">
        <f>F38</f>
        <v>2601500</v>
      </c>
    </row>
  </sheetData>
  <sheetProtection password="AF00" sheet="1"/>
  <mergeCells count="14">
    <mergeCell ref="B36:E36"/>
    <mergeCell ref="A5:F5"/>
    <mergeCell ref="A7:F7"/>
    <mergeCell ref="A9:F9"/>
    <mergeCell ref="A8:F8"/>
    <mergeCell ref="A1:F1"/>
    <mergeCell ref="B26:E26"/>
    <mergeCell ref="A3:F3"/>
    <mergeCell ref="A4:F4"/>
    <mergeCell ref="A11:E13"/>
    <mergeCell ref="B16:E16"/>
    <mergeCell ref="B24:E24"/>
    <mergeCell ref="F11:F13"/>
    <mergeCell ref="B28:E2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40"/>
  <sheetViews>
    <sheetView view="pageBreakPreview" zoomScaleSheetLayoutView="100" zoomScalePageLayoutView="0" workbookViewId="0" topLeftCell="A7">
      <selection activeCell="G33" sqref="G33"/>
    </sheetView>
  </sheetViews>
  <sheetFormatPr defaultColWidth="9.00390625" defaultRowHeight="12.75"/>
  <cols>
    <col min="1" max="1" width="4.125" style="37" customWidth="1"/>
    <col min="2" max="2" width="67.875" style="37" customWidth="1"/>
    <col min="3" max="3" width="18.00390625" style="37" customWidth="1"/>
    <col min="4" max="16384" width="9.125" style="37" customWidth="1"/>
  </cols>
  <sheetData>
    <row r="1" spans="1:4" ht="15.75">
      <c r="A1" s="525"/>
      <c r="B1" s="503"/>
      <c r="C1" s="503"/>
      <c r="D1" s="399"/>
    </row>
    <row r="3" spans="1:4" ht="15.75">
      <c r="A3" s="525" t="s">
        <v>608</v>
      </c>
      <c r="B3" s="503"/>
      <c r="C3" s="503"/>
      <c r="D3" s="96"/>
    </row>
    <row r="4" spans="2:4" ht="15">
      <c r="B4" s="97"/>
      <c r="C4" s="97"/>
      <c r="D4" s="96"/>
    </row>
    <row r="5" spans="2:3" ht="15.75" customHeight="1">
      <c r="B5" s="617"/>
      <c r="C5" s="617"/>
    </row>
    <row r="6" spans="2:3" ht="15">
      <c r="B6" s="38"/>
      <c r="C6" s="38"/>
    </row>
    <row r="7" spans="2:3" s="14" customFormat="1" ht="15.75" customHeight="1">
      <c r="B7" s="618" t="s">
        <v>655</v>
      </c>
      <c r="C7" s="618"/>
    </row>
    <row r="8" spans="2:6" s="21" customFormat="1" ht="15.75">
      <c r="B8" s="613" t="s">
        <v>38</v>
      </c>
      <c r="C8" s="613"/>
      <c r="D8" s="50"/>
      <c r="E8" s="50"/>
      <c r="F8" s="50"/>
    </row>
    <row r="9" spans="2:6" s="11" customFormat="1" ht="15">
      <c r="B9" s="612" t="s">
        <v>534</v>
      </c>
      <c r="C9" s="612"/>
      <c r="D9" s="49"/>
      <c r="E9" s="49"/>
      <c r="F9" s="49"/>
    </row>
    <row r="10" ht="15.75" customHeight="1" thickBot="1">
      <c r="C10" s="39"/>
    </row>
    <row r="11" spans="1:3" ht="15" customHeight="1">
      <c r="A11" s="614" t="s">
        <v>471</v>
      </c>
      <c r="B11" s="40"/>
      <c r="C11" s="41" t="s">
        <v>18</v>
      </c>
    </row>
    <row r="12" spans="1:3" ht="15.75" customHeight="1">
      <c r="A12" s="615"/>
      <c r="B12" s="42" t="s">
        <v>0</v>
      </c>
      <c r="C12" s="43"/>
    </row>
    <row r="13" spans="1:3" ht="15.75" thickBot="1">
      <c r="A13" s="616"/>
      <c r="B13" s="44"/>
      <c r="C13" s="45" t="s">
        <v>9</v>
      </c>
    </row>
    <row r="14" ht="11.25" customHeight="1"/>
    <row r="15" ht="11.25" customHeight="1">
      <c r="C15" s="442"/>
    </row>
    <row r="16" spans="1:3" ht="15">
      <c r="A16" s="37" t="s">
        <v>42</v>
      </c>
      <c r="B16" s="46" t="s">
        <v>28</v>
      </c>
      <c r="C16" s="442"/>
    </row>
    <row r="17" spans="2:3" ht="15">
      <c r="B17" s="46" t="s">
        <v>8</v>
      </c>
      <c r="C17" s="442"/>
    </row>
    <row r="18" spans="1:3" ht="28.5" customHeight="1">
      <c r="A18" s="323" t="s">
        <v>26</v>
      </c>
      <c r="B18" s="152" t="s">
        <v>359</v>
      </c>
      <c r="C18" s="393">
        <v>46400</v>
      </c>
    </row>
    <row r="19" spans="1:3" ht="28.5" customHeight="1">
      <c r="A19" s="323"/>
      <c r="B19" s="152"/>
      <c r="C19" s="442"/>
    </row>
    <row r="20" spans="1:3" ht="15">
      <c r="A20" s="323" t="s">
        <v>43</v>
      </c>
      <c r="B20" s="37" t="s">
        <v>75</v>
      </c>
      <c r="C20" s="442">
        <v>350000</v>
      </c>
    </row>
    <row r="21" spans="1:3" ht="30">
      <c r="A21" s="323" t="s">
        <v>99</v>
      </c>
      <c r="B21" s="152" t="s">
        <v>356</v>
      </c>
      <c r="C21" s="442">
        <v>300000</v>
      </c>
    </row>
    <row r="22" spans="1:3" ht="15">
      <c r="A22" s="323" t="s">
        <v>100</v>
      </c>
      <c r="B22" s="152" t="s">
        <v>357</v>
      </c>
      <c r="C22" s="442">
        <v>715000</v>
      </c>
    </row>
    <row r="23" spans="1:3" ht="15">
      <c r="A23" s="323" t="s">
        <v>106</v>
      </c>
      <c r="B23" s="152" t="s">
        <v>358</v>
      </c>
      <c r="C23" s="442">
        <v>440000</v>
      </c>
    </row>
    <row r="25" spans="1:3" ht="15">
      <c r="A25" s="323" t="s">
        <v>241</v>
      </c>
      <c r="B25" s="37" t="s">
        <v>79</v>
      </c>
      <c r="C25" s="442">
        <f>210000-60000</f>
        <v>150000</v>
      </c>
    </row>
    <row r="26" spans="1:3" ht="14.25" customHeight="1">
      <c r="A26" s="323" t="s">
        <v>243</v>
      </c>
      <c r="B26" s="37" t="s">
        <v>451</v>
      </c>
      <c r="C26" s="442">
        <v>1000000</v>
      </c>
    </row>
    <row r="27" spans="1:3" ht="15">
      <c r="A27" s="323" t="s">
        <v>245</v>
      </c>
      <c r="B27" s="46" t="s">
        <v>28</v>
      </c>
      <c r="C27" s="442"/>
    </row>
    <row r="28" spans="1:3" ht="15">
      <c r="A28" s="323"/>
      <c r="B28" s="46" t="s">
        <v>29</v>
      </c>
      <c r="C28" s="393">
        <f>SUM(C20:C27)</f>
        <v>2955000</v>
      </c>
    </row>
    <row r="29" spans="1:3" ht="11.25" customHeight="1">
      <c r="A29" s="323"/>
      <c r="C29" s="442"/>
    </row>
    <row r="30" spans="1:3" ht="15">
      <c r="A30" s="323" t="s">
        <v>251</v>
      </c>
      <c r="B30" s="46" t="s">
        <v>30</v>
      </c>
      <c r="C30" s="393">
        <f>C28+C18</f>
        <v>3001400</v>
      </c>
    </row>
    <row r="31" spans="1:3" ht="15">
      <c r="A31" s="323"/>
      <c r="B31" s="46"/>
      <c r="C31" s="393"/>
    </row>
    <row r="32" spans="1:5" ht="13.5" customHeight="1">
      <c r="A32" s="323"/>
      <c r="B32" s="14"/>
      <c r="C32" s="14"/>
      <c r="D32" s="11"/>
      <c r="E32" s="442"/>
    </row>
    <row r="33" spans="1:3" s="46" customFormat="1" ht="14.25">
      <c r="A33" s="324" t="s">
        <v>255</v>
      </c>
      <c r="B33" s="46" t="s">
        <v>281</v>
      </c>
      <c r="C33" s="393"/>
    </row>
    <row r="34" spans="1:3" ht="11.25" customHeight="1">
      <c r="A34" s="323"/>
      <c r="C34" s="442"/>
    </row>
    <row r="35" spans="1:3" ht="30" customHeight="1">
      <c r="A35" s="323" t="s">
        <v>260</v>
      </c>
      <c r="B35" s="152" t="s">
        <v>282</v>
      </c>
      <c r="C35" s="442">
        <f>1000000+1000000-500000</f>
        <v>1500000</v>
      </c>
    </row>
    <row r="36" spans="1:3" ht="11.25" customHeight="1">
      <c r="A36" s="842" t="s">
        <v>262</v>
      </c>
      <c r="B36" s="843" t="s">
        <v>656</v>
      </c>
      <c r="C36" s="442">
        <v>500000</v>
      </c>
    </row>
    <row r="37" spans="1:3" ht="15">
      <c r="A37" s="323" t="s">
        <v>264</v>
      </c>
      <c r="B37" s="46" t="s">
        <v>283</v>
      </c>
      <c r="C37" s="393">
        <f>C35+C36</f>
        <v>2000000</v>
      </c>
    </row>
    <row r="38" spans="1:3" ht="11.25" customHeight="1">
      <c r="A38" s="323"/>
      <c r="C38" s="442"/>
    </row>
    <row r="39" spans="1:3" s="48" customFormat="1" ht="16.5">
      <c r="A39" s="325" t="s">
        <v>271</v>
      </c>
      <c r="B39" s="47" t="s">
        <v>31</v>
      </c>
      <c r="C39" s="445"/>
    </row>
    <row r="40" spans="1:3" s="48" customFormat="1" ht="16.5">
      <c r="A40" s="325"/>
      <c r="B40" s="47" t="s">
        <v>32</v>
      </c>
      <c r="C40" s="444">
        <f>C30+C37</f>
        <v>5001400</v>
      </c>
    </row>
  </sheetData>
  <sheetProtection password="AF00" sheet="1"/>
  <mergeCells count="7">
    <mergeCell ref="A11:A13"/>
    <mergeCell ref="A3:C3"/>
    <mergeCell ref="A1:C1"/>
    <mergeCell ref="B9:C9"/>
    <mergeCell ref="B8:C8"/>
    <mergeCell ref="B5:C5"/>
    <mergeCell ref="B7:C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68"/>
  <sheetViews>
    <sheetView view="pageBreakPreview" zoomScale="112" zoomScaleSheetLayoutView="112" zoomScalePageLayoutView="0" workbookViewId="0" topLeftCell="A37">
      <selection activeCell="B75" sqref="B75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1:3" ht="15.75">
      <c r="A1" s="525"/>
      <c r="B1" s="503"/>
      <c r="C1" s="503"/>
    </row>
    <row r="2" ht="10.5" customHeight="1"/>
    <row r="3" spans="1:5" s="164" customFormat="1" ht="15.75">
      <c r="A3" s="525" t="s">
        <v>609</v>
      </c>
      <c r="B3" s="503"/>
      <c r="C3" s="503"/>
      <c r="D3" s="128"/>
      <c r="E3" s="315"/>
    </row>
    <row r="4" spans="2:5" s="164" customFormat="1" ht="15.75">
      <c r="B4" s="619"/>
      <c r="C4" s="619"/>
      <c r="D4" s="128"/>
      <c r="E4" s="315"/>
    </row>
    <row r="5" spans="2:5" s="166" customFormat="1" ht="18.75">
      <c r="B5" s="165" t="s">
        <v>307</v>
      </c>
      <c r="C5" s="165"/>
      <c r="D5" s="15"/>
      <c r="E5" s="15"/>
    </row>
    <row r="6" spans="2:5" s="166" customFormat="1" ht="18.75">
      <c r="B6" s="515" t="s">
        <v>308</v>
      </c>
      <c r="C6" s="515"/>
      <c r="D6" s="15"/>
      <c r="E6" s="15"/>
    </row>
    <row r="7" spans="2:5" s="166" customFormat="1" ht="19.5" thickBot="1">
      <c r="B7" s="515" t="s">
        <v>532</v>
      </c>
      <c r="C7" s="515"/>
      <c r="D7" s="15"/>
      <c r="E7" s="15"/>
    </row>
    <row r="8" spans="1:3" ht="15.75" customHeight="1">
      <c r="A8" s="620" t="s">
        <v>471</v>
      </c>
      <c r="B8" s="167"/>
      <c r="C8" s="168" t="s">
        <v>9</v>
      </c>
    </row>
    <row r="9" spans="1:3" ht="15.75">
      <c r="A9" s="621"/>
      <c r="B9" s="169" t="s">
        <v>309</v>
      </c>
      <c r="C9" s="169"/>
    </row>
    <row r="10" spans="1:3" ht="16.5" thickBot="1">
      <c r="A10" s="622"/>
      <c r="B10" s="170"/>
      <c r="C10" s="171" t="s">
        <v>521</v>
      </c>
    </row>
    <row r="11" spans="2:3" ht="15.75">
      <c r="B11" s="172"/>
      <c r="C11" s="173"/>
    </row>
    <row r="12" spans="2:3" ht="31.5" customHeight="1">
      <c r="B12" s="316" t="s">
        <v>522</v>
      </c>
      <c r="C12" s="173"/>
    </row>
    <row r="13" spans="1:3" ht="18" customHeight="1">
      <c r="A13" s="326" t="s">
        <v>42</v>
      </c>
      <c r="B13" s="175" t="s">
        <v>452</v>
      </c>
      <c r="C13" s="449">
        <f>80000-10630</f>
        <v>69370</v>
      </c>
    </row>
    <row r="14" spans="1:3" ht="18" customHeight="1">
      <c r="A14" s="326" t="s">
        <v>490</v>
      </c>
      <c r="B14" s="175" t="s">
        <v>657</v>
      </c>
      <c r="C14" s="449">
        <v>10630</v>
      </c>
    </row>
    <row r="15" spans="1:3" ht="18" customHeight="1">
      <c r="A15" s="326" t="s">
        <v>491</v>
      </c>
      <c r="B15" s="175" t="s">
        <v>310</v>
      </c>
      <c r="C15" s="257">
        <v>21600</v>
      </c>
    </row>
    <row r="16" spans="1:3" ht="18" customHeight="1">
      <c r="A16" s="326"/>
      <c r="B16" s="172" t="s">
        <v>2</v>
      </c>
      <c r="C16" s="446">
        <f>SUM(C13:C15)</f>
        <v>101600</v>
      </c>
    </row>
    <row r="17" spans="1:3" ht="30.75" customHeight="1">
      <c r="A17" s="326"/>
      <c r="B17" s="172"/>
      <c r="C17" s="446"/>
    </row>
    <row r="18" spans="2:3" ht="18" customHeight="1">
      <c r="B18" s="316" t="s">
        <v>642</v>
      </c>
      <c r="C18" s="173"/>
    </row>
    <row r="19" spans="1:3" ht="18" customHeight="1">
      <c r="A19" s="326" t="s">
        <v>26</v>
      </c>
      <c r="B19" s="175" t="s">
        <v>641</v>
      </c>
      <c r="C19" s="449">
        <v>79882</v>
      </c>
    </row>
    <row r="20" spans="1:3" ht="18" customHeight="1">
      <c r="A20" s="326" t="s">
        <v>526</v>
      </c>
      <c r="B20" s="175" t="s">
        <v>310</v>
      </c>
      <c r="C20" s="257">
        <v>21568</v>
      </c>
    </row>
    <row r="21" spans="1:3" ht="18" customHeight="1">
      <c r="A21" s="326"/>
      <c r="B21" s="172" t="s">
        <v>2</v>
      </c>
      <c r="C21" s="446">
        <f>SUM(C19:C20)</f>
        <v>101450</v>
      </c>
    </row>
    <row r="22" spans="1:3" ht="18" customHeight="1">
      <c r="A22" s="326"/>
      <c r="B22" s="172"/>
      <c r="C22" s="446"/>
    </row>
    <row r="23" spans="1:3" ht="18" customHeight="1">
      <c r="A23" s="326"/>
      <c r="B23" s="317" t="s">
        <v>640</v>
      </c>
      <c r="C23" s="446"/>
    </row>
    <row r="24" spans="1:3" ht="18" customHeight="1">
      <c r="A24" s="326" t="s">
        <v>43</v>
      </c>
      <c r="B24" s="175" t="s">
        <v>639</v>
      </c>
      <c r="C24" s="449">
        <f>30000+536630</f>
        <v>566630</v>
      </c>
    </row>
    <row r="25" spans="1:3" ht="18" customHeight="1">
      <c r="A25" s="326" t="s">
        <v>502</v>
      </c>
      <c r="B25" s="175" t="s">
        <v>310</v>
      </c>
      <c r="C25" s="448">
        <f>8100+123290</f>
        <v>131390</v>
      </c>
    </row>
    <row r="26" spans="1:3" ht="18" customHeight="1">
      <c r="A26" s="326"/>
      <c r="B26" s="172" t="s">
        <v>2</v>
      </c>
      <c r="C26" s="446">
        <f>SUM(C24:C25)</f>
        <v>698020</v>
      </c>
    </row>
    <row r="27" spans="1:3" ht="18" customHeight="1">
      <c r="A27" s="326"/>
      <c r="B27" s="172"/>
      <c r="C27" s="446"/>
    </row>
    <row r="28" spans="1:3" ht="18" customHeight="1">
      <c r="A28" s="326"/>
      <c r="B28" s="317" t="s">
        <v>638</v>
      </c>
      <c r="C28" s="446"/>
    </row>
    <row r="29" spans="1:3" ht="18" customHeight="1">
      <c r="A29" s="326" t="s">
        <v>43</v>
      </c>
      <c r="B29" s="175" t="s">
        <v>637</v>
      </c>
      <c r="C29" s="449">
        <v>153543</v>
      </c>
    </row>
    <row r="30" spans="1:3" ht="18" customHeight="1">
      <c r="A30" s="326" t="s">
        <v>502</v>
      </c>
      <c r="B30" s="175" t="s">
        <v>310</v>
      </c>
      <c r="C30" s="448">
        <v>41457</v>
      </c>
    </row>
    <row r="31" spans="1:3" ht="18" customHeight="1">
      <c r="A31" s="326"/>
      <c r="B31" s="172" t="s">
        <v>2</v>
      </c>
      <c r="C31" s="446">
        <f>SUM(C29:C30)</f>
        <v>195000</v>
      </c>
    </row>
    <row r="32" spans="1:3" ht="18" customHeight="1">
      <c r="A32" s="326"/>
      <c r="B32" s="172"/>
      <c r="C32" s="446"/>
    </row>
    <row r="33" spans="1:3" ht="18" customHeight="1">
      <c r="A33" s="326"/>
      <c r="B33" s="317" t="s">
        <v>636</v>
      </c>
      <c r="C33" s="446"/>
    </row>
    <row r="34" spans="1:3" ht="18" customHeight="1">
      <c r="A34" s="326" t="s">
        <v>99</v>
      </c>
      <c r="B34" s="175" t="s">
        <v>456</v>
      </c>
      <c r="C34" s="449">
        <f>141700-44554</f>
        <v>97146</v>
      </c>
    </row>
    <row r="35" spans="1:3" ht="18" customHeight="1">
      <c r="A35" s="326" t="s">
        <v>510</v>
      </c>
      <c r="B35" s="175" t="s">
        <v>310</v>
      </c>
      <c r="C35" s="448">
        <f>38259-12031</f>
        <v>26228</v>
      </c>
    </row>
    <row r="36" spans="1:3" ht="18" customHeight="1">
      <c r="A36" s="326"/>
      <c r="B36" s="172" t="s">
        <v>2</v>
      </c>
      <c r="C36" s="446">
        <f>SUM(C34:C35)</f>
        <v>123374</v>
      </c>
    </row>
    <row r="37" spans="1:3" ht="37.5" customHeight="1">
      <c r="A37" s="326"/>
      <c r="B37" s="172"/>
      <c r="C37" s="446"/>
    </row>
    <row r="38" spans="1:3" ht="18" customHeight="1">
      <c r="A38" s="326"/>
      <c r="B38" s="317" t="s">
        <v>635</v>
      </c>
      <c r="C38" s="446"/>
    </row>
    <row r="39" spans="1:3" ht="18" customHeight="1">
      <c r="A39" s="326" t="s">
        <v>100</v>
      </c>
      <c r="B39" s="175" t="s">
        <v>456</v>
      </c>
      <c r="C39" s="449">
        <v>44554</v>
      </c>
    </row>
    <row r="40" spans="1:3" ht="18" customHeight="1">
      <c r="A40" s="326" t="s">
        <v>527</v>
      </c>
      <c r="B40" s="175" t="s">
        <v>310</v>
      </c>
      <c r="C40" s="448">
        <v>12031</v>
      </c>
    </row>
    <row r="41" spans="2:3" ht="18" customHeight="1">
      <c r="B41" s="172" t="s">
        <v>2</v>
      </c>
      <c r="C41" s="446">
        <f>SUM(C39:C40)</f>
        <v>56585</v>
      </c>
    </row>
    <row r="42" spans="2:3" ht="18" customHeight="1">
      <c r="B42" s="172"/>
      <c r="C42" s="446"/>
    </row>
    <row r="43" spans="2:3" ht="18" customHeight="1" thickBot="1">
      <c r="B43" s="172"/>
      <c r="C43" s="446"/>
    </row>
    <row r="44" spans="1:3" ht="18" customHeight="1">
      <c r="A44" s="620" t="s">
        <v>471</v>
      </c>
      <c r="B44" s="167"/>
      <c r="C44" s="168" t="s">
        <v>9</v>
      </c>
    </row>
    <row r="45" spans="1:3" ht="18" customHeight="1">
      <c r="A45" s="621"/>
      <c r="B45" s="169" t="s">
        <v>309</v>
      </c>
      <c r="C45" s="169"/>
    </row>
    <row r="46" spans="1:3" ht="18" customHeight="1" thickBot="1">
      <c r="A46" s="622"/>
      <c r="B46" s="170"/>
      <c r="C46" s="171" t="s">
        <v>521</v>
      </c>
    </row>
    <row r="47" spans="2:3" ht="18" customHeight="1">
      <c r="B47" s="172"/>
      <c r="C47" s="446"/>
    </row>
    <row r="48" spans="2:3" ht="18" customHeight="1">
      <c r="B48" s="317" t="s">
        <v>453</v>
      </c>
      <c r="C48" s="173"/>
    </row>
    <row r="49" spans="1:3" ht="18" customHeight="1">
      <c r="A49" s="326" t="s">
        <v>106</v>
      </c>
      <c r="B49" s="318" t="s">
        <v>523</v>
      </c>
      <c r="C49" s="256">
        <v>60000</v>
      </c>
    </row>
    <row r="50" spans="1:3" ht="18" customHeight="1">
      <c r="A50" s="326" t="s">
        <v>528</v>
      </c>
      <c r="B50" s="175" t="s">
        <v>310</v>
      </c>
      <c r="C50" s="257">
        <v>16200</v>
      </c>
    </row>
    <row r="51" spans="1:3" ht="18" customHeight="1">
      <c r="A51" s="326"/>
      <c r="B51" s="172" t="s">
        <v>2</v>
      </c>
      <c r="C51" s="446">
        <f>SUM(C49:C50)</f>
        <v>76200</v>
      </c>
    </row>
    <row r="52" spans="1:3" ht="18" customHeight="1">
      <c r="A52" s="326"/>
      <c r="B52" s="172"/>
      <c r="C52" s="446"/>
    </row>
    <row r="53" spans="1:3" ht="18" customHeight="1">
      <c r="A53" s="326"/>
      <c r="B53" s="317" t="s">
        <v>454</v>
      </c>
      <c r="C53" s="446"/>
    </row>
    <row r="54" spans="1:3" ht="18" customHeight="1">
      <c r="A54" s="15" t="s">
        <v>241</v>
      </c>
      <c r="B54" s="318" t="s">
        <v>523</v>
      </c>
      <c r="C54" s="258">
        <v>9600</v>
      </c>
    </row>
    <row r="55" spans="1:3" ht="18" customHeight="1">
      <c r="A55" s="447" t="s">
        <v>634</v>
      </c>
      <c r="B55" s="175" t="s">
        <v>310</v>
      </c>
      <c r="C55" s="259">
        <v>2592</v>
      </c>
    </row>
    <row r="56" spans="2:3" ht="18" customHeight="1">
      <c r="B56" s="172" t="s">
        <v>2</v>
      </c>
      <c r="C56" s="446">
        <f>SUM(C54:C55)</f>
        <v>12192</v>
      </c>
    </row>
    <row r="57" spans="2:3" ht="18" customHeight="1">
      <c r="B57" s="172"/>
      <c r="C57" s="446"/>
    </row>
    <row r="58" spans="2:3" ht="18" customHeight="1">
      <c r="B58" s="317" t="s">
        <v>633</v>
      </c>
      <c r="C58" s="446"/>
    </row>
    <row r="59" spans="1:3" ht="18" customHeight="1">
      <c r="A59" s="15" t="s">
        <v>243</v>
      </c>
      <c r="B59" s="318" t="s">
        <v>523</v>
      </c>
      <c r="C59" s="258">
        <v>13200</v>
      </c>
    </row>
    <row r="60" spans="1:3" ht="18" customHeight="1">
      <c r="A60" s="447" t="s">
        <v>632</v>
      </c>
      <c r="B60" s="175" t="s">
        <v>310</v>
      </c>
      <c r="C60" s="259">
        <v>3564</v>
      </c>
    </row>
    <row r="61" spans="1:3" ht="18" customHeight="1">
      <c r="A61" s="326"/>
      <c r="B61" s="172" t="s">
        <v>2</v>
      </c>
      <c r="C61" s="446">
        <f>SUM(C59:C60)</f>
        <v>16764</v>
      </c>
    </row>
    <row r="62" spans="1:3" ht="18" customHeight="1">
      <c r="A62" s="326"/>
      <c r="B62" s="172"/>
      <c r="C62" s="446"/>
    </row>
    <row r="63" spans="1:3" ht="15.75">
      <c r="A63" s="15" t="s">
        <v>245</v>
      </c>
      <c r="B63" s="319" t="s">
        <v>455</v>
      </c>
      <c r="C63" s="446"/>
    </row>
    <row r="64" spans="1:3" ht="15.75">
      <c r="A64" s="447" t="s">
        <v>631</v>
      </c>
      <c r="B64" s="318" t="s">
        <v>523</v>
      </c>
      <c r="C64" s="258">
        <v>37200</v>
      </c>
    </row>
    <row r="65" spans="2:3" ht="15.75">
      <c r="B65" s="175" t="s">
        <v>310</v>
      </c>
      <c r="C65" s="259">
        <v>10044</v>
      </c>
    </row>
    <row r="66" spans="2:3" ht="15.75">
      <c r="B66" s="172" t="s">
        <v>2</v>
      </c>
      <c r="C66" s="446">
        <f>SUM(C64:C65)</f>
        <v>47244</v>
      </c>
    </row>
    <row r="67" spans="1:3" ht="15.75">
      <c r="A67" s="326"/>
      <c r="B67" s="172"/>
      <c r="C67" s="174"/>
    </row>
    <row r="68" spans="1:3" ht="15.75">
      <c r="A68" s="326" t="s">
        <v>251</v>
      </c>
      <c r="B68" s="172" t="s">
        <v>311</v>
      </c>
      <c r="C68" s="446">
        <f>C16+C36+C51+C56+C61+C66+C26+C41+C21+C31</f>
        <v>1428429</v>
      </c>
    </row>
  </sheetData>
  <sheetProtection password="AF00" sheet="1"/>
  <mergeCells count="7">
    <mergeCell ref="A44:A46"/>
    <mergeCell ref="A1:C1"/>
    <mergeCell ref="B6:C6"/>
    <mergeCell ref="B7:C7"/>
    <mergeCell ref="B4:C4"/>
    <mergeCell ref="A8:A10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2018-02-26T09:51:46Z</cp:lastPrinted>
  <dcterms:created xsi:type="dcterms:W3CDTF">2002-11-26T17:22:50Z</dcterms:created>
  <dcterms:modified xsi:type="dcterms:W3CDTF">2018-10-02T13:16:10Z</dcterms:modified>
  <cp:category/>
  <cp:version/>
  <cp:contentType/>
  <cp:contentStatus/>
</cp:coreProperties>
</file>