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firstSheet="31" activeTab="38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1.sz.2.2.sz." sheetId="8" r:id="rId8"/>
    <sheet name="3.sz.mell." sheetId="9" r:id="rId9"/>
    <sheet name="4.sz.mell." sheetId="10" r:id="rId10"/>
    <sheet name="5. sz. mell. " sheetId="11" r:id="rId11"/>
    <sheet name="6.1. sz. mell" sheetId="12" r:id="rId12"/>
    <sheet name="6.2. sz. mell" sheetId="13" r:id="rId13"/>
    <sheet name="6.3. sz. mell" sheetId="14" r:id="rId14"/>
    <sheet name="6.4. sz. mell" sheetId="15" r:id="rId15"/>
    <sheet name="7.1. sz. mell" sheetId="16" r:id="rId16"/>
    <sheet name="7.2. sz. mell" sheetId="17" r:id="rId17"/>
    <sheet name="Munka1" sheetId="18" r:id="rId18"/>
    <sheet name="7.3. sz. mell" sheetId="19" r:id="rId19"/>
    <sheet name="7.4. sz. mell" sheetId="20" r:id="rId20"/>
    <sheet name="8.1. sz. mell." sheetId="21" r:id="rId21"/>
    <sheet name="8.1.1. sz. mell." sheetId="22" r:id="rId22"/>
    <sheet name="8.1.2. sz. mell." sheetId="23" r:id="rId23"/>
    <sheet name="8.1.3. sz. mell." sheetId="24" r:id="rId24"/>
    <sheet name="9. sz. mell" sheetId="25" r:id="rId25"/>
    <sheet name="1.tájékoztató" sheetId="26" r:id="rId26"/>
    <sheet name="2. tájékoztató tábla" sheetId="27" r:id="rId27"/>
    <sheet name="3. tájékoztató tábla" sheetId="28" r:id="rId28"/>
    <sheet name="4. tájékoztató tábla" sheetId="29" r:id="rId29"/>
    <sheet name="5. tájékoztató tábla" sheetId="30" r:id="rId30"/>
    <sheet name="6. tájékoztató tábla" sheetId="31" r:id="rId31"/>
    <sheet name="7.1. tájékoztató tábla" sheetId="32" r:id="rId32"/>
    <sheet name="7.2. tájékoztató tábla" sheetId="33" r:id="rId33"/>
    <sheet name="7.3. tájékoztató tábla" sheetId="34" r:id="rId34"/>
    <sheet name="7.4. tájékoztató tábla" sheetId="35" r:id="rId35"/>
    <sheet name="8. tájékoztató tábla" sheetId="36" r:id="rId36"/>
    <sheet name="9.1. tájékoztató tábla" sheetId="37" r:id="rId37"/>
    <sheet name="9.2.tájékoztató tábla" sheetId="38" r:id="rId38"/>
    <sheet name="9.3. tájékoztató tábla" sheetId="39" r:id="rId39"/>
  </sheets>
  <definedNames>
    <definedName name="_ftn1" localSheetId="33">'7.3. tájékoztató tábla'!$A$27</definedName>
    <definedName name="_ftnref1" localSheetId="33">'7.3. tájékoztató tábla'!$A$18</definedName>
    <definedName name="_xlnm.Print_Titles" localSheetId="11">'6.1. sz. mell'!$1:$6</definedName>
    <definedName name="_xlnm.Print_Titles" localSheetId="12">'6.2. sz. mell'!$1:$6</definedName>
    <definedName name="_xlnm.Print_Titles" localSheetId="13">'6.3. sz. mell'!$1:$6</definedName>
    <definedName name="_xlnm.Print_Titles" localSheetId="14">'6.4. sz. mell'!$1:$6</definedName>
    <definedName name="_xlnm.Print_Titles" localSheetId="15">'7.1. sz. mell'!$1:$6</definedName>
    <definedName name="_xlnm.Print_Titles" localSheetId="31">'7.1. tájékoztató tábla'!$2:$6</definedName>
    <definedName name="_xlnm.Print_Titles" localSheetId="16">'7.2. sz. mell'!$1:$6</definedName>
    <definedName name="_xlnm.Print_Titles" localSheetId="18">'7.3. sz. mell'!$1:$6</definedName>
    <definedName name="_xlnm.Print_Titles" localSheetId="19">'7.4. sz. mell'!$1:$6</definedName>
    <definedName name="_xlnm.Print_Titles" localSheetId="20">'8.1. sz. mell.'!$1:$6</definedName>
    <definedName name="_xlnm.Print_Titles" localSheetId="21">'8.1.1. sz. mell.'!$1:$6</definedName>
    <definedName name="_xlnm.Print_Titles" localSheetId="22">'8.1.2. sz. mell.'!$1:$6</definedName>
    <definedName name="_xlnm.Print_Titles" localSheetId="23">'8.1.3. sz. mell.'!$1:$6</definedName>
    <definedName name="_xlnm.Print_Area" localSheetId="1">'1.1.sz.mell.'!$A$1:$E$148</definedName>
    <definedName name="_xlnm.Print_Area" localSheetId="2">'1.2.sz.mell.'!$A$1:$E$148</definedName>
    <definedName name="_xlnm.Print_Area" localSheetId="3">'1.3.sz.mell.'!$A$1:$E$148</definedName>
    <definedName name="_xlnm.Print_Area" localSheetId="4">'1.4.sz.mell.'!$A$1:$E$147</definedName>
    <definedName name="_xlnm.Print_Area" localSheetId="25">'1.tájékoztató'!$A$1:$E$145</definedName>
    <definedName name="_xlnm.Print_Area" localSheetId="5">'2.1.sz.mell  '!$A$1:$J$32</definedName>
  </definedNames>
  <calcPr fullCalcOnLoad="1"/>
</workbook>
</file>

<file path=xl/sharedStrings.xml><?xml version="1.0" encoding="utf-8"?>
<sst xmlns="http://schemas.openxmlformats.org/spreadsheetml/2006/main" count="4533" uniqueCount="794">
  <si>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</si>
  <si>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</si>
  <si>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</si>
  <si>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</si>
  <si>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</si>
  <si>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</si>
  <si>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</si>
  <si>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</si>
  <si>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</si>
  <si>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</si>
  <si>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</si>
  <si>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</si>
  <si>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</si>
  <si>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</si>
  <si>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</si>
  <si>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</si>
  <si>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</si>
  <si>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</si>
  <si>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</si>
  <si>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</si>
  <si>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</si>
  <si>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</si>
  <si>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</si>
  <si>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</si>
  <si>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</si>
  <si>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</si>
  <si>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</si>
  <si>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</si>
  <si>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</si>
  <si>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</si>
  <si>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</si>
  <si>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</si>
  <si>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</si>
  <si>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</si>
  <si>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</si>
  <si>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</si>
  <si>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</si>
  <si>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</si>
  <si>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</si>
  <si>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</si>
  <si>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</si>
  <si>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</si>
  <si>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</si>
  <si>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</si>
  <si>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</si>
  <si>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</si>
  <si>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</si>
  <si>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</si>
  <si>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</si>
  <si>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</si>
  <si>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</si>
  <si>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</si>
  <si>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</si>
  <si>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</si>
  <si>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</si>
  <si>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</si>
  <si>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</si>
  <si>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</si>
  <si>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</si>
  <si>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</si>
  <si>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</si>
  <si>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</si>
  <si>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</si>
  <si>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</si>
  <si>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</si>
  <si>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</si>
  <si>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</si>
  <si>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</si>
  <si>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</si>
  <si>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</si>
  <si>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</si>
  <si>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</si>
  <si>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</si>
  <si>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</si>
  <si>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</si>
  <si>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</si>
  <si>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</si>
  <si>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</si>
  <si>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</si>
  <si>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</si>
  <si>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</si>
  <si>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</si>
  <si>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</si>
  <si>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</si>
  <si>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</si>
  <si>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</si>
  <si>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</si>
  <si>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</si>
  <si>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</si>
  <si>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</si>
  <si>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</si>
  <si>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</si>
  <si>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</si>
  <si>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</si>
  <si>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</si>
  <si>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</si>
  <si>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</si>
  <si>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</si>
  <si>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</si>
  <si>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</si>
  <si>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</si>
  <si>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</si>
  <si>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</si>
  <si>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</si>
  <si>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</si>
  <si>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</si>
  <si>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</si>
  <si>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</si>
  <si>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</si>
  <si>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</si>
  <si>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</si>
  <si>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</si>
  <si>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</si>
  <si>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</si>
  <si>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</si>
  <si>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</si>
  <si>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</si>
  <si>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</si>
  <si>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</si>
  <si>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</si>
  <si>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</si>
  <si>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</si>
  <si>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</si>
  <si>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</si>
  <si>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</si>
  <si>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</si>
  <si>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</si>
  <si>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</si>
  <si>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</si>
  <si>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</si>
  <si>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</si>
  <si>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</si>
  <si>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</si>
  <si>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</si>
  <si>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</si>
  <si>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</si>
  <si>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</si>
  <si>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</si>
  <si>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</si>
  <si>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</si>
  <si>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</si>
  <si>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</si>
  <si>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</si>
  <si>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</si>
  <si>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</si>
  <si>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</si>
  <si>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</si>
  <si>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Költségvetési szerv I.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</si>
  <si>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</si>
  <si>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</si>
  <si>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</si>
  <si>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</si>
  <si>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</si>
  <si>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</si>
  <si>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</si>
  <si>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</si>
  <si>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</si>
  <si>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</si>
  <si>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</si>
  <si>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</si>
  <si>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</si>
  <si>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</si>
  <si>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</si>
  <si>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</si>
  <si>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</si>
  <si>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</si>
  <si>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</si>
  <si>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</si>
  <si>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</si>
  <si>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</si>
  <si>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</si>
  <si>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</si>
  <si>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</si>
  <si>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</si>
  <si>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</si>
  <si>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</si>
  <si>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</si>
  <si>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</si>
  <si>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</si>
  <si>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</si>
  <si>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</si>
  <si>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</si>
  <si>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</si>
  <si>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</si>
  <si>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</si>
  <si>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</si>
  <si>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</si>
  <si>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</si>
  <si>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</si>
  <si>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</si>
  <si>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</si>
  <si>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</si>
  <si>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</si>
  <si>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</si>
  <si>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</si>
  <si>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</si>
  <si>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</si>
  <si>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</si>
  <si>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</si>
  <si>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</si>
  <si>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</si>
  <si>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</si>
  <si>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</si>
  <si>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</si>
  <si>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</si>
  <si>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</si>
  <si>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</si>
  <si>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</si>
  <si>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</si>
  <si>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</si>
  <si>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</si>
  <si>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</si>
  <si>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</si>
  <si>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</si>
  <si>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</si>
  <si>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</si>
  <si>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</si>
  <si>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</si>
  <si>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</si>
  <si>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</si>
  <si>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</si>
  <si>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</si>
  <si>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</si>
  <si>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</si>
  <si>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</si>
  <si>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</si>
  <si>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</si>
  <si>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</si>
  <si>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</si>
  <si>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</si>
  <si>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</si>
  <si>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</si>
  <si>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</si>
  <si>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</si>
  <si>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</si>
  <si>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</si>
  <si>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</si>
  <si>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</si>
  <si>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</si>
  <si>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</si>
  <si>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</si>
  <si>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</si>
  <si>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</si>
  <si>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</si>
  <si>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</si>
  <si>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</si>
  <si>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</si>
  <si>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</si>
  <si>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</si>
  <si>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</si>
  <si>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</si>
  <si>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</si>
  <si>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</si>
  <si>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</si>
  <si>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</si>
  <si>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</si>
  <si>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</si>
  <si>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</si>
  <si>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</si>
  <si>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</si>
  <si>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</si>
  <si>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</si>
  <si>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</si>
  <si>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</si>
  <si>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</si>
  <si>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</si>
  <si>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</si>
  <si>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</si>
  <si>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</si>
  <si>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</si>
  <si>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</si>
  <si>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</si>
  <si>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</si>
  <si>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</si>
  <si>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</si>
  <si>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</si>
  <si>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</si>
  <si>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</si>
  <si>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</si>
  <si>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</si>
  <si>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</si>
  <si>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</si>
  <si>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</si>
  <si>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</si>
  <si>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</si>
  <si>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</si>
  <si>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</si>
  <si>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</si>
  <si>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</si>
  <si>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</si>
  <si>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</si>
  <si>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</si>
  <si>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</si>
  <si>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</si>
  <si>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</si>
  <si>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</si>
  <si>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</si>
  <si>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</si>
  <si>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</si>
  <si>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</si>
  <si>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</si>
  <si>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</si>
  <si>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</si>
  <si>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</si>
  <si>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</si>
  <si>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</si>
  <si>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</si>
  <si>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</si>
  <si>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</si>
  <si>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</si>
  <si>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</si>
  <si>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</si>
  <si>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</si>
  <si>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</si>
  <si>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</si>
  <si>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</si>
  <si>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</si>
  <si>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</si>
  <si>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</si>
  <si>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</si>
  <si>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</si>
  <si>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</si>
  <si>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</si>
  <si>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4.1.</t>
  </si>
  <si>
    <t>4.2.</t>
  </si>
  <si>
    <t>4.3.</t>
  </si>
  <si>
    <t>Egyéb áruhasználati és szolgáltatási adók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</si>
  <si>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</si>
  <si>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</si>
  <si>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</si>
  <si>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</si>
  <si>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</si>
  <si>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</si>
  <si>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</si>
  <si>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</si>
  <si>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</si>
  <si>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</si>
  <si>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</si>
  <si>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</si>
  <si>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</si>
  <si>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</si>
  <si>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</si>
  <si>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</si>
  <si>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</si>
  <si>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</si>
  <si>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</si>
  <si>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</si>
  <si>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</si>
  <si>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</si>
  <si>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</si>
  <si>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</si>
  <si>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</si>
  <si>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</si>
  <si>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</si>
  <si>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</si>
  <si>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</si>
  <si>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</si>
  <si>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</si>
  <si>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</si>
  <si>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</si>
  <si>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</si>
  <si>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</si>
  <si>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</si>
  <si>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</si>
  <si>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</si>
  <si>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</si>
  <si>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</si>
  <si>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</si>
  <si>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</si>
  <si>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</si>
  <si>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</si>
  <si>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</si>
  <si>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</si>
  <si>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</si>
  <si>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</si>
  <si>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</si>
  <si>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</si>
  <si>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</si>
  <si>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</si>
  <si>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</si>
  <si>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</si>
  <si>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</si>
  <si>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</si>
  <si>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</si>
  <si>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</si>
  <si>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</si>
  <si>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</si>
  <si>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</si>
  <si>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</si>
  <si>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</si>
  <si>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</si>
  <si>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</si>
  <si>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</si>
  <si>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</si>
  <si>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</si>
  <si>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</si>
  <si>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</si>
  <si>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</si>
  <si>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</si>
  <si>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</si>
  <si>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</si>
  <si>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</si>
  <si>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</si>
  <si>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</si>
  <si>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</si>
  <si>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</si>
  <si>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</si>
  <si>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</si>
  <si>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</si>
  <si>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</si>
  <si>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</si>
  <si>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</si>
  <si>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</si>
  <si>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</si>
  <si>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</si>
  <si>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</si>
  <si>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</si>
  <si>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</si>
  <si>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</si>
  <si>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</si>
  <si>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</si>
  <si>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</si>
  <si>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</si>
  <si>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</si>
  <si>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</si>
  <si>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</si>
  <si>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</si>
  <si>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</si>
  <si>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</si>
  <si>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</si>
  <si>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</si>
  <si>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</si>
  <si>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</si>
  <si>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</si>
  <si>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</si>
  <si>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</si>
  <si>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</si>
  <si>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</si>
  <si>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</si>
  <si>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</si>
  <si>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</si>
  <si>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</si>
  <si>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</si>
  <si>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</si>
  <si>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</si>
  <si>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</si>
  <si>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</si>
  <si>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</si>
  <si>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</si>
  <si>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</si>
  <si>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</si>
  <si>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</si>
  <si>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</si>
  <si>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</si>
  <si>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</si>
  <si>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</si>
  <si>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</si>
  <si>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</si>
  <si>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</si>
  <si>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</si>
  <si>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</si>
  <si>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</si>
  <si>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</si>
  <si>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</si>
  <si>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</si>
  <si>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</si>
  <si>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</si>
  <si>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</si>
  <si>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</si>
  <si>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</si>
  <si>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</si>
  <si>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</si>
  <si>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</si>
  <si>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</si>
  <si>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</si>
  <si>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</si>
  <si>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</si>
  <si>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</si>
  <si>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</si>
  <si>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</si>
  <si>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</si>
  <si>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</si>
  <si>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</si>
  <si>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</si>
  <si>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</si>
  <si>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</si>
  <si>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</si>
  <si>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</si>
  <si>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</si>
  <si>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</si>
  <si>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</si>
  <si>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</si>
  <si>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</si>
  <si>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</si>
  <si>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</si>
  <si>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</si>
  <si>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</si>
  <si>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</si>
  <si>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</si>
  <si>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</si>
  <si>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</si>
  <si>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</si>
  <si>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</si>
  <si>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</si>
  <si>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</si>
  <si>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</si>
  <si>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</si>
  <si>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</si>
  <si>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</si>
  <si>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</si>
  <si>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</si>
  <si>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</si>
  <si>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</si>
  <si>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</si>
  <si>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</si>
  <si>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</si>
  <si>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</si>
  <si>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</si>
  <si>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</si>
  <si>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</si>
  <si>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</si>
  <si>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</si>
  <si>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</si>
  <si>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</si>
  <si>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</si>
  <si>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</si>
  <si>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</si>
  <si>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</si>
  <si>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</si>
  <si>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</si>
  <si>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</si>
  <si>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</si>
  <si>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</si>
  <si>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</si>
  <si>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</si>
  <si>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</si>
  <si>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</si>
  <si>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</si>
  <si>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</si>
  <si>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</si>
  <si>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</si>
  <si>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</si>
  <si>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</si>
  <si>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</si>
  <si>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</si>
  <si>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</si>
  <si>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</si>
  <si>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</si>
  <si>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</si>
  <si>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</si>
  <si>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</si>
  <si>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</si>
  <si>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</si>
  <si>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</si>
  <si>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</si>
  <si>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</si>
  <si>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</si>
  <si>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</si>
  <si>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</si>
  <si>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</si>
  <si>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</si>
  <si>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</si>
  <si>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</si>
  <si>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</si>
  <si>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</si>
  <si>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</si>
  <si>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</si>
  <si>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</si>
  <si>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</si>
  <si>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</si>
  <si>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</si>
  <si>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</si>
  <si>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</si>
  <si>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</si>
  <si>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</si>
  <si>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</si>
  <si>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</si>
  <si>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</si>
  <si>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</si>
  <si>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</si>
  <si>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</si>
  <si>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</si>
  <si>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</si>
  <si>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</si>
  <si>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</si>
  <si>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</si>
  <si>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</si>
  <si>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</si>
  <si>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</si>
  <si>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</si>
  <si>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</si>
  <si>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</si>
  <si>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</si>
  <si>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</si>
  <si>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</si>
  <si>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</si>
  <si>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</si>
  <si>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</si>
  <si>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</si>
  <si>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</si>
  <si>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</si>
  <si>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</si>
  <si>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</si>
  <si>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</si>
  <si>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</si>
  <si>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</si>
  <si>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</si>
  <si>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</si>
  <si>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</si>
  <si>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</si>
  <si>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</si>
  <si>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</si>
  <si>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</si>
  <si>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</si>
  <si>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</si>
  <si>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</si>
  <si>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</si>
  <si>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</si>
  <si>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</si>
  <si>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</si>
  <si>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</si>
  <si>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</si>
  <si>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</si>
  <si>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</si>
  <si>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</si>
  <si>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</si>
  <si>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</si>
  <si>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</si>
  <si>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</si>
  <si>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</si>
  <si>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</si>
  <si>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</si>
  <si>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</si>
  <si>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</si>
  <si>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</si>
  <si>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</si>
  <si>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</si>
  <si>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</si>
  <si>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</si>
  <si>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</si>
  <si>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</si>
  <si>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</si>
  <si>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</si>
  <si>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</si>
  <si>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</si>
  <si>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</si>
  <si>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</si>
  <si>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</si>
  <si>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</si>
  <si>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</si>
  <si>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</si>
  <si>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</si>
  <si>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</si>
  <si>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</si>
  <si>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</si>
  <si>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</si>
  <si>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</si>
  <si>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</si>
  <si>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</si>
  <si>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</si>
  <si>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</si>
  <si>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</si>
  <si>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</si>
  <si>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</si>
  <si>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</si>
  <si>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</si>
  <si>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</si>
  <si>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</si>
  <si>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 xml:space="preserve">Kötelező feladatok 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</si>
  <si>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</si>
  <si>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</si>
  <si>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</si>
  <si>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</si>
  <si>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</si>
  <si>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</si>
  <si>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</si>
  <si>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</si>
  <si>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</si>
  <si>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</si>
  <si>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</si>
  <si>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</si>
  <si>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</si>
  <si>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</si>
  <si>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</si>
  <si>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</si>
  <si>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</si>
  <si>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</si>
  <si>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</si>
  <si>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</si>
  <si>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</si>
  <si>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</si>
  <si>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</si>
  <si>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</si>
  <si>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</si>
  <si>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</si>
  <si>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</si>
  <si>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</si>
  <si>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</si>
  <si>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</si>
  <si>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</si>
  <si>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</si>
  <si>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</si>
  <si>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</si>
  <si>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</si>
  <si>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</si>
  <si>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</si>
  <si>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</si>
  <si>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</si>
  <si>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</si>
  <si>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</si>
  <si>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</si>
  <si>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</si>
  <si>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</si>
  <si>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</si>
  <si>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</si>
  <si>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</si>
  <si>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</si>
  <si>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</si>
  <si>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</si>
  <si>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</si>
  <si>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</si>
  <si>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</si>
  <si>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</si>
  <si>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</si>
  <si>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Közhatalmi bevételek (4.1.+...+4.7.)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</si>
  <si>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</si>
  <si>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</si>
  <si>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</si>
  <si>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</si>
  <si>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</si>
  <si>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</si>
  <si>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</si>
  <si>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Egyéb korrekciós tételek (+,-)</t>
  </si>
  <si>
    <t>Kiemelt előirányzat, előirányzat megnevezése</t>
  </si>
  <si>
    <t>Közfoglalkoztatottak tényleges állományi létszáma (fő)</t>
  </si>
  <si>
    <t>Éves tényleges állományi  létszám  (fő)</t>
  </si>
  <si>
    <t>Forintban!</t>
  </si>
  <si>
    <t>Értéke
(Ft)</t>
  </si>
  <si>
    <t>Összeg  (Ft )</t>
  </si>
  <si>
    <t>Bruttó  hiány:</t>
  </si>
  <si>
    <t>Bruttó  többlet:</t>
  </si>
  <si>
    <t>Zárszámadási rendelet űrlapjainak összefüggései:</t>
  </si>
  <si>
    <t>Borsodszirk Község Önkormányzat</t>
  </si>
  <si>
    <t>Értékesítési és forgalmi adók</t>
  </si>
  <si>
    <t>Gépjármúadók</t>
  </si>
  <si>
    <t>4.4.</t>
  </si>
  <si>
    <t>Gépjármúadó</t>
  </si>
  <si>
    <t>Borsodszirák Község Önkormányzat</t>
  </si>
  <si>
    <t>Bartók Béla Általános Művelődési Központ</t>
  </si>
  <si>
    <t>Borsodszirák Község Önkormányzata</t>
  </si>
  <si>
    <t>Közös Önkormáynzati Hivatal</t>
  </si>
  <si>
    <t>Egyéb kedvezmény (szemétszállítás elengedés 70 év felettiek esetében)</t>
  </si>
  <si>
    <t>NEMLEGES</t>
  </si>
  <si>
    <t>Gépjármű adó</t>
  </si>
  <si>
    <t>12.3.</t>
  </si>
  <si>
    <t>Előző évi vállalkozási maradványánk igénybevétele</t>
  </si>
  <si>
    <t>Államháztartáson belűli megelőlegezések</t>
  </si>
  <si>
    <t>Elszámolásból származó bevételek</t>
  </si>
  <si>
    <t>3.7.</t>
  </si>
  <si>
    <t>3,5.-ből EU-s támogatás</t>
  </si>
  <si>
    <t>3.5.-ból egyéb fejezeti kezelésű támogatás</t>
  </si>
  <si>
    <t>TOP-4.2.1-15-BO1-2016-00028 - SZOCIÁLIS ALAPSZOLGÁLTATÁSOK INFRASTRUKTÚRÁJÁNAK BŐVÍTÉSE, FEJLESZTÉSE</t>
  </si>
  <si>
    <t>Földművelésügyi Minisztérium - Zártkerti revitalizációs program</t>
  </si>
  <si>
    <t>2018-2019.</t>
  </si>
  <si>
    <t>Önkormányzati feladatellátást szolgáló fejlesztések támogatása (KOZÖS HIVATAL FELÚJÍTÁSA)</t>
  </si>
  <si>
    <t>2019.</t>
  </si>
  <si>
    <t>VP6-7.2.1-7.4.1.2-16 Külterületi helyi utak fejlesztése, önkormányzati utak kezeléséhez, állapotjavításához, karbantartásához szükséges erő- és munkagépek beszerzése”</t>
  </si>
  <si>
    <t xml:space="preserve">PÉNZESZKÖZÖK VÁLTOZÁSÁNAK LEVEZETÉSE                             </t>
  </si>
  <si>
    <t>BORSODSZIRÁK KÖZSÉG ÖNKORMÁNYZAT</t>
  </si>
  <si>
    <t>BORSODSZIRÁK KÖZÖS ÖNKORMÁNYZATI HIVATAL</t>
  </si>
  <si>
    <t xml:space="preserve">PÉNZESZKÖZÖK VÁLTOZÁSÁNAK LEVEZETÉSE </t>
  </si>
  <si>
    <t>BORODSZIRÁKI BARTÓK BÉLA ÁLTALÁNOS MŰVELŐDÉSI KÖZPONT</t>
  </si>
  <si>
    <t>2019. évi eredeti előirányzat BEVÉTELEK</t>
  </si>
  <si>
    <t>Önkormányzati feladatellátást szolgáló fejlesztések támogatása (KOZÖS HIVATAL FELÚJÍTÁSA - eszköz beszerzés)</t>
  </si>
  <si>
    <t>2 716 213</t>
  </si>
  <si>
    <t>25 979 629</t>
  </si>
  <si>
    <t>2017-2020.</t>
  </si>
  <si>
    <t>MAGYAR FALU PROGRAM - ORVOSI ESZKÖZ PÁLYÁZAT</t>
  </si>
  <si>
    <t>2020.</t>
  </si>
  <si>
    <t>6.1. melléklet a 4/2020.(VI.30.) önkormányzati rendelethez")</t>
  </si>
  <si>
    <t>6.2. melléklet a 4/2020. (VI.30.) önkormányzati rendelethez")</t>
  </si>
  <si>
    <t>6.3. melléklet a 4/2020.(VI.30.) önkormányzati rendelethez</t>
  </si>
  <si>
    <t>6.4. melléklet a 5/2020. (VI.30.) önkormányzati rendelethez</t>
  </si>
  <si>
    <t>7.1. melléklet a 4/2020. (VI.30. önkormányzati rendelethez</t>
  </si>
  <si>
    <t>7.2. melléklet a 4/2020. (VI.30.) önkormányzati rendelethez</t>
  </si>
  <si>
    <t>7.4. melléklet a 4/2020.()Iv.30.) önkormányzati rendelethez</t>
  </si>
  <si>
    <t>8.1. melléklet a 4/2020. (VI.30.) önkormányzati rendelethez</t>
  </si>
  <si>
    <t>8.1.1. melléklet a 4/2020. (VI.30.) önkormányzati rendelethez</t>
  </si>
  <si>
    <t>8.1.2. melléklet a 4/2020. (VI.30.) önkormányzati rendelethez</t>
  </si>
  <si>
    <t>8.1.3. melléklet a 4/2020. (VI.30.) önkormányzati rendelethez</t>
  </si>
  <si>
    <t>8. tájékoztató tábla a ......../";BAL(ÖSSZEFÜGGÉSEK!A4;4)+1;". (........) önkormányzati rendelethez")</t>
  </si>
  <si>
    <t>9.1. sz. tájékoztató tábla a 4/2020.(VI.30.)  önkormányzati rendelethez</t>
  </si>
  <si>
    <t>9.2. sz. tájékoztató tábla a 4/2020.(VI.30.)  önkormányzati rendelethez</t>
  </si>
  <si>
    <t>9.3. sz. tájékoztató tábla a 4/2020.(VI.30.)  önkormányzati rendelethez</t>
  </si>
</sst>
</file>

<file path=xl/styles.xml><?xml version="1.0" encoding="utf-8"?>
<styleSheet xmlns="http://schemas.openxmlformats.org/spreadsheetml/2006/main">
  <numFmts count="31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.0"/>
    <numFmt numFmtId="180" formatCode="#,###__;\-#,###__"/>
    <numFmt numFmtId="181" formatCode="00"/>
    <numFmt numFmtId="182" formatCode="#,###\ _F_t;\-#,###\ _F_t"/>
    <numFmt numFmtId="183" formatCode="#,###__"/>
    <numFmt numFmtId="184" formatCode="_-* #,##0.0\ _F_t_-;\-* #,##0.0\ _F_t_-;_-* &quot;-&quot;??\ _F_t_-;_-@_-"/>
    <numFmt numFmtId="185" formatCode="[$€-2]\ #\ ##,000_);[Red]\([$€-2]\ #\ ##,000\)"/>
    <numFmt numFmtId="186" formatCode="[$¥€-2]\ #\ ##,000_);[Red]\([$€-2]\ #\ ##,000\)"/>
  </numFmts>
  <fonts count="8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6"/>
      <name val="Times New Roman CE"/>
      <family val="0"/>
    </font>
    <font>
      <i/>
      <sz val="6"/>
      <name val="Times New Roman CE"/>
      <family val="0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b/>
      <sz val="16"/>
      <name val="Times New Roman CE"/>
      <family val="0"/>
    </font>
    <font>
      <b/>
      <sz val="14"/>
      <name val="Times New Roman"/>
      <family val="1"/>
    </font>
    <font>
      <b/>
      <i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65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4" borderId="0" applyNumberFormat="0" applyBorder="0" applyAlignment="0" applyProtection="0"/>
    <xf numFmtId="0" fontId="73" fillId="7" borderId="0" applyNumberFormat="0" applyBorder="0" applyAlignment="0" applyProtection="0"/>
    <xf numFmtId="0" fontId="73" fillId="6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0" borderId="0" applyNumberFormat="0" applyBorder="0" applyAlignment="0" applyProtection="0"/>
    <xf numFmtId="0" fontId="73" fillId="13" borderId="0" applyNumberFormat="0" applyBorder="0" applyAlignment="0" applyProtection="0"/>
    <xf numFmtId="0" fontId="73" fillId="12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2" borderId="0" applyNumberFormat="0" applyBorder="0" applyAlignment="0" applyProtection="0"/>
    <xf numFmtId="0" fontId="72" fillId="16" borderId="0" applyNumberFormat="0" applyBorder="0" applyAlignment="0" applyProtection="0"/>
    <xf numFmtId="0" fontId="72" fillId="12" borderId="0" applyNumberFormat="0" applyBorder="0" applyAlignment="0" applyProtection="0"/>
    <xf numFmtId="0" fontId="72" fillId="10" borderId="0" applyNumberFormat="0" applyBorder="0" applyAlignment="0" applyProtection="0"/>
    <xf numFmtId="0" fontId="72" fillId="17" borderId="0" applyNumberFormat="0" applyBorder="0" applyAlignment="0" applyProtection="0"/>
    <xf numFmtId="0" fontId="72" fillId="5" borderId="0" applyNumberFormat="0" applyBorder="0" applyAlignment="0" applyProtection="0"/>
    <xf numFmtId="0" fontId="74" fillId="12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75" fillId="18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0" fillId="19" borderId="7" applyNumberFormat="0" applyFont="0" applyAlignment="0" applyProtection="0"/>
    <xf numFmtId="0" fontId="79" fillId="20" borderId="0" applyNumberFormat="0" applyBorder="0" applyAlignment="0" applyProtection="0"/>
    <xf numFmtId="0" fontId="80" fillId="21" borderId="8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8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4" fillId="22" borderId="0" applyNumberFormat="0" applyBorder="0" applyAlignment="0" applyProtection="0"/>
    <xf numFmtId="0" fontId="85" fillId="23" borderId="0" applyNumberFormat="0" applyBorder="0" applyAlignment="0" applyProtection="0"/>
    <xf numFmtId="0" fontId="86" fillId="21" borderId="1" applyNumberFormat="0" applyAlignment="0" applyProtection="0"/>
    <xf numFmtId="9" fontId="0" fillId="0" borderId="0" applyFont="0" applyFill="0" applyBorder="0" applyAlignment="0" applyProtection="0"/>
  </cellStyleXfs>
  <cellXfs count="872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72" fontId="13" fillId="0" borderId="10" xfId="0" applyNumberFormat="1" applyFont="1" applyFill="1" applyBorder="1" applyAlignment="1" applyProtection="1">
      <alignment vertical="center" wrapText="1"/>
      <protection locked="0"/>
    </xf>
    <xf numFmtId="172" fontId="13" fillId="0" borderId="11" xfId="0" applyNumberFormat="1" applyFont="1" applyFill="1" applyBorder="1" applyAlignment="1" applyProtection="1">
      <alignment vertical="center" wrapText="1"/>
      <protection locked="0"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172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72" fontId="0" fillId="0" borderId="13" xfId="0" applyNumberFormat="1" applyFill="1" applyBorder="1" applyAlignment="1" applyProtection="1">
      <alignment horizontal="center" vertical="center" wrapText="1"/>
      <protection locked="0"/>
    </xf>
    <xf numFmtId="172" fontId="13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72" fontId="12" fillId="0" borderId="15" xfId="0" applyNumberFormat="1" applyFont="1" applyFill="1" applyBorder="1" applyAlignment="1" applyProtection="1">
      <alignment vertical="center" wrapText="1"/>
      <protection/>
    </xf>
    <xf numFmtId="172" fontId="12" fillId="0" borderId="16" xfId="0" applyNumberFormat="1" applyFont="1" applyFill="1" applyBorder="1" applyAlignment="1" applyProtection="1">
      <alignment vertical="center" wrapText="1"/>
      <protection/>
    </xf>
    <xf numFmtId="172" fontId="3" fillId="0" borderId="0" xfId="0" applyNumberFormat="1" applyFont="1" applyFill="1" applyAlignment="1">
      <alignment vertical="center" wrapText="1"/>
    </xf>
    <xf numFmtId="172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72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72" fontId="12" fillId="24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72" fontId="13" fillId="0" borderId="10" xfId="0" applyNumberFormat="1" applyFont="1" applyFill="1" applyBorder="1" applyAlignment="1" applyProtection="1">
      <alignment vertical="center"/>
      <protection locked="0"/>
    </xf>
    <xf numFmtId="172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6" fillId="0" borderId="17" xfId="0" applyNumberFormat="1" applyFont="1" applyFill="1" applyBorder="1" applyAlignment="1" applyProtection="1">
      <alignment horizontal="center" vertical="center" wrapText="1"/>
      <protection/>
    </xf>
    <xf numFmtId="172" fontId="6" fillId="0" borderId="15" xfId="0" applyNumberFormat="1" applyFont="1" applyFill="1" applyBorder="1" applyAlignment="1" applyProtection="1">
      <alignment horizontal="center" vertical="center" wrapText="1"/>
      <protection/>
    </xf>
    <xf numFmtId="172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72" fontId="12" fillId="0" borderId="18" xfId="0" applyNumberFormat="1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72" fontId="12" fillId="0" borderId="15" xfId="0" applyNumberFormat="1" applyFont="1" applyFill="1" applyBorder="1" applyAlignment="1" applyProtection="1">
      <alignment vertical="center"/>
      <protection/>
    </xf>
    <xf numFmtId="172" fontId="12" fillId="0" borderId="16" xfId="0" applyNumberFormat="1" applyFont="1" applyFill="1" applyBorder="1" applyAlignment="1" applyProtection="1">
      <alignment vertical="center"/>
      <protection/>
    </xf>
    <xf numFmtId="172" fontId="4" fillId="0" borderId="0" xfId="0" applyNumberFormat="1" applyFont="1" applyFill="1" applyAlignment="1" applyProtection="1">
      <alignment horizontal="right" vertical="center"/>
      <protection/>
    </xf>
    <xf numFmtId="172" fontId="19" fillId="0" borderId="19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2" fontId="21" fillId="0" borderId="20" xfId="60" applyNumberFormat="1" applyFont="1" applyFill="1" applyBorder="1" applyAlignment="1" applyProtection="1">
      <alignment vertical="center"/>
      <protection/>
    </xf>
    <xf numFmtId="172" fontId="21" fillId="0" borderId="20" xfId="60" applyNumberFormat="1" applyFont="1" applyFill="1" applyBorder="1" applyAlignment="1" applyProtection="1">
      <alignment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0" fontId="6" fillId="0" borderId="22" xfId="60" applyFont="1" applyFill="1" applyBorder="1" applyAlignment="1" applyProtection="1">
      <alignment horizontal="center" vertical="center" wrapText="1"/>
      <protection/>
    </xf>
    <xf numFmtId="172" fontId="12" fillId="0" borderId="23" xfId="0" applyNumberFormat="1" applyFont="1" applyFill="1" applyBorder="1" applyAlignment="1" applyProtection="1">
      <alignment horizontal="center" vertical="center" wrapText="1"/>
      <protection/>
    </xf>
    <xf numFmtId="172" fontId="13" fillId="0" borderId="24" xfId="0" applyNumberFormat="1" applyFont="1" applyFill="1" applyBorder="1" applyAlignment="1" applyProtection="1">
      <alignment vertical="center" wrapText="1"/>
      <protection locked="0"/>
    </xf>
    <xf numFmtId="172" fontId="12" fillId="0" borderId="18" xfId="0" applyNumberFormat="1" applyFont="1" applyFill="1" applyBorder="1" applyAlignment="1" applyProtection="1">
      <alignment vertical="center" wrapText="1"/>
      <protection/>
    </xf>
    <xf numFmtId="172" fontId="13" fillId="0" borderId="25" xfId="0" applyNumberFormat="1" applyFont="1" applyFill="1" applyBorder="1" applyAlignment="1" applyProtection="1">
      <alignment vertical="center" wrapText="1"/>
      <protection locked="0"/>
    </xf>
    <xf numFmtId="172" fontId="12" fillId="0" borderId="26" xfId="0" applyNumberFormat="1" applyFont="1" applyFill="1" applyBorder="1" applyAlignment="1">
      <alignment horizontal="center" vertical="center"/>
    </xf>
    <xf numFmtId="172" fontId="12" fillId="0" borderId="26" xfId="0" applyNumberFormat="1" applyFont="1" applyFill="1" applyBorder="1" applyAlignment="1">
      <alignment horizontal="center" vertical="center" wrapText="1"/>
    </xf>
    <xf numFmtId="172" fontId="12" fillId="0" borderId="27" xfId="0" applyNumberFormat="1" applyFont="1" applyFill="1" applyBorder="1" applyAlignment="1">
      <alignment horizontal="center" vertical="center"/>
    </xf>
    <xf numFmtId="172" fontId="12" fillId="0" borderId="28" xfId="0" applyNumberFormat="1" applyFont="1" applyFill="1" applyBorder="1" applyAlignment="1">
      <alignment horizontal="center" vertical="center"/>
    </xf>
    <xf numFmtId="172" fontId="12" fillId="0" borderId="28" xfId="0" applyNumberFormat="1" applyFont="1" applyFill="1" applyBorder="1" applyAlignment="1">
      <alignment horizontal="center" vertical="center" wrapText="1"/>
    </xf>
    <xf numFmtId="49" fontId="13" fillId="0" borderId="29" xfId="0" applyNumberFormat="1" applyFont="1" applyFill="1" applyBorder="1" applyAlignment="1">
      <alignment horizontal="left" vertical="center"/>
    </xf>
    <xf numFmtId="49" fontId="19" fillId="0" borderId="30" xfId="0" applyNumberFormat="1" applyFont="1" applyFill="1" applyBorder="1" applyAlignment="1" quotePrefix="1">
      <alignment horizontal="left" vertical="center" indent="1"/>
    </xf>
    <xf numFmtId="49" fontId="13" fillId="0" borderId="30" xfId="0" applyNumberFormat="1" applyFont="1" applyFill="1" applyBorder="1" applyAlignment="1">
      <alignment horizontal="left" vertical="center"/>
    </xf>
    <xf numFmtId="49" fontId="13" fillId="0" borderId="31" xfId="0" applyNumberFormat="1" applyFont="1" applyFill="1" applyBorder="1" applyAlignment="1" applyProtection="1">
      <alignment horizontal="left" vertical="center"/>
      <protection locked="0"/>
    </xf>
    <xf numFmtId="49" fontId="12" fillId="0" borderId="32" xfId="0" applyNumberFormat="1" applyFont="1" applyFill="1" applyBorder="1" applyAlignment="1" applyProtection="1">
      <alignment horizontal="left" vertical="center" indent="1"/>
      <protection locked="0"/>
    </xf>
    <xf numFmtId="49" fontId="12" fillId="0" borderId="33" xfId="0" applyNumberFormat="1" applyFont="1" applyFill="1" applyBorder="1" applyAlignment="1" applyProtection="1">
      <alignment vertical="center"/>
      <protection locked="0"/>
    </xf>
    <xf numFmtId="49" fontId="12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20" xfId="0" applyNumberFormat="1" applyFont="1" applyFill="1" applyBorder="1" applyAlignment="1" applyProtection="1">
      <alignment vertical="center"/>
      <protection locked="0"/>
    </xf>
    <xf numFmtId="49" fontId="12" fillId="0" borderId="20" xfId="0" applyNumberFormat="1" applyFont="1" applyFill="1" applyBorder="1" applyAlignment="1" applyProtection="1">
      <alignment horizontal="right"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4" xfId="0" applyNumberFormat="1" applyFont="1" applyFill="1" applyBorder="1" applyAlignment="1">
      <alignment horizontal="left" vertical="center"/>
    </xf>
    <xf numFmtId="49" fontId="13" fillId="0" borderId="12" xfId="0" applyNumberFormat="1" applyFont="1" applyFill="1" applyBorder="1" applyAlignment="1">
      <alignment horizontal="left" vertical="center"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4" xfId="0" applyNumberFormat="1" applyFont="1" applyFill="1" applyBorder="1" applyAlignment="1" applyProtection="1">
      <alignment horizontal="left" vertical="center"/>
      <protection locked="0"/>
    </xf>
    <xf numFmtId="179" fontId="12" fillId="0" borderId="26" xfId="0" applyNumberFormat="1" applyFont="1" applyFill="1" applyBorder="1" applyAlignment="1">
      <alignment horizontal="left" vertical="center" wrapText="1" indent="1"/>
    </xf>
    <xf numFmtId="179" fontId="28" fillId="0" borderId="0" xfId="0" applyNumberFormat="1" applyFont="1" applyFill="1" applyBorder="1" applyAlignment="1">
      <alignment horizontal="left" vertical="center" wrapText="1"/>
    </xf>
    <xf numFmtId="172" fontId="12" fillId="0" borderId="26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172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172" fontId="18" fillId="0" borderId="15" xfId="0" applyNumberFormat="1" applyFont="1" applyBorder="1" applyAlignment="1" applyProtection="1">
      <alignment horizontal="right" vertical="center" wrapText="1" indent="1"/>
      <protection/>
    </xf>
    <xf numFmtId="172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172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3" fontId="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9" xfId="0" applyFont="1" applyFill="1" applyBorder="1" applyAlignment="1" applyProtection="1">
      <alignment horizontal="center" vertic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26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 applyProtection="1">
      <alignment vertical="center" wrapText="1"/>
      <protection locked="0"/>
    </xf>
    <xf numFmtId="172" fontId="4" fillId="0" borderId="0" xfId="0" applyNumberFormat="1" applyFont="1" applyFill="1" applyAlignment="1" applyProtection="1">
      <alignment horizontal="right" vertical="center"/>
      <protection locked="0"/>
    </xf>
    <xf numFmtId="172" fontId="6" fillId="0" borderId="42" xfId="0" applyNumberFormat="1" applyFont="1" applyFill="1" applyBorder="1" applyAlignment="1" applyProtection="1">
      <alignment horizontal="centerContinuous" vertical="center"/>
      <protection/>
    </xf>
    <xf numFmtId="172" fontId="6" fillId="0" borderId="43" xfId="0" applyNumberFormat="1" applyFont="1" applyFill="1" applyBorder="1" applyAlignment="1" applyProtection="1">
      <alignment horizontal="centerContinuous" vertical="center"/>
      <protection/>
    </xf>
    <xf numFmtId="172" fontId="6" fillId="0" borderId="44" xfId="0" applyNumberFormat="1" applyFont="1" applyFill="1" applyBorder="1" applyAlignment="1" applyProtection="1">
      <alignment horizontal="centerContinuous" vertical="center"/>
      <protection/>
    </xf>
    <xf numFmtId="172" fontId="20" fillId="0" borderId="0" xfId="0" applyNumberFormat="1" applyFont="1" applyFill="1" applyAlignment="1">
      <alignment vertical="center"/>
    </xf>
    <xf numFmtId="172" fontId="6" fillId="0" borderId="23" xfId="0" applyNumberFormat="1" applyFont="1" applyFill="1" applyBorder="1" applyAlignment="1" applyProtection="1">
      <alignment horizontal="center" vertical="center"/>
      <protection/>
    </xf>
    <xf numFmtId="172" fontId="6" fillId="0" borderId="45" xfId="0" applyNumberFormat="1" applyFont="1" applyFill="1" applyBorder="1" applyAlignment="1" applyProtection="1">
      <alignment horizontal="center" vertical="center"/>
      <protection/>
    </xf>
    <xf numFmtId="172" fontId="6" fillId="0" borderId="22" xfId="0" applyNumberFormat="1" applyFont="1" applyFill="1" applyBorder="1" applyAlignment="1" applyProtection="1">
      <alignment horizontal="center" vertical="center" wrapText="1"/>
      <protection/>
    </xf>
    <xf numFmtId="172" fontId="20" fillId="0" borderId="0" xfId="0" applyNumberFormat="1" applyFont="1" applyFill="1" applyAlignment="1">
      <alignment horizontal="center" vertical="center"/>
    </xf>
    <xf numFmtId="172" fontId="12" fillId="0" borderId="15" xfId="0" applyNumberFormat="1" applyFont="1" applyFill="1" applyBorder="1" applyAlignment="1" applyProtection="1">
      <alignment horizontal="center" vertical="center" wrapText="1"/>
      <protection/>
    </xf>
    <xf numFmtId="172" fontId="12" fillId="0" borderId="0" xfId="0" applyNumberFormat="1" applyFont="1" applyFill="1" applyAlignment="1">
      <alignment horizontal="center" vertical="center" wrapText="1"/>
    </xf>
    <xf numFmtId="172" fontId="12" fillId="0" borderId="46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36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36" xfId="0" applyNumberFormat="1" applyFont="1" applyFill="1" applyBorder="1" applyAlignment="1" applyProtection="1">
      <alignment horizontal="center" vertical="center" wrapText="1"/>
      <protection/>
    </xf>
    <xf numFmtId="172" fontId="12" fillId="0" borderId="36" xfId="0" applyNumberFormat="1" applyFont="1" applyFill="1" applyBorder="1" applyAlignment="1" applyProtection="1">
      <alignment vertical="center" wrapText="1"/>
      <protection/>
    </xf>
    <xf numFmtId="172" fontId="12" fillId="0" borderId="42" xfId="0" applyNumberFormat="1" applyFont="1" applyFill="1" applyBorder="1" applyAlignment="1" applyProtection="1">
      <alignment vertical="center" wrapText="1"/>
      <protection/>
    </xf>
    <xf numFmtId="172" fontId="12" fillId="0" borderId="47" xfId="0" applyNumberFormat="1" applyFont="1" applyFill="1" applyBorder="1" applyAlignment="1" applyProtection="1">
      <alignment vertical="center" wrapText="1"/>
      <protection/>
    </xf>
    <xf numFmtId="172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48" xfId="0" applyNumberFormat="1" applyFont="1" applyFill="1" applyBorder="1" applyAlignment="1" applyProtection="1">
      <alignment vertical="center" wrapText="1"/>
      <protection/>
    </xf>
    <xf numFmtId="172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72" fontId="12" fillId="0" borderId="10" xfId="0" applyNumberFormat="1" applyFont="1" applyFill="1" applyBorder="1" applyAlignment="1" applyProtection="1">
      <alignment vertical="center" wrapText="1"/>
      <protection/>
    </xf>
    <xf numFmtId="172" fontId="12" fillId="0" borderId="24" xfId="0" applyNumberFormat="1" applyFont="1" applyFill="1" applyBorder="1" applyAlignment="1" applyProtection="1">
      <alignment vertical="center" wrapText="1"/>
      <protection/>
    </xf>
    <xf numFmtId="172" fontId="12" fillId="0" borderId="48" xfId="0" applyNumberFormat="1" applyFont="1" applyFill="1" applyBorder="1" applyAlignment="1" applyProtection="1">
      <alignment vertical="center" wrapText="1"/>
      <protection/>
    </xf>
    <xf numFmtId="172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12" fillId="0" borderId="13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19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1" xfId="0" applyNumberFormat="1" applyFont="1" applyFill="1" applyBorder="1" applyAlignment="1" applyProtection="1">
      <alignment horizontal="center" vertical="center" wrapText="1"/>
      <protection/>
    </xf>
    <xf numFmtId="172" fontId="12" fillId="0" borderId="19" xfId="0" applyNumberFormat="1" applyFont="1" applyFill="1" applyBorder="1" applyAlignment="1" applyProtection="1">
      <alignment vertical="center" wrapText="1"/>
      <protection/>
    </xf>
    <xf numFmtId="172" fontId="12" fillId="0" borderId="49" xfId="0" applyNumberFormat="1" applyFont="1" applyFill="1" applyBorder="1" applyAlignment="1" applyProtection="1">
      <alignment vertical="center" wrapText="1"/>
      <protection/>
    </xf>
    <xf numFmtId="1" fontId="0" fillId="0" borderId="49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19" xfId="0" applyNumberFormat="1" applyFont="1" applyFill="1" applyBorder="1" applyAlignment="1" applyProtection="1">
      <alignment vertical="center" wrapText="1"/>
      <protection locked="0"/>
    </xf>
    <xf numFmtId="172" fontId="13" fillId="0" borderId="49" xfId="0" applyNumberFormat="1" applyFont="1" applyFill="1" applyBorder="1" applyAlignment="1" applyProtection="1">
      <alignment vertical="center" wrapText="1"/>
      <protection locked="0"/>
    </xf>
    <xf numFmtId="172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15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50" xfId="0" applyNumberFormat="1" applyFont="1" applyFill="1" applyBorder="1" applyAlignment="1" applyProtection="1">
      <alignment vertical="center" wrapText="1"/>
      <protection/>
    </xf>
    <xf numFmtId="172" fontId="12" fillId="0" borderId="15" xfId="0" applyNumberFormat="1" applyFont="1" applyFill="1" applyBorder="1" applyAlignment="1" applyProtection="1">
      <alignment vertical="center" wrapText="1"/>
      <protection/>
    </xf>
    <xf numFmtId="172" fontId="12" fillId="0" borderId="50" xfId="0" applyNumberFormat="1" applyFont="1" applyFill="1" applyBorder="1" applyAlignment="1" applyProtection="1">
      <alignment vertical="center" wrapText="1"/>
      <protection/>
    </xf>
    <xf numFmtId="172" fontId="12" fillId="0" borderId="26" xfId="0" applyNumberFormat="1" applyFont="1" applyFill="1" applyBorder="1" applyAlignment="1" applyProtection="1">
      <alignment vertical="center" wrapText="1"/>
      <protection/>
    </xf>
    <xf numFmtId="172" fontId="8" fillId="0" borderId="0" xfId="0" applyNumberFormat="1" applyFont="1" applyFill="1" applyAlignment="1">
      <alignment horizontal="center" vertical="center" wrapText="1"/>
    </xf>
    <xf numFmtId="172" fontId="4" fillId="0" borderId="0" xfId="0" applyNumberFormat="1" applyFont="1" applyFill="1" applyAlignment="1">
      <alignment horizontal="right" vertical="center"/>
    </xf>
    <xf numFmtId="172" fontId="6" fillId="0" borderId="45" xfId="0" applyNumberFormat="1" applyFont="1" applyFill="1" applyBorder="1" applyAlignment="1">
      <alignment horizontal="center" vertical="center"/>
    </xf>
    <xf numFmtId="172" fontId="6" fillId="0" borderId="21" xfId="0" applyNumberFormat="1" applyFont="1" applyFill="1" applyBorder="1" applyAlignment="1">
      <alignment horizontal="center" vertical="center"/>
    </xf>
    <xf numFmtId="172" fontId="6" fillId="0" borderId="32" xfId="0" applyNumberFormat="1" applyFont="1" applyFill="1" applyBorder="1" applyAlignment="1">
      <alignment horizontal="center" vertical="center" wrapText="1"/>
    </xf>
    <xf numFmtId="172" fontId="6" fillId="0" borderId="50" xfId="0" applyNumberFormat="1" applyFont="1" applyFill="1" applyBorder="1" applyAlignment="1">
      <alignment horizontal="center" vertical="center" wrapText="1"/>
    </xf>
    <xf numFmtId="172" fontId="6" fillId="0" borderId="16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Alignment="1">
      <alignment horizontal="center" vertical="center" wrapText="1"/>
    </xf>
    <xf numFmtId="172" fontId="12" fillId="0" borderId="17" xfId="0" applyNumberFormat="1" applyFont="1" applyFill="1" applyBorder="1" applyAlignment="1">
      <alignment horizontal="right" vertical="center" wrapText="1" indent="1"/>
    </xf>
    <xf numFmtId="172" fontId="12" fillId="0" borderId="26" xfId="0" applyNumberFormat="1" applyFont="1" applyFill="1" applyBorder="1" applyAlignment="1">
      <alignment horizontal="left" vertical="center" wrapText="1" indent="1"/>
    </xf>
    <xf numFmtId="172" fontId="0" fillId="24" borderId="26" xfId="0" applyNumberFormat="1" applyFont="1" applyFill="1" applyBorder="1" applyAlignment="1">
      <alignment horizontal="left" vertical="center" wrapText="1" indent="2"/>
    </xf>
    <xf numFmtId="172" fontId="0" fillId="24" borderId="39" xfId="0" applyNumberFormat="1" applyFont="1" applyFill="1" applyBorder="1" applyAlignment="1">
      <alignment horizontal="left" vertical="center" wrapText="1" indent="2"/>
    </xf>
    <xf numFmtId="172" fontId="12" fillId="0" borderId="17" xfId="0" applyNumberFormat="1" applyFont="1" applyFill="1" applyBorder="1" applyAlignment="1">
      <alignment vertical="center" wrapText="1"/>
    </xf>
    <xf numFmtId="172" fontId="12" fillId="0" borderId="15" xfId="0" applyNumberFormat="1" applyFont="1" applyFill="1" applyBorder="1" applyAlignment="1">
      <alignment vertical="center" wrapText="1"/>
    </xf>
    <xf numFmtId="172" fontId="12" fillId="0" borderId="16" xfId="0" applyNumberFormat="1" applyFont="1" applyFill="1" applyBorder="1" applyAlignment="1">
      <alignment vertical="center" wrapText="1"/>
    </xf>
    <xf numFmtId="172" fontId="12" fillId="0" borderId="12" xfId="0" applyNumberFormat="1" applyFont="1" applyFill="1" applyBorder="1" applyAlignment="1">
      <alignment horizontal="right" vertical="center" wrapText="1" indent="1"/>
    </xf>
    <xf numFmtId="172" fontId="13" fillId="0" borderId="48" xfId="0" applyNumberFormat="1" applyFont="1" applyFill="1" applyBorder="1" applyAlignment="1" applyProtection="1">
      <alignment horizontal="left" vertical="center" wrapText="1" indent="1"/>
      <protection locked="0"/>
    </xf>
    <xf numFmtId="173" fontId="0" fillId="0" borderId="48" xfId="0" applyNumberFormat="1" applyFont="1" applyFill="1" applyBorder="1" applyAlignment="1" applyProtection="1">
      <alignment horizontal="right" vertical="center" wrapText="1" indent="2"/>
      <protection locked="0"/>
    </xf>
    <xf numFmtId="173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72" fontId="13" fillId="0" borderId="12" xfId="0" applyNumberFormat="1" applyFont="1" applyFill="1" applyBorder="1" applyAlignment="1" applyProtection="1">
      <alignment vertical="center" wrapText="1"/>
      <protection locked="0"/>
    </xf>
    <xf numFmtId="172" fontId="13" fillId="0" borderId="18" xfId="0" applyNumberFormat="1" applyFont="1" applyFill="1" applyBorder="1" applyAlignment="1" applyProtection="1">
      <alignment vertical="center" wrapText="1"/>
      <protection locked="0"/>
    </xf>
    <xf numFmtId="172" fontId="0" fillId="24" borderId="26" xfId="0" applyNumberFormat="1" applyFont="1" applyFill="1" applyBorder="1" applyAlignment="1">
      <alignment horizontal="right" vertical="center" wrapText="1" indent="2"/>
    </xf>
    <xf numFmtId="172" fontId="0" fillId="24" borderId="39" xfId="0" applyNumberFormat="1" applyFont="1" applyFill="1" applyBorder="1" applyAlignment="1">
      <alignment horizontal="right" vertical="center" wrapText="1" indent="2"/>
    </xf>
    <xf numFmtId="0" fontId="6" fillId="0" borderId="15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72" fontId="13" fillId="0" borderId="24" xfId="0" applyNumberFormat="1" applyFont="1" applyFill="1" applyBorder="1" applyAlignment="1" applyProtection="1">
      <alignment vertical="center"/>
      <protection locked="0"/>
    </xf>
    <xf numFmtId="172" fontId="12" fillId="0" borderId="24" xfId="0" applyNumberFormat="1" applyFont="1" applyFill="1" applyBorder="1" applyAlignment="1" applyProtection="1">
      <alignment vertical="center"/>
      <protection/>
    </xf>
    <xf numFmtId="172" fontId="13" fillId="0" borderId="25" xfId="0" applyNumberFormat="1" applyFont="1" applyFill="1" applyBorder="1" applyAlignment="1" applyProtection="1">
      <alignment vertical="center"/>
      <protection locked="0"/>
    </xf>
    <xf numFmtId="0" fontId="13" fillId="0" borderId="51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vertical="center" wrapText="1"/>
      <protection/>
    </xf>
    <xf numFmtId="0" fontId="13" fillId="0" borderId="21" xfId="0" applyFont="1" applyFill="1" applyBorder="1" applyAlignment="1" applyProtection="1">
      <alignment vertical="center" wrapText="1"/>
      <protection locked="0"/>
    </xf>
    <xf numFmtId="172" fontId="13" fillId="0" borderId="21" xfId="0" applyNumberFormat="1" applyFont="1" applyFill="1" applyBorder="1" applyAlignment="1" applyProtection="1">
      <alignment vertical="center"/>
      <protection locked="0"/>
    </xf>
    <xf numFmtId="172" fontId="13" fillId="0" borderId="45" xfId="0" applyNumberFormat="1" applyFont="1" applyFill="1" applyBorder="1" applyAlignment="1" applyProtection="1">
      <alignment vertical="center"/>
      <protection locked="0"/>
    </xf>
    <xf numFmtId="172" fontId="12" fillId="0" borderId="50" xfId="0" applyNumberFormat="1" applyFont="1" applyFill="1" applyBorder="1" applyAlignment="1" applyProtection="1">
      <alignment vertical="center"/>
      <protection/>
    </xf>
    <xf numFmtId="172" fontId="12" fillId="0" borderId="22" xfId="0" applyNumberFormat="1" applyFont="1" applyFill="1" applyBorder="1" applyAlignment="1" applyProtection="1">
      <alignment vertical="center"/>
      <protection/>
    </xf>
    <xf numFmtId="172" fontId="6" fillId="0" borderId="15" xfId="0" applyNumberFormat="1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 applyProtection="1">
      <alignment horizontal="right" vertical="center" wrapText="1" indent="1"/>
      <protection/>
    </xf>
    <xf numFmtId="0" fontId="17" fillId="0" borderId="52" xfId="0" applyFont="1" applyFill="1" applyBorder="1" applyAlignment="1" applyProtection="1">
      <alignment horizontal="left" vertical="center" wrapText="1" inden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3" xfId="0" applyFont="1" applyFill="1" applyBorder="1" applyAlignment="1" applyProtection="1">
      <alignment horizontal="left" vertical="center" wrapText="1" indent="1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3" xfId="0" applyFont="1" applyFill="1" applyBorder="1" applyAlignment="1" applyProtection="1">
      <alignment horizontal="left" vertical="center" wrapText="1" indent="8"/>
      <protection locked="0"/>
    </xf>
    <xf numFmtId="0" fontId="13" fillId="0" borderId="51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right" vertical="center" indent="1"/>
    </xf>
    <xf numFmtId="0" fontId="13" fillId="0" borderId="36" xfId="0" applyFont="1" applyFill="1" applyBorder="1" applyAlignment="1" applyProtection="1">
      <alignment horizontal="left" vertical="center" indent="1"/>
      <protection locked="0"/>
    </xf>
    <xf numFmtId="3" fontId="13" fillId="0" borderId="42" xfId="0" applyNumberFormat="1" applyFont="1" applyFill="1" applyBorder="1" applyAlignment="1" applyProtection="1">
      <alignment horizontal="right" vertical="center"/>
      <protection locked="0"/>
    </xf>
    <xf numFmtId="3" fontId="13" fillId="0" borderId="57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18" xfId="0" applyNumberFormat="1" applyFont="1" applyFill="1" applyBorder="1" applyAlignment="1" applyProtection="1">
      <alignment horizontal="right" vertical="center"/>
      <protection locked="0"/>
    </xf>
    <xf numFmtId="0" fontId="13" fillId="0" borderId="14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5" xfId="0" applyNumberFormat="1" applyFont="1" applyFill="1" applyBorder="1" applyAlignment="1" applyProtection="1">
      <alignment horizontal="right" vertical="center"/>
      <protection locked="0"/>
    </xf>
    <xf numFmtId="3" fontId="13" fillId="0" borderId="58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>
      <alignment vertical="center"/>
    </xf>
    <xf numFmtId="172" fontId="12" fillId="0" borderId="15" xfId="0" applyNumberFormat="1" applyFont="1" applyFill="1" applyBorder="1" applyAlignment="1">
      <alignment vertical="center" wrapText="1"/>
    </xf>
    <xf numFmtId="172" fontId="12" fillId="0" borderId="16" xfId="0" applyNumberFormat="1" applyFont="1" applyFill="1" applyBorder="1" applyAlignment="1">
      <alignment vertical="center" wrapText="1"/>
    </xf>
    <xf numFmtId="0" fontId="29" fillId="0" borderId="0" xfId="62" applyFill="1">
      <alignment/>
      <protection/>
    </xf>
    <xf numFmtId="0" fontId="17" fillId="0" borderId="0" xfId="62" applyFont="1" applyFill="1">
      <alignment/>
      <protection/>
    </xf>
    <xf numFmtId="0" fontId="29" fillId="0" borderId="0" xfId="62" applyFont="1" applyFill="1">
      <alignment/>
      <protection/>
    </xf>
    <xf numFmtId="3" fontId="29" fillId="0" borderId="0" xfId="62" applyNumberFormat="1" applyFont="1" applyFill="1" applyAlignment="1">
      <alignment horizontal="center"/>
      <protection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51" xfId="61" applyNumberFormat="1" applyFont="1" applyFill="1" applyBorder="1" applyAlignment="1" applyProtection="1">
      <alignment horizontal="center" vertical="center" wrapText="1"/>
      <protection/>
    </xf>
    <xf numFmtId="49" fontId="12" fillId="0" borderId="21" xfId="61" applyNumberFormat="1" applyFont="1" applyFill="1" applyBorder="1" applyAlignment="1" applyProtection="1">
      <alignment horizontal="center" vertical="center"/>
      <protection/>
    </xf>
    <xf numFmtId="49" fontId="12" fillId="0" borderId="22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81" fontId="13" fillId="0" borderId="37" xfId="61" applyNumberFormat="1" applyFont="1" applyFill="1" applyBorder="1" applyAlignment="1" applyProtection="1">
      <alignment horizontal="center" vertical="center"/>
      <protection/>
    </xf>
    <xf numFmtId="182" fontId="13" fillId="0" borderId="59" xfId="61" applyNumberFormat="1" applyFont="1" applyFill="1" applyBorder="1" applyAlignment="1" applyProtection="1">
      <alignment vertical="center"/>
      <protection locked="0"/>
    </xf>
    <xf numFmtId="181" fontId="13" fillId="0" borderId="10" xfId="61" applyNumberFormat="1" applyFont="1" applyFill="1" applyBorder="1" applyAlignment="1" applyProtection="1">
      <alignment horizontal="center" vertical="center"/>
      <protection/>
    </xf>
    <xf numFmtId="182" fontId="13" fillId="0" borderId="18" xfId="61" applyNumberFormat="1" applyFont="1" applyFill="1" applyBorder="1" applyAlignment="1" applyProtection="1">
      <alignment vertical="center"/>
      <protection locked="0"/>
    </xf>
    <xf numFmtId="182" fontId="12" fillId="0" borderId="18" xfId="61" applyNumberFormat="1" applyFont="1" applyFill="1" applyBorder="1" applyAlignment="1" applyProtection="1">
      <alignment vertical="center"/>
      <protection/>
    </xf>
    <xf numFmtId="0" fontId="12" fillId="0" borderId="51" xfId="61" applyFont="1" applyFill="1" applyBorder="1" applyAlignment="1" applyProtection="1">
      <alignment horizontal="left" vertical="center" wrapText="1"/>
      <protection/>
    </xf>
    <xf numFmtId="181" fontId="13" fillId="0" borderId="21" xfId="61" applyNumberFormat="1" applyFont="1" applyFill="1" applyBorder="1" applyAlignment="1" applyProtection="1">
      <alignment horizontal="center" vertical="center"/>
      <protection/>
    </xf>
    <xf numFmtId="182" fontId="12" fillId="0" borderId="22" xfId="61" applyNumberFormat="1" applyFont="1" applyFill="1" applyBorder="1" applyAlignment="1" applyProtection="1">
      <alignment vertical="center"/>
      <protection/>
    </xf>
    <xf numFmtId="0" fontId="29" fillId="0" borderId="0" xfId="62" applyFont="1" applyFill="1" applyAlignment="1">
      <alignment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16" fillId="0" borderId="17" xfId="62" applyFont="1" applyFill="1" applyBorder="1" applyAlignment="1">
      <alignment horizontal="center" vertical="center"/>
      <protection/>
    </xf>
    <xf numFmtId="0" fontId="16" fillId="0" borderId="15" xfId="62" applyFont="1" applyFill="1" applyBorder="1" applyAlignment="1">
      <alignment horizontal="center" vertical="center" wrapText="1"/>
      <protection/>
    </xf>
    <xf numFmtId="0" fontId="16" fillId="0" borderId="16" xfId="62" applyFont="1" applyFill="1" applyBorder="1" applyAlignment="1">
      <alignment horizontal="center" vertical="center" wrapText="1"/>
      <protection/>
    </xf>
    <xf numFmtId="0" fontId="17" fillId="0" borderId="34" xfId="62" applyFont="1" applyFill="1" applyBorder="1" applyAlignment="1" applyProtection="1">
      <alignment horizontal="left" indent="1"/>
      <protection locked="0"/>
    </xf>
    <xf numFmtId="0" fontId="17" fillId="0" borderId="37" xfId="62" applyFont="1" applyFill="1" applyBorder="1" applyAlignment="1">
      <alignment horizontal="right" indent="1"/>
      <protection/>
    </xf>
    <xf numFmtId="3" fontId="17" fillId="0" borderId="37" xfId="62" applyNumberFormat="1" applyFont="1" applyFill="1" applyBorder="1" applyProtection="1">
      <alignment/>
      <protection locked="0"/>
    </xf>
    <xf numFmtId="3" fontId="17" fillId="0" borderId="59" xfId="62" applyNumberFormat="1" applyFont="1" applyFill="1" applyBorder="1" applyProtection="1">
      <alignment/>
      <protection locked="0"/>
    </xf>
    <xf numFmtId="0" fontId="17" fillId="0" borderId="12" xfId="62" applyFont="1" applyFill="1" applyBorder="1" applyAlignment="1" applyProtection="1">
      <alignment horizontal="left" indent="1"/>
      <protection locked="0"/>
    </xf>
    <xf numFmtId="0" fontId="17" fillId="0" borderId="10" xfId="62" applyFont="1" applyFill="1" applyBorder="1" applyAlignment="1">
      <alignment horizontal="right" indent="1"/>
      <protection/>
    </xf>
    <xf numFmtId="3" fontId="17" fillId="0" borderId="10" xfId="62" applyNumberFormat="1" applyFont="1" applyFill="1" applyBorder="1" applyProtection="1">
      <alignment/>
      <protection locked="0"/>
    </xf>
    <xf numFmtId="3" fontId="17" fillId="0" borderId="18" xfId="62" applyNumberFormat="1" applyFont="1" applyFill="1" applyBorder="1" applyProtection="1">
      <alignment/>
      <protection locked="0"/>
    </xf>
    <xf numFmtId="0" fontId="17" fillId="0" borderId="12" xfId="62" applyFont="1" applyFill="1" applyBorder="1" applyProtection="1">
      <alignment/>
      <protection locked="0"/>
    </xf>
    <xf numFmtId="0" fontId="17" fillId="0" borderId="14" xfId="62" applyFont="1" applyFill="1" applyBorder="1" applyProtection="1">
      <alignment/>
      <protection locked="0"/>
    </xf>
    <xf numFmtId="0" fontId="17" fillId="0" borderId="11" xfId="62" applyFont="1" applyFill="1" applyBorder="1" applyAlignment="1">
      <alignment horizontal="right" indent="1"/>
      <protection/>
    </xf>
    <xf numFmtId="3" fontId="17" fillId="0" borderId="11" xfId="62" applyNumberFormat="1" applyFont="1" applyFill="1" applyBorder="1" applyProtection="1">
      <alignment/>
      <protection locked="0"/>
    </xf>
    <xf numFmtId="3" fontId="17" fillId="0" borderId="58" xfId="62" applyNumberFormat="1" applyFont="1" applyFill="1" applyBorder="1" applyProtection="1">
      <alignment/>
      <protection locked="0"/>
    </xf>
    <xf numFmtId="3" fontId="17" fillId="0" borderId="60" xfId="62" applyNumberFormat="1" applyFont="1" applyFill="1" applyBorder="1">
      <alignment/>
      <protection/>
    </xf>
    <xf numFmtId="0" fontId="34" fillId="0" borderId="0" xfId="62" applyFont="1" applyFill="1">
      <alignment/>
      <protection/>
    </xf>
    <xf numFmtId="0" fontId="35" fillId="0" borderId="17" xfId="62" applyFont="1" applyFill="1" applyBorder="1" applyAlignment="1">
      <alignment horizontal="center" vertical="center"/>
      <protection/>
    </xf>
    <xf numFmtId="0" fontId="35" fillId="0" borderId="15" xfId="62" applyFont="1" applyFill="1" applyBorder="1" applyAlignment="1">
      <alignment horizontal="center" vertical="center" wrapText="1"/>
      <protection/>
    </xf>
    <xf numFmtId="0" fontId="35" fillId="0" borderId="16" xfId="62" applyFont="1" applyFill="1" applyBorder="1" applyAlignment="1">
      <alignment horizontal="center" vertical="center" wrapText="1"/>
      <protection/>
    </xf>
    <xf numFmtId="0" fontId="17" fillId="0" borderId="51" xfId="62" applyFont="1" applyFill="1" applyBorder="1" applyAlignment="1" applyProtection="1">
      <alignment horizontal="left" indent="1"/>
      <protection locked="0"/>
    </xf>
    <xf numFmtId="0" fontId="17" fillId="0" borderId="21" xfId="62" applyFont="1" applyFill="1" applyBorder="1" applyAlignment="1">
      <alignment horizontal="right" indent="1"/>
      <protection/>
    </xf>
    <xf numFmtId="3" fontId="17" fillId="0" borderId="21" xfId="62" applyNumberFormat="1" applyFont="1" applyFill="1" applyBorder="1" applyProtection="1">
      <alignment/>
      <protection locked="0"/>
    </xf>
    <xf numFmtId="3" fontId="17" fillId="0" borderId="22" xfId="62" applyNumberFormat="1" applyFont="1" applyFill="1" applyBorder="1" applyProtection="1">
      <alignment/>
      <protection locked="0"/>
    </xf>
    <xf numFmtId="0" fontId="34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4" xfId="0" applyFill="1" applyBorder="1" applyAlignment="1">
      <alignment horizontal="center" vertical="center"/>
    </xf>
    <xf numFmtId="0" fontId="0" fillId="0" borderId="37" xfId="0" applyFill="1" applyBorder="1" applyAlignment="1" applyProtection="1">
      <alignment horizontal="left" vertical="center" wrapText="1" indent="1"/>
      <protection locked="0"/>
    </xf>
    <xf numFmtId="183" fontId="6" fillId="0" borderId="59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indent="5"/>
    </xf>
    <xf numFmtId="183" fontId="11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4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83" fontId="11" fillId="0" borderId="58" xfId="0" applyNumberFormat="1" applyFont="1" applyFill="1" applyBorder="1" applyAlignment="1" applyProtection="1">
      <alignment horizontal="right" vertical="center"/>
      <protection locked="0"/>
    </xf>
    <xf numFmtId="0" fontId="0" fillId="0" borderId="46" xfId="0" applyFill="1" applyBorder="1" applyAlignment="1">
      <alignment horizontal="center" vertical="center"/>
    </xf>
    <xf numFmtId="0" fontId="0" fillId="0" borderId="36" xfId="0" applyFill="1" applyBorder="1" applyAlignment="1" applyProtection="1">
      <alignment horizontal="left" vertical="center" wrapText="1" indent="1"/>
      <protection locked="0"/>
    </xf>
    <xf numFmtId="0" fontId="0" fillId="0" borderId="51" xfId="0" applyFill="1" applyBorder="1" applyAlignment="1">
      <alignment horizontal="center" vertical="center"/>
    </xf>
    <xf numFmtId="0" fontId="37" fillId="0" borderId="21" xfId="0" applyFont="1" applyFill="1" applyBorder="1" applyAlignment="1">
      <alignment horizontal="left" vertical="center" indent="5"/>
    </xf>
    <xf numFmtId="183" fontId="11" fillId="0" borderId="22" xfId="0" applyNumberFormat="1" applyFont="1" applyFill="1" applyBorder="1" applyAlignment="1" applyProtection="1">
      <alignment horizontal="right" vertical="center"/>
      <protection locked="0"/>
    </xf>
    <xf numFmtId="0" fontId="12" fillId="0" borderId="17" xfId="0" applyFont="1" applyFill="1" applyBorder="1" applyAlignment="1">
      <alignment horizontal="right" vertical="center" wrapText="1" indent="1"/>
    </xf>
    <xf numFmtId="0" fontId="12" fillId="0" borderId="15" xfId="0" applyFont="1" applyFill="1" applyBorder="1" applyAlignment="1">
      <alignment vertical="center" wrapText="1"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horizontal="center"/>
      <protection/>
    </xf>
    <xf numFmtId="0" fontId="40" fillId="0" borderId="17" xfId="0" applyFont="1" applyBorder="1" applyAlignment="1" applyProtection="1">
      <alignment horizontal="center" vertical="center" wrapText="1"/>
      <protection/>
    </xf>
    <xf numFmtId="0" fontId="39" fillId="0" borderId="15" xfId="0" applyFont="1" applyBorder="1" applyAlignment="1" applyProtection="1">
      <alignment horizontal="center" vertical="center" wrapText="1"/>
      <protection/>
    </xf>
    <xf numFmtId="0" fontId="39" fillId="0" borderId="16" xfId="0" applyFont="1" applyBorder="1" applyAlignment="1" applyProtection="1">
      <alignment horizontal="center" vertical="center" wrapText="1"/>
      <protection/>
    </xf>
    <xf numFmtId="0" fontId="39" fillId="0" borderId="34" xfId="0" applyFont="1" applyBorder="1" applyAlignment="1" applyProtection="1">
      <alignment horizontal="center" vertical="top" wrapText="1"/>
      <protection/>
    </xf>
    <xf numFmtId="0" fontId="39" fillId="0" borderId="12" xfId="0" applyFont="1" applyBorder="1" applyAlignment="1" applyProtection="1">
      <alignment horizontal="center" vertical="top" wrapText="1"/>
      <protection/>
    </xf>
    <xf numFmtId="0" fontId="39" fillId="0" borderId="14" xfId="0" applyFont="1" applyBorder="1" applyAlignment="1" applyProtection="1">
      <alignment horizontal="center" vertical="top" wrapText="1"/>
      <protection/>
    </xf>
    <xf numFmtId="0" fontId="39" fillId="25" borderId="15" xfId="0" applyFont="1" applyFill="1" applyBorder="1" applyAlignment="1" applyProtection="1">
      <alignment horizontal="center" vertical="top" wrapText="1"/>
      <protection/>
    </xf>
    <xf numFmtId="0" fontId="41" fillId="0" borderId="37" xfId="0" applyFont="1" applyBorder="1" applyAlignment="1" applyProtection="1">
      <alignment horizontal="left" vertical="top" wrapText="1"/>
      <protection locked="0"/>
    </xf>
    <xf numFmtId="0" fontId="41" fillId="0" borderId="10" xfId="0" applyFont="1" applyBorder="1" applyAlignment="1" applyProtection="1">
      <alignment horizontal="left" vertical="top" wrapText="1"/>
      <protection locked="0"/>
    </xf>
    <xf numFmtId="0" fontId="41" fillId="0" borderId="11" xfId="0" applyFont="1" applyBorder="1" applyAlignment="1" applyProtection="1">
      <alignment horizontal="left" vertical="top" wrapText="1"/>
      <protection locked="0"/>
    </xf>
    <xf numFmtId="9" fontId="41" fillId="0" borderId="37" xfId="69" applyFont="1" applyBorder="1" applyAlignment="1" applyProtection="1">
      <alignment horizontal="center" vertical="center" wrapText="1"/>
      <protection locked="0"/>
    </xf>
    <xf numFmtId="9" fontId="41" fillId="0" borderId="10" xfId="69" applyFont="1" applyBorder="1" applyAlignment="1" applyProtection="1">
      <alignment horizontal="center" vertical="center" wrapText="1"/>
      <protection locked="0"/>
    </xf>
    <xf numFmtId="9" fontId="41" fillId="0" borderId="11" xfId="69" applyFont="1" applyBorder="1" applyAlignment="1" applyProtection="1">
      <alignment horizontal="center" vertical="center" wrapText="1"/>
      <protection locked="0"/>
    </xf>
    <xf numFmtId="174" fontId="41" fillId="0" borderId="37" xfId="46" applyNumberFormat="1" applyFont="1" applyBorder="1" applyAlignment="1" applyProtection="1">
      <alignment horizontal="center" vertical="center" wrapText="1"/>
      <protection locked="0"/>
    </xf>
    <xf numFmtId="174" fontId="41" fillId="0" borderId="10" xfId="46" applyNumberFormat="1" applyFont="1" applyBorder="1" applyAlignment="1" applyProtection="1">
      <alignment horizontal="center" vertical="center" wrapText="1"/>
      <protection locked="0"/>
    </xf>
    <xf numFmtId="174" fontId="41" fillId="0" borderId="11" xfId="46" applyNumberFormat="1" applyFont="1" applyBorder="1" applyAlignment="1" applyProtection="1">
      <alignment horizontal="center" vertical="center" wrapText="1"/>
      <protection locked="0"/>
    </xf>
    <xf numFmtId="174" fontId="41" fillId="0" borderId="15" xfId="46" applyNumberFormat="1" applyFont="1" applyBorder="1" applyAlignment="1" applyProtection="1">
      <alignment horizontal="center" vertical="center" wrapText="1"/>
      <protection/>
    </xf>
    <xf numFmtId="174" fontId="41" fillId="0" borderId="59" xfId="46" applyNumberFormat="1" applyFont="1" applyBorder="1" applyAlignment="1" applyProtection="1">
      <alignment horizontal="center" vertical="top" wrapText="1"/>
      <protection locked="0"/>
    </xf>
    <xf numFmtId="174" fontId="41" fillId="0" borderId="18" xfId="46" applyNumberFormat="1" applyFont="1" applyBorder="1" applyAlignment="1" applyProtection="1">
      <alignment horizontal="center" vertical="top" wrapText="1"/>
      <protection locked="0"/>
    </xf>
    <xf numFmtId="174" fontId="41" fillId="0" borderId="58" xfId="46" applyNumberFormat="1" applyFont="1" applyBorder="1" applyAlignment="1" applyProtection="1">
      <alignment horizontal="center" vertical="top" wrapText="1"/>
      <protection locked="0"/>
    </xf>
    <xf numFmtId="174" fontId="41" fillId="0" borderId="16" xfId="46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4" xfId="0" applyFont="1" applyFill="1" applyBorder="1" applyAlignment="1" applyProtection="1">
      <alignment horizontal="right" vertical="center" wrapText="1" indent="1"/>
      <protection/>
    </xf>
    <xf numFmtId="0" fontId="13" fillId="0" borderId="37" xfId="0" applyFont="1" applyFill="1" applyBorder="1" applyAlignment="1" applyProtection="1">
      <alignment horizontal="left" vertical="center" wrapText="1"/>
      <protection locked="0"/>
    </xf>
    <xf numFmtId="172" fontId="13" fillId="0" borderId="37" xfId="0" applyNumberFormat="1" applyFont="1" applyFill="1" applyBorder="1" applyAlignment="1" applyProtection="1">
      <alignment vertical="center" wrapText="1"/>
      <protection locked="0"/>
    </xf>
    <xf numFmtId="172" fontId="13" fillId="0" borderId="37" xfId="0" applyNumberFormat="1" applyFont="1" applyFill="1" applyBorder="1" applyAlignment="1" applyProtection="1">
      <alignment vertical="center" wrapText="1"/>
      <protection/>
    </xf>
    <xf numFmtId="172" fontId="13" fillId="0" borderId="59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72" fontId="13" fillId="0" borderId="58" xfId="0" applyNumberFormat="1" applyFont="1" applyFill="1" applyBorder="1" applyAlignment="1" applyProtection="1">
      <alignment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21" fillId="0" borderId="55" xfId="61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72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8" fillId="0" borderId="15" xfId="0" applyFont="1" applyBorder="1" applyAlignment="1" applyProtection="1">
      <alignment vertical="center" wrapText="1"/>
      <protection/>
    </xf>
    <xf numFmtId="172" fontId="13" fillId="0" borderId="61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2" xfId="0" applyFont="1" applyBorder="1" applyAlignment="1" applyProtection="1">
      <alignment vertical="center" wrapText="1"/>
      <protection/>
    </xf>
    <xf numFmtId="172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172" fontId="16" fillId="0" borderId="38" xfId="0" applyNumberFormat="1" applyFont="1" applyBorder="1" applyAlignment="1" applyProtection="1" quotePrefix="1">
      <alignment horizontal="right" vertical="center" wrapText="1" indent="1"/>
      <protection/>
    </xf>
    <xf numFmtId="172" fontId="18" fillId="0" borderId="38" xfId="0" applyNumberFormat="1" applyFont="1" applyBorder="1" applyAlignment="1" applyProtection="1">
      <alignment horizontal="right" vertical="center" wrapText="1" indent="1"/>
      <protection/>
    </xf>
    <xf numFmtId="172" fontId="13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63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9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37" xfId="60" applyFont="1" applyFill="1" applyBorder="1" applyAlignment="1" applyProtection="1">
      <alignment horizontal="left" vertical="center" wrapText="1" indent="1"/>
      <protection/>
    </xf>
    <xf numFmtId="0" fontId="13" fillId="0" borderId="36" xfId="60" applyFont="1" applyFill="1" applyBorder="1" applyAlignment="1" applyProtection="1">
      <alignment horizontal="left" vertical="center" wrapText="1" indent="1"/>
      <protection/>
    </xf>
    <xf numFmtId="0" fontId="13" fillId="0" borderId="53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7" xfId="60" applyFont="1" applyFill="1" applyBorder="1" applyAlignment="1" applyProtection="1">
      <alignment horizontal="left" vertical="center" wrapText="1" indent="1"/>
      <protection/>
    </xf>
    <xf numFmtId="0" fontId="12" fillId="0" borderId="15" xfId="60" applyFont="1" applyFill="1" applyBorder="1" applyAlignment="1" applyProtection="1">
      <alignment horizontal="left" vertical="center" wrapText="1" indent="1"/>
      <protection/>
    </xf>
    <xf numFmtId="0" fontId="12" fillId="0" borderId="54" xfId="60" applyFont="1" applyFill="1" applyBorder="1" applyAlignment="1" applyProtection="1">
      <alignment horizontal="left" vertical="center" wrapText="1" indent="1"/>
      <protection/>
    </xf>
    <xf numFmtId="0" fontId="12" fillId="0" borderId="15" xfId="60" applyFont="1" applyFill="1" applyBorder="1" applyAlignment="1" applyProtection="1">
      <alignment vertical="center" wrapText="1"/>
      <protection/>
    </xf>
    <xf numFmtId="0" fontId="12" fillId="0" borderId="55" xfId="60" applyFont="1" applyFill="1" applyBorder="1" applyAlignment="1" applyProtection="1">
      <alignment vertical="center" wrapText="1"/>
      <protection/>
    </xf>
    <xf numFmtId="0" fontId="12" fillId="0" borderId="17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left" vertical="center" wrapText="1" indent="1"/>
      <protection/>
    </xf>
    <xf numFmtId="0" fontId="4" fillId="0" borderId="20" xfId="0" applyFont="1" applyFill="1" applyBorder="1" applyAlignment="1" applyProtection="1">
      <alignment horizontal="right"/>
      <protection/>
    </xf>
    <xf numFmtId="172" fontId="21" fillId="0" borderId="20" xfId="60" applyNumberFormat="1" applyFont="1" applyFill="1" applyBorder="1" applyAlignment="1" applyProtection="1">
      <alignment horizontal="left" vertical="center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21" xfId="60" applyFont="1" applyFill="1" applyBorder="1" applyAlignment="1" applyProtection="1">
      <alignment horizontal="left" vertical="center" wrapText="1" indent="6"/>
      <protection/>
    </xf>
    <xf numFmtId="172" fontId="12" fillId="0" borderId="38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5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5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66" xfId="0" applyFont="1" applyBorder="1" applyAlignment="1" applyProtection="1">
      <alignment horizontal="left" vertical="center" wrapText="1" indent="1"/>
      <protection/>
    </xf>
    <xf numFmtId="172" fontId="12" fillId="0" borderId="16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20" xfId="0" applyFont="1" applyFill="1" applyBorder="1" applyAlignment="1" applyProtection="1">
      <alignment horizontal="right" vertical="center"/>
      <protection/>
    </xf>
    <xf numFmtId="0" fontId="16" fillId="0" borderId="62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72" fontId="12" fillId="0" borderId="55" xfId="60" applyNumberFormat="1" applyFont="1" applyFill="1" applyBorder="1" applyAlignment="1" applyProtection="1">
      <alignment horizontal="right" vertical="center" wrapText="1" indent="1"/>
      <protection/>
    </xf>
    <xf numFmtId="172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37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7" fillId="0" borderId="37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4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5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72" fontId="12" fillId="0" borderId="38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38" xfId="60" applyFont="1" applyFill="1" applyBorder="1" applyAlignment="1" applyProtection="1">
      <alignment horizontal="center" vertical="center" wrapText="1"/>
      <protection/>
    </xf>
    <xf numFmtId="172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7" xfId="0" applyFont="1" applyBorder="1" applyAlignment="1" applyProtection="1">
      <alignment vertical="center" wrapText="1"/>
      <protection/>
    </xf>
    <xf numFmtId="0" fontId="17" fillId="0" borderId="14" xfId="0" applyFont="1" applyBorder="1" applyAlignment="1" applyProtection="1">
      <alignment vertical="center" wrapText="1"/>
      <protection/>
    </xf>
    <xf numFmtId="0" fontId="18" fillId="0" borderId="66" xfId="0" applyFont="1" applyBorder="1" applyAlignment="1" applyProtection="1">
      <alignment vertical="center" wrapText="1"/>
      <protection/>
    </xf>
    <xf numFmtId="172" fontId="12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72" fontId="6" fillId="0" borderId="39" xfId="0" applyNumberFormat="1" applyFont="1" applyFill="1" applyBorder="1" applyAlignment="1" applyProtection="1">
      <alignment horizontal="center" vertical="center" wrapText="1"/>
      <protection/>
    </xf>
    <xf numFmtId="172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72" fontId="5" fillId="0" borderId="0" xfId="0" applyNumberFormat="1" applyFont="1" applyFill="1" applyAlignment="1" applyProtection="1">
      <alignment horizontal="centerContinuous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3" fillId="0" borderId="0" xfId="0" applyNumberFormat="1" applyFont="1" applyFill="1" applyAlignment="1" applyProtection="1">
      <alignment horizontal="center" vertical="center" wrapText="1"/>
      <protection/>
    </xf>
    <xf numFmtId="172" fontId="12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67" xfId="0" applyNumberFormat="1" applyFill="1" applyBorder="1" applyAlignment="1" applyProtection="1">
      <alignment horizontal="left" vertical="center" wrapText="1" indent="1"/>
      <protection/>
    </xf>
    <xf numFmtId="172" fontId="13" fillId="0" borderId="34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48" xfId="0" applyNumberFormat="1" applyFill="1" applyBorder="1" applyAlignment="1" applyProtection="1">
      <alignment horizontal="left" vertical="center" wrapText="1" indent="1"/>
      <protection/>
    </xf>
    <xf numFmtId="172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68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26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69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72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6" fillId="0" borderId="16" xfId="0" applyNumberFormat="1" applyFont="1" applyFill="1" applyBorder="1" applyAlignment="1" applyProtection="1">
      <alignment horizontal="center" vertical="center" wrapText="1"/>
      <protection/>
    </xf>
    <xf numFmtId="172" fontId="12" fillId="0" borderId="66" xfId="0" applyNumberFormat="1" applyFont="1" applyFill="1" applyBorder="1" applyAlignment="1" applyProtection="1">
      <alignment horizontal="center" vertical="center" wrapText="1"/>
      <protection/>
    </xf>
    <xf numFmtId="172" fontId="12" fillId="0" borderId="62" xfId="0" applyNumberFormat="1" applyFont="1" applyFill="1" applyBorder="1" applyAlignment="1" applyProtection="1">
      <alignment horizontal="center" vertical="center" wrapText="1"/>
      <protection/>
    </xf>
    <xf numFmtId="172" fontId="12" fillId="0" borderId="70" xfId="0" applyNumberFormat="1" applyFont="1" applyFill="1" applyBorder="1" applyAlignment="1" applyProtection="1">
      <alignment horizontal="center" vertical="center" wrapText="1"/>
      <protection/>
    </xf>
    <xf numFmtId="172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72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72" fontId="6" fillId="0" borderId="17" xfId="0" applyNumberFormat="1" applyFont="1" applyFill="1" applyBorder="1" applyAlignment="1" applyProtection="1">
      <alignment horizontal="centerContinuous" vertical="center" wrapText="1"/>
      <protection/>
    </xf>
    <xf numFmtId="172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72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72" fontId="12" fillId="0" borderId="26" xfId="0" applyNumberFormat="1" applyFont="1" applyFill="1" applyBorder="1" applyAlignment="1" applyProtection="1">
      <alignment horizontal="center" vertical="center" wrapText="1"/>
      <protection/>
    </xf>
    <xf numFmtId="172" fontId="12" fillId="0" borderId="17" xfId="0" applyNumberFormat="1" applyFont="1" applyFill="1" applyBorder="1" applyAlignment="1" applyProtection="1">
      <alignment horizontal="center" vertical="center" wrapText="1"/>
      <protection/>
    </xf>
    <xf numFmtId="172" fontId="12" fillId="0" borderId="15" xfId="0" applyNumberFormat="1" applyFont="1" applyFill="1" applyBorder="1" applyAlignment="1" applyProtection="1">
      <alignment horizontal="center" vertical="center" wrapText="1"/>
      <protection/>
    </xf>
    <xf numFmtId="172" fontId="12" fillId="0" borderId="16" xfId="0" applyNumberFormat="1" applyFont="1" applyFill="1" applyBorder="1" applyAlignment="1" applyProtection="1">
      <alignment horizontal="center" vertical="center" wrapText="1"/>
      <protection/>
    </xf>
    <xf numFmtId="172" fontId="13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72" fontId="19" fillId="0" borderId="13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72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72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34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34" xfId="0" applyNumberFormat="1" applyFont="1" applyFill="1" applyBorder="1" applyAlignment="1" applyProtection="1">
      <alignment horizontal="left" vertical="center" wrapText="1" indent="2"/>
      <protection/>
    </xf>
    <xf numFmtId="172" fontId="13" fillId="0" borderId="14" xfId="0" applyNumberFormat="1" applyFont="1" applyFill="1" applyBorder="1" applyAlignment="1" applyProtection="1">
      <alignment horizontal="left" vertical="center" wrapText="1" indent="2"/>
      <protection/>
    </xf>
    <xf numFmtId="172" fontId="19" fillId="0" borderId="37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69" xfId="0" applyNumberFormat="1" applyFill="1" applyBorder="1" applyAlignment="1" applyProtection="1">
      <alignment horizontal="left" vertical="center" wrapText="1" indent="1"/>
      <protection/>
    </xf>
    <xf numFmtId="172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72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72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71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72" fontId="2" fillId="0" borderId="0" xfId="0" applyNumberFormat="1" applyFont="1" applyFill="1" applyAlignment="1" applyProtection="1">
      <alignment horizontal="left" vertical="center" wrapText="1"/>
      <protection/>
    </xf>
    <xf numFmtId="172" fontId="2" fillId="0" borderId="0" xfId="0" applyNumberFormat="1" applyFont="1" applyFill="1" applyAlignment="1" applyProtection="1">
      <alignment vertical="center" wrapText="1"/>
      <protection/>
    </xf>
    <xf numFmtId="172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39" xfId="0" applyFont="1" applyFill="1" applyBorder="1" applyAlignment="1" applyProtection="1">
      <alignment vertical="center" wrapText="1"/>
      <protection/>
    </xf>
    <xf numFmtId="172" fontId="12" fillId="0" borderId="56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57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8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9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6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22" xfId="60" applyNumberFormat="1" applyFont="1" applyFill="1" applyBorder="1" applyAlignment="1" applyProtection="1">
      <alignment horizontal="right" vertical="center" wrapText="1" indent="1"/>
      <protection locked="0"/>
    </xf>
    <xf numFmtId="172" fontId="18" fillId="0" borderId="16" xfId="0" applyNumberFormat="1" applyFont="1" applyBorder="1" applyAlignment="1" applyProtection="1">
      <alignment horizontal="right" vertical="center" wrapText="1" indent="1"/>
      <protection/>
    </xf>
    <xf numFmtId="0" fontId="6" fillId="0" borderId="57" xfId="0" applyFont="1" applyFill="1" applyBorder="1" applyAlignment="1" applyProtection="1" quotePrefix="1">
      <alignment horizontal="right" vertical="center" indent="1"/>
      <protection/>
    </xf>
    <xf numFmtId="172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12" fillId="0" borderId="54" xfId="6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62" xfId="0" applyFont="1" applyBorder="1" applyAlignment="1" applyProtection="1">
      <alignment wrapText="1"/>
      <protection/>
    </xf>
    <xf numFmtId="172" fontId="16" fillId="0" borderId="16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4" xfId="60" applyNumberFormat="1" applyFont="1" applyFill="1" applyBorder="1" applyAlignment="1" applyProtection="1">
      <alignment horizontal="center" vertical="center" wrapText="1"/>
      <protection/>
    </xf>
    <xf numFmtId="49" fontId="13" fillId="0" borderId="12" xfId="60" applyNumberFormat="1" applyFont="1" applyFill="1" applyBorder="1" applyAlignment="1" applyProtection="1">
      <alignment horizontal="center" vertical="center" wrapText="1"/>
      <protection/>
    </xf>
    <xf numFmtId="49" fontId="13" fillId="0" borderId="14" xfId="6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7" fillId="0" borderId="34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4" xfId="0" applyFont="1" applyBorder="1" applyAlignment="1" applyProtection="1">
      <alignment horizontal="center" wrapText="1"/>
      <protection/>
    </xf>
    <xf numFmtId="0" fontId="18" fillId="0" borderId="66" xfId="0" applyFont="1" applyBorder="1" applyAlignment="1" applyProtection="1">
      <alignment horizontal="center" wrapText="1"/>
      <protection/>
    </xf>
    <xf numFmtId="49" fontId="13" fillId="0" borderId="46" xfId="60" applyNumberFormat="1" applyFont="1" applyFill="1" applyBorder="1" applyAlignment="1" applyProtection="1">
      <alignment horizontal="center" vertical="center" wrapText="1"/>
      <protection/>
    </xf>
    <xf numFmtId="49" fontId="13" fillId="0" borderId="13" xfId="60" applyNumberFormat="1" applyFont="1" applyFill="1" applyBorder="1" applyAlignment="1" applyProtection="1">
      <alignment horizontal="center" vertical="center" wrapText="1"/>
      <protection/>
    </xf>
    <xf numFmtId="49" fontId="13" fillId="0" borderId="51" xfId="60" applyNumberFormat="1" applyFont="1" applyFill="1" applyBorder="1" applyAlignment="1" applyProtection="1">
      <alignment horizontal="center" vertical="center" wrapText="1"/>
      <protection/>
    </xf>
    <xf numFmtId="0" fontId="18" fillId="0" borderId="66" xfId="0" applyFont="1" applyBorder="1" applyAlignment="1" applyProtection="1">
      <alignment horizontal="center" vertical="center" wrapText="1"/>
      <protection/>
    </xf>
    <xf numFmtId="0" fontId="6" fillId="0" borderId="7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72" fontId="1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2" xfId="60" applyFont="1" applyFill="1" applyBorder="1" applyAlignment="1" applyProtection="1">
      <alignment horizontal="left" vertical="center" wrapText="1" inden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left" vertical="center" wrapText="1" inden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3" fillId="0" borderId="39" xfId="0" applyFont="1" applyBorder="1" applyAlignment="1" applyProtection="1">
      <alignment horizontal="left" wrapText="1" indent="1"/>
      <protection/>
    </xf>
    <xf numFmtId="0" fontId="6" fillId="0" borderId="1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72" fontId="1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38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57" xfId="0" applyNumberFormat="1" applyFont="1" applyFill="1" applyBorder="1" applyAlignment="1" applyProtection="1">
      <alignment horizontal="right" vertical="center"/>
      <protection/>
    </xf>
    <xf numFmtId="49" fontId="6" fillId="0" borderId="71" xfId="0" applyNumberFormat="1" applyFont="1" applyFill="1" applyBorder="1" applyAlignment="1" applyProtection="1">
      <alignment horizontal="right" vertical="center"/>
      <protection/>
    </xf>
    <xf numFmtId="49" fontId="13" fillId="0" borderId="46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4" xfId="0" applyNumberFormat="1" applyFont="1" applyFill="1" applyBorder="1" applyAlignment="1" applyProtection="1">
      <alignment horizontal="center" vertical="center" wrapText="1"/>
      <protection/>
    </xf>
    <xf numFmtId="0" fontId="13" fillId="0" borderId="37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62" xfId="60" applyFont="1" applyFill="1" applyBorder="1" applyAlignment="1" applyProtection="1" quotePrefix="1">
      <alignment horizontal="left" vertical="center" wrapText="1" indent="1"/>
      <protection/>
    </xf>
    <xf numFmtId="172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60" applyFont="1" applyFill="1" applyBorder="1" applyAlignment="1" applyProtection="1">
      <alignment horizontal="left" vertical="center" wrapText="1"/>
      <protection/>
    </xf>
    <xf numFmtId="172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172" fontId="12" fillId="0" borderId="32" xfId="0" applyNumberFormat="1" applyFont="1" applyFill="1" applyBorder="1" applyAlignment="1" applyProtection="1">
      <alignment horizontal="center" vertical="center" wrapText="1"/>
      <protection/>
    </xf>
    <xf numFmtId="172" fontId="12" fillId="0" borderId="50" xfId="0" applyNumberFormat="1" applyFont="1" applyFill="1" applyBorder="1" applyAlignment="1" applyProtection="1">
      <alignment horizontal="center" vertical="center" wrapText="1"/>
      <protection/>
    </xf>
    <xf numFmtId="172" fontId="12" fillId="0" borderId="69" xfId="0" applyNumberFormat="1" applyFont="1" applyFill="1" applyBorder="1" applyAlignment="1" applyProtection="1">
      <alignment horizontal="center" vertical="center" wrapText="1"/>
      <protection/>
    </xf>
    <xf numFmtId="0" fontId="17" fillId="0" borderId="34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72" fontId="13" fillId="26" borderId="10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26" borderId="11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39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5" xfId="60" applyFont="1" applyFill="1" applyBorder="1" applyAlignment="1" applyProtection="1">
      <alignment horizontal="left" vertical="center" wrapText="1"/>
      <protection/>
    </xf>
    <xf numFmtId="0" fontId="17" fillId="0" borderId="37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5" xfId="0" applyFont="1" applyBorder="1" applyAlignment="1" applyProtection="1">
      <alignment horizontal="left" vertical="center" wrapText="1"/>
      <protection/>
    </xf>
    <xf numFmtId="0" fontId="13" fillId="0" borderId="36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3" fillId="0" borderId="53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21" xfId="60" applyFont="1" applyFill="1" applyBorder="1" applyAlignment="1" applyProtection="1">
      <alignment horizontal="left" vertical="center" wrapText="1"/>
      <protection/>
    </xf>
    <xf numFmtId="0" fontId="13" fillId="0" borderId="37" xfId="60" applyFont="1" applyFill="1" applyBorder="1" applyAlignment="1" applyProtection="1">
      <alignment horizontal="left" vertical="center" wrapText="1"/>
      <protection/>
    </xf>
    <xf numFmtId="0" fontId="13" fillId="0" borderId="19" xfId="60" applyFont="1" applyFill="1" applyBorder="1" applyAlignment="1" applyProtection="1">
      <alignment horizontal="left" vertical="center" wrapText="1"/>
      <protection/>
    </xf>
    <xf numFmtId="0" fontId="16" fillId="0" borderId="62" xfId="0" applyFont="1" applyBorder="1" applyAlignment="1" applyProtection="1">
      <alignment horizontal="left" vertical="center" wrapText="1"/>
      <protection/>
    </xf>
    <xf numFmtId="0" fontId="29" fillId="0" borderId="0" xfId="62" applyFill="1" applyProtection="1">
      <alignment/>
      <protection/>
    </xf>
    <xf numFmtId="0" fontId="43" fillId="0" borderId="0" xfId="62" applyFont="1" applyFill="1" applyProtection="1">
      <alignment/>
      <protection/>
    </xf>
    <xf numFmtId="0" fontId="28" fillId="0" borderId="51" xfId="62" applyFont="1" applyFill="1" applyBorder="1" applyAlignment="1" applyProtection="1">
      <alignment horizontal="center" vertical="center" wrapText="1"/>
      <protection/>
    </xf>
    <xf numFmtId="0" fontId="28" fillId="0" borderId="21" xfId="62" applyFont="1" applyFill="1" applyBorder="1" applyAlignment="1" applyProtection="1">
      <alignment horizontal="center" vertical="center" wrapText="1"/>
      <protection/>
    </xf>
    <xf numFmtId="0" fontId="28" fillId="0" borderId="22" xfId="62" applyFont="1" applyFill="1" applyBorder="1" applyAlignment="1" applyProtection="1">
      <alignment horizontal="center" vertical="center" wrapText="1"/>
      <protection/>
    </xf>
    <xf numFmtId="0" fontId="29" fillId="0" borderId="0" xfId="62" applyFill="1" applyAlignment="1" applyProtection="1">
      <alignment horizontal="center" vertical="center"/>
      <protection/>
    </xf>
    <xf numFmtId="0" fontId="18" fillId="0" borderId="46" xfId="62" applyFont="1" applyFill="1" applyBorder="1" applyAlignment="1" applyProtection="1">
      <alignment vertical="center" wrapText="1"/>
      <protection/>
    </xf>
    <xf numFmtId="181" fontId="13" fillId="0" borderId="36" xfId="61" applyNumberFormat="1" applyFont="1" applyFill="1" applyBorder="1" applyAlignment="1" applyProtection="1">
      <alignment horizontal="center" vertical="center"/>
      <protection/>
    </xf>
    <xf numFmtId="0" fontId="29" fillId="0" borderId="0" xfId="62" applyFill="1" applyAlignment="1" applyProtection="1">
      <alignment vertical="center"/>
      <protection/>
    </xf>
    <xf numFmtId="0" fontId="18" fillId="0" borderId="12" xfId="62" applyFont="1" applyFill="1" applyBorder="1" applyAlignment="1" applyProtection="1">
      <alignment vertical="center" wrapText="1"/>
      <protection/>
    </xf>
    <xf numFmtId="0" fontId="27" fillId="0" borderId="12" xfId="62" applyFont="1" applyFill="1" applyBorder="1" applyAlignment="1" applyProtection="1">
      <alignment horizontal="left" vertical="center" wrapText="1" indent="1"/>
      <protection/>
    </xf>
    <xf numFmtId="0" fontId="18" fillId="0" borderId="51" xfId="62" applyFont="1" applyFill="1" applyBorder="1" applyAlignment="1" applyProtection="1">
      <alignment vertical="center" wrapText="1"/>
      <protection/>
    </xf>
    <xf numFmtId="0" fontId="17" fillId="0" borderId="0" xfId="62" applyFont="1" applyFill="1" applyProtection="1">
      <alignment/>
      <protection/>
    </xf>
    <xf numFmtId="3" fontId="29" fillId="0" borderId="0" xfId="62" applyNumberFormat="1" applyFont="1" applyFill="1" applyProtection="1">
      <alignment/>
      <protection/>
    </xf>
    <xf numFmtId="3" fontId="29" fillId="0" borderId="0" xfId="62" applyNumberFormat="1" applyFont="1" applyFill="1" applyAlignment="1" applyProtection="1">
      <alignment horizontal="center"/>
      <protection/>
    </xf>
    <xf numFmtId="0" fontId="29" fillId="0" borderId="0" xfId="62" applyFont="1" applyFill="1" applyProtection="1">
      <alignment/>
      <protection/>
    </xf>
    <xf numFmtId="0" fontId="29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182" fontId="12" fillId="0" borderId="18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29" fillId="0" borderId="0" xfId="62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44" fillId="0" borderId="0" xfId="0" applyFont="1" applyAlignment="1" applyProtection="1">
      <alignment horizontal="right" vertical="top"/>
      <protection locked="0"/>
    </xf>
    <xf numFmtId="0" fontId="16" fillId="0" borderId="54" xfId="62" applyFont="1" applyFill="1" applyBorder="1" applyAlignment="1">
      <alignment horizontal="center" vertical="center"/>
      <protection/>
    </xf>
    <xf numFmtId="0" fontId="16" fillId="0" borderId="55" xfId="62" applyFont="1" applyFill="1" applyBorder="1" applyAlignment="1">
      <alignment horizontal="center" vertical="center" wrapText="1"/>
      <protection/>
    </xf>
    <xf numFmtId="0" fontId="16" fillId="0" borderId="56" xfId="62" applyFont="1" applyFill="1" applyBorder="1" applyAlignment="1">
      <alignment horizontal="center" vertical="center" wrapText="1"/>
      <protection/>
    </xf>
    <xf numFmtId="0" fontId="17" fillId="0" borderId="34" xfId="62" applyFont="1" applyFill="1" applyBorder="1" applyProtection="1">
      <alignment/>
      <protection locked="0"/>
    </xf>
    <xf numFmtId="0" fontId="18" fillId="0" borderId="17" xfId="62" applyFont="1" applyFill="1" applyBorder="1" applyProtection="1">
      <alignment/>
      <protection locked="0"/>
    </xf>
    <xf numFmtId="0" fontId="17" fillId="0" borderId="15" xfId="62" applyFont="1" applyFill="1" applyBorder="1" applyAlignment="1">
      <alignment horizontal="right" indent="1"/>
      <protection/>
    </xf>
    <xf numFmtId="3" fontId="17" fillId="0" borderId="15" xfId="62" applyNumberFormat="1" applyFont="1" applyFill="1" applyBorder="1" applyProtection="1">
      <alignment/>
      <protection locked="0"/>
    </xf>
    <xf numFmtId="182" fontId="12" fillId="0" borderId="16" xfId="61" applyNumberFormat="1" applyFont="1" applyFill="1" applyBorder="1" applyAlignment="1" applyProtection="1">
      <alignment vertical="center"/>
      <protection/>
    </xf>
    <xf numFmtId="0" fontId="44" fillId="0" borderId="0" xfId="62" applyFont="1" applyFill="1">
      <alignment/>
      <protection/>
    </xf>
    <xf numFmtId="0" fontId="35" fillId="0" borderId="54" xfId="62" applyFont="1" applyFill="1" applyBorder="1" applyAlignment="1">
      <alignment horizontal="center" vertical="center"/>
      <protection/>
    </xf>
    <xf numFmtId="0" fontId="35" fillId="0" borderId="55" xfId="62" applyFont="1" applyFill="1" applyBorder="1" applyAlignment="1">
      <alignment horizontal="center" vertical="center" wrapText="1"/>
      <protection/>
    </xf>
    <xf numFmtId="0" fontId="35" fillId="0" borderId="56" xfId="62" applyFont="1" applyFill="1" applyBorder="1" applyAlignment="1">
      <alignment horizontal="center" vertical="center" wrapText="1"/>
      <protection/>
    </xf>
    <xf numFmtId="0" fontId="17" fillId="0" borderId="14" xfId="62" applyFont="1" applyFill="1" applyBorder="1" applyAlignment="1" applyProtection="1">
      <alignment horizontal="left" indent="1"/>
      <protection locked="0"/>
    </xf>
    <xf numFmtId="0" fontId="18" fillId="0" borderId="50" xfId="62" applyNumberFormat="1" applyFont="1" applyFill="1" applyBorder="1">
      <alignment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/>
    </xf>
    <xf numFmtId="0" fontId="3" fillId="0" borderId="39" xfId="0" applyFont="1" applyBorder="1" applyAlignment="1">
      <alignment vertical="center" wrapText="1"/>
    </xf>
    <xf numFmtId="0" fontId="3" fillId="0" borderId="66" xfId="0" applyFont="1" applyBorder="1" applyAlignment="1">
      <alignment horizontal="left" vertical="center"/>
    </xf>
    <xf numFmtId="0" fontId="3" fillId="0" borderId="77" xfId="0" applyFont="1" applyBorder="1" applyAlignment="1">
      <alignment vertical="center" wrapText="1"/>
    </xf>
    <xf numFmtId="172" fontId="4" fillId="0" borderId="20" xfId="0" applyNumberFormat="1" applyFont="1" applyFill="1" applyBorder="1" applyAlignment="1" applyProtection="1">
      <alignment horizontal="right" wrapText="1"/>
      <protection/>
    </xf>
    <xf numFmtId="172" fontId="4" fillId="0" borderId="20" xfId="0" applyNumberFormat="1" applyFont="1" applyFill="1" applyBorder="1" applyAlignment="1">
      <alignment horizontal="right" vertical="center"/>
    </xf>
    <xf numFmtId="172" fontId="4" fillId="0" borderId="20" xfId="0" applyNumberFormat="1" applyFont="1" applyFill="1" applyBorder="1" applyAlignment="1" applyProtection="1">
      <alignment wrapText="1"/>
      <protection/>
    </xf>
    <xf numFmtId="172" fontId="4" fillId="0" borderId="20" xfId="0" applyNumberFormat="1" applyFont="1" applyFill="1" applyBorder="1" applyAlignment="1">
      <alignment vertical="center"/>
    </xf>
    <xf numFmtId="172" fontId="6" fillId="0" borderId="15" xfId="0" applyNumberFormat="1" applyFont="1" applyFill="1" applyBorder="1" applyAlignment="1" applyProtection="1">
      <alignment horizontal="right" vertical="center" wrapText="1" indent="1"/>
      <protection/>
    </xf>
    <xf numFmtId="172" fontId="6" fillId="0" borderId="38" xfId="0" applyNumberFormat="1" applyFont="1" applyFill="1" applyBorder="1" applyAlignment="1" applyProtection="1">
      <alignment horizontal="right" vertical="center" wrapText="1" indent="1"/>
      <protection/>
    </xf>
    <xf numFmtId="172" fontId="6" fillId="0" borderId="16" xfId="0" applyNumberFormat="1" applyFont="1" applyFill="1" applyBorder="1" applyAlignment="1" applyProtection="1">
      <alignment horizontal="right" vertical="center" wrapText="1" indent="1"/>
      <protection/>
    </xf>
    <xf numFmtId="3" fontId="45" fillId="0" borderId="78" xfId="0" applyNumberFormat="1" applyFont="1" applyFill="1" applyBorder="1" applyAlignment="1" applyProtection="1">
      <alignment horizontal="right" vertical="center"/>
      <protection locked="0"/>
    </xf>
    <xf numFmtId="3" fontId="45" fillId="0" borderId="78" xfId="0" applyNumberFormat="1" applyFont="1" applyFill="1" applyBorder="1" applyAlignment="1" applyProtection="1">
      <alignment horizontal="right" vertical="center" wrapText="1"/>
      <protection locked="0"/>
    </xf>
    <xf numFmtId="3" fontId="45" fillId="0" borderId="47" xfId="0" applyNumberFormat="1" applyFont="1" applyFill="1" applyBorder="1" applyAlignment="1" applyProtection="1">
      <alignment horizontal="right" vertical="center" wrapText="1"/>
      <protection locked="0"/>
    </xf>
    <xf numFmtId="172" fontId="30" fillId="0" borderId="47" xfId="0" applyNumberFormat="1" applyFont="1" applyFill="1" applyBorder="1" applyAlignment="1">
      <alignment horizontal="right" vertical="center" wrapText="1"/>
    </xf>
    <xf numFmtId="4" fontId="30" fillId="0" borderId="47" xfId="0" applyNumberFormat="1" applyFont="1" applyFill="1" applyBorder="1" applyAlignment="1">
      <alignment horizontal="right" vertical="center" wrapText="1"/>
    </xf>
    <xf numFmtId="3" fontId="46" fillId="0" borderId="48" xfId="0" applyNumberFormat="1" applyFont="1" applyFill="1" applyBorder="1" applyAlignment="1" applyProtection="1">
      <alignment horizontal="right" vertical="center"/>
      <protection locked="0"/>
    </xf>
    <xf numFmtId="3" fontId="46" fillId="0" borderId="48" xfId="0" applyNumberFormat="1" applyFont="1" applyFill="1" applyBorder="1" applyAlignment="1" applyProtection="1">
      <alignment horizontal="right" vertical="center" wrapText="1"/>
      <protection locked="0"/>
    </xf>
    <xf numFmtId="172" fontId="30" fillId="0" borderId="48" xfId="0" applyNumberFormat="1" applyFont="1" applyFill="1" applyBorder="1" applyAlignment="1">
      <alignment horizontal="right" vertical="center" wrapText="1"/>
    </xf>
    <xf numFmtId="4" fontId="30" fillId="0" borderId="48" xfId="0" applyNumberFormat="1" applyFont="1" applyFill="1" applyBorder="1" applyAlignment="1">
      <alignment horizontal="right" vertical="center" wrapText="1"/>
    </xf>
    <xf numFmtId="3" fontId="45" fillId="0" borderId="48" xfId="0" applyNumberFormat="1" applyFont="1" applyFill="1" applyBorder="1" applyAlignment="1" applyProtection="1">
      <alignment horizontal="right" vertical="center"/>
      <protection locked="0"/>
    </xf>
    <xf numFmtId="3" fontId="45" fillId="0" borderId="48" xfId="0" applyNumberFormat="1" applyFont="1" applyFill="1" applyBorder="1" applyAlignment="1" applyProtection="1">
      <alignment horizontal="right" vertical="center" wrapText="1"/>
      <protection locked="0"/>
    </xf>
    <xf numFmtId="3" fontId="45" fillId="0" borderId="79" xfId="0" applyNumberFormat="1" applyFont="1" applyFill="1" applyBorder="1" applyAlignment="1" applyProtection="1">
      <alignment horizontal="right" vertical="center"/>
      <protection locked="0"/>
    </xf>
    <xf numFmtId="3" fontId="45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80" xfId="0" applyNumberFormat="1" applyFont="1" applyFill="1" applyBorder="1" applyAlignment="1">
      <alignment horizontal="right" vertical="center" wrapText="1"/>
    </xf>
    <xf numFmtId="172" fontId="30" fillId="0" borderId="26" xfId="0" applyNumberFormat="1" applyFont="1" applyFill="1" applyBorder="1" applyAlignment="1">
      <alignment vertical="center"/>
    </xf>
    <xf numFmtId="4" fontId="45" fillId="0" borderId="26" xfId="0" applyNumberFormat="1" applyFont="1" applyFill="1" applyBorder="1" applyAlignment="1" applyProtection="1">
      <alignment vertical="center" wrapText="1"/>
      <protection locked="0"/>
    </xf>
    <xf numFmtId="172" fontId="30" fillId="0" borderId="78" xfId="0" applyNumberFormat="1" applyFont="1" applyFill="1" applyBorder="1" applyAlignment="1" applyProtection="1">
      <alignment horizontal="right" vertical="center" wrapText="1"/>
      <protection/>
    </xf>
    <xf numFmtId="172" fontId="30" fillId="0" borderId="48" xfId="0" applyNumberFormat="1" applyFont="1" applyFill="1" applyBorder="1" applyAlignment="1" applyProtection="1">
      <alignment horizontal="right" vertical="center" wrapText="1"/>
      <protection/>
    </xf>
    <xf numFmtId="3" fontId="45" fillId="0" borderId="67" xfId="0" applyNumberFormat="1" applyFont="1" applyFill="1" applyBorder="1" applyAlignment="1" applyProtection="1">
      <alignment horizontal="right" vertical="center" wrapText="1"/>
      <protection locked="0"/>
    </xf>
    <xf numFmtId="3" fontId="45" fillId="0" borderId="80" xfId="0" applyNumberFormat="1" applyFont="1" applyFill="1" applyBorder="1" applyAlignment="1" applyProtection="1">
      <alignment horizontal="right" vertical="center" wrapText="1"/>
      <protection locked="0"/>
    </xf>
    <xf numFmtId="172" fontId="30" fillId="0" borderId="26" xfId="0" applyNumberFormat="1" applyFont="1" applyFill="1" applyBorder="1" applyAlignment="1">
      <alignment horizontal="right" vertical="center" wrapText="1"/>
    </xf>
    <xf numFmtId="3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5" xfId="0" applyNumberFormat="1" applyFont="1" applyFill="1" applyBorder="1" applyAlignment="1">
      <alignment horizontal="right" vertical="center" wrapText="1" indent="1"/>
    </xf>
    <xf numFmtId="3" fontId="12" fillId="0" borderId="16" xfId="0" applyNumberFormat="1" applyFont="1" applyFill="1" applyBorder="1" applyAlignment="1">
      <alignment horizontal="right" vertical="center" wrapText="1" indent="1"/>
    </xf>
    <xf numFmtId="180" fontId="47" fillId="0" borderId="36" xfId="62" applyNumberFormat="1" applyFont="1" applyFill="1" applyBorder="1" applyAlignment="1" applyProtection="1">
      <alignment horizontal="right" vertical="center" wrapText="1"/>
      <protection locked="0"/>
    </xf>
    <xf numFmtId="180" fontId="47" fillId="0" borderId="57" xfId="62" applyNumberFormat="1" applyFont="1" applyFill="1" applyBorder="1" applyAlignment="1" applyProtection="1">
      <alignment horizontal="right" vertical="center" wrapText="1"/>
      <protection locked="0"/>
    </xf>
    <xf numFmtId="180" fontId="47" fillId="0" borderId="10" xfId="62" applyNumberFormat="1" applyFont="1" applyFill="1" applyBorder="1" applyAlignment="1" applyProtection="1">
      <alignment horizontal="right" vertical="center" wrapText="1"/>
      <protection/>
    </xf>
    <xf numFmtId="180" fontId="47" fillId="0" borderId="18" xfId="62" applyNumberFormat="1" applyFont="1" applyFill="1" applyBorder="1" applyAlignment="1" applyProtection="1">
      <alignment horizontal="right" vertical="center" wrapText="1"/>
      <protection/>
    </xf>
    <xf numFmtId="180" fontId="48" fillId="0" borderId="10" xfId="62" applyNumberFormat="1" applyFont="1" applyFill="1" applyBorder="1" applyAlignment="1" applyProtection="1">
      <alignment horizontal="right" vertical="center" wrapText="1"/>
      <protection locked="0"/>
    </xf>
    <xf numFmtId="180" fontId="48" fillId="0" borderId="18" xfId="62" applyNumberFormat="1" applyFont="1" applyFill="1" applyBorder="1" applyAlignment="1" applyProtection="1">
      <alignment horizontal="right" vertical="center" wrapText="1"/>
      <protection locked="0"/>
    </xf>
    <xf numFmtId="180" fontId="49" fillId="0" borderId="10" xfId="62" applyNumberFormat="1" applyFont="1" applyFill="1" applyBorder="1" applyAlignment="1" applyProtection="1">
      <alignment horizontal="right" vertical="center" wrapText="1"/>
      <protection locked="0"/>
    </xf>
    <xf numFmtId="180" fontId="49" fillId="0" borderId="18" xfId="62" applyNumberFormat="1" applyFont="1" applyFill="1" applyBorder="1" applyAlignment="1" applyProtection="1">
      <alignment horizontal="right" vertical="center" wrapText="1"/>
      <protection locked="0"/>
    </xf>
    <xf numFmtId="180" fontId="49" fillId="0" borderId="10" xfId="62" applyNumberFormat="1" applyFont="1" applyFill="1" applyBorder="1" applyAlignment="1" applyProtection="1">
      <alignment horizontal="right" vertical="center" wrapText="1"/>
      <protection/>
    </xf>
    <xf numFmtId="180" fontId="49" fillId="0" borderId="18" xfId="62" applyNumberFormat="1" applyFont="1" applyFill="1" applyBorder="1" applyAlignment="1" applyProtection="1">
      <alignment horizontal="right" vertical="center" wrapText="1"/>
      <protection/>
    </xf>
    <xf numFmtId="180" fontId="47" fillId="0" borderId="21" xfId="62" applyNumberFormat="1" applyFont="1" applyFill="1" applyBorder="1" applyAlignment="1" applyProtection="1">
      <alignment horizontal="right" vertical="center" wrapText="1"/>
      <protection/>
    </xf>
    <xf numFmtId="180" fontId="47" fillId="0" borderId="22" xfId="62" applyNumberFormat="1" applyFont="1" applyFill="1" applyBorder="1" applyAlignment="1" applyProtection="1">
      <alignment horizontal="right" vertical="center" wrapText="1"/>
      <protection/>
    </xf>
    <xf numFmtId="0" fontId="17" fillId="0" borderId="19" xfId="0" applyFont="1" applyBorder="1" applyAlignment="1" applyProtection="1">
      <alignment horizontal="left" wrapText="1" indent="1"/>
      <protection/>
    </xf>
    <xf numFmtId="0" fontId="17" fillId="0" borderId="37" xfId="0" applyFont="1" applyFill="1" applyBorder="1" applyAlignment="1" applyProtection="1">
      <alignment horizontal="left" wrapText="1" indent="1"/>
      <protection/>
    </xf>
    <xf numFmtId="0" fontId="17" fillId="0" borderId="10" xfId="0" applyFont="1" applyFill="1" applyBorder="1" applyAlignment="1" applyProtection="1">
      <alignment horizontal="left" wrapText="1" indent="1"/>
      <protection/>
    </xf>
    <xf numFmtId="0" fontId="17" fillId="0" borderId="11" xfId="0" applyFont="1" applyFill="1" applyBorder="1" applyAlignment="1" applyProtection="1">
      <alignment horizontal="left" wrapText="1" indent="1"/>
      <protection/>
    </xf>
    <xf numFmtId="0" fontId="18" fillId="0" borderId="15" xfId="0" applyFont="1" applyFill="1" applyBorder="1" applyAlignment="1" applyProtection="1">
      <alignment horizontal="left" vertical="center" wrapText="1" indent="1"/>
      <protection/>
    </xf>
    <xf numFmtId="0" fontId="17" fillId="0" borderId="11" xfId="0" applyFont="1" applyFill="1" applyBorder="1" applyAlignment="1" applyProtection="1">
      <alignment horizontal="left" vertical="center" wrapText="1" indent="1"/>
      <protection/>
    </xf>
    <xf numFmtId="0" fontId="18" fillId="0" borderId="17" xfId="0" applyFont="1" applyFill="1" applyBorder="1" applyAlignment="1" applyProtection="1">
      <alignment horizontal="center" wrapText="1"/>
      <protection/>
    </xf>
    <xf numFmtId="0" fontId="17" fillId="0" borderId="11" xfId="0" applyFont="1" applyFill="1" applyBorder="1" applyAlignment="1" applyProtection="1">
      <alignment wrapText="1"/>
      <protection/>
    </xf>
    <xf numFmtId="0" fontId="17" fillId="0" borderId="34" xfId="0" applyFont="1" applyFill="1" applyBorder="1" applyAlignment="1" applyProtection="1">
      <alignment horizontal="center" wrapText="1"/>
      <protection/>
    </xf>
    <xf numFmtId="0" fontId="17" fillId="0" borderId="12" xfId="0" applyFont="1" applyFill="1" applyBorder="1" applyAlignment="1" applyProtection="1">
      <alignment horizontal="center" wrapText="1"/>
      <protection/>
    </xf>
    <xf numFmtId="0" fontId="17" fillId="0" borderId="14" xfId="0" applyFont="1" applyFill="1" applyBorder="1" applyAlignment="1" applyProtection="1">
      <alignment horizontal="center" wrapText="1"/>
      <protection/>
    </xf>
    <xf numFmtId="0" fontId="18" fillId="0" borderId="15" xfId="0" applyFont="1" applyFill="1" applyBorder="1" applyAlignment="1" applyProtection="1">
      <alignment wrapText="1"/>
      <protection/>
    </xf>
    <xf numFmtId="0" fontId="18" fillId="0" borderId="66" xfId="0" applyFont="1" applyFill="1" applyBorder="1" applyAlignment="1" applyProtection="1">
      <alignment horizontal="center" wrapText="1"/>
      <protection/>
    </xf>
    <xf numFmtId="0" fontId="18" fillId="0" borderId="62" xfId="0" applyFont="1" applyFill="1" applyBorder="1" applyAlignment="1" applyProtection="1">
      <alignment wrapText="1"/>
      <protection/>
    </xf>
    <xf numFmtId="0" fontId="17" fillId="0" borderId="10" xfId="0" applyFont="1" applyFill="1" applyBorder="1" applyAlignment="1" applyProtection="1">
      <alignment horizontal="left" vertical="center" wrapText="1" indent="1"/>
      <protection/>
    </xf>
    <xf numFmtId="172" fontId="18" fillId="0" borderId="16" xfId="0" applyNumberFormat="1" applyFont="1" applyFill="1" applyBorder="1" applyAlignment="1" applyProtection="1">
      <alignment horizontal="right" vertical="center" wrapText="1" indent="1"/>
      <protection/>
    </xf>
    <xf numFmtId="172" fontId="16" fillId="0" borderId="16" xfId="0" applyNumberFormat="1" applyFont="1" applyFill="1" applyBorder="1" applyAlignment="1" applyProtection="1" quotePrefix="1">
      <alignment horizontal="right" vertical="center" wrapText="1" indent="1"/>
      <protection/>
    </xf>
    <xf numFmtId="0" fontId="18" fillId="0" borderId="66" xfId="0" applyFont="1" applyFill="1" applyBorder="1" applyAlignment="1" applyProtection="1">
      <alignment horizontal="center" vertical="center" wrapText="1"/>
      <protection/>
    </xf>
    <xf numFmtId="0" fontId="16" fillId="0" borderId="62" xfId="0" applyFont="1" applyFill="1" applyBorder="1" applyAlignment="1" applyProtection="1">
      <alignment horizontal="left" vertical="center" wrapText="1" indent="1"/>
      <protection/>
    </xf>
    <xf numFmtId="0" fontId="3" fillId="0" borderId="17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vertical="center" wrapText="1"/>
    </xf>
    <xf numFmtId="0" fontId="3" fillId="0" borderId="66" xfId="0" applyFont="1" applyFill="1" applyBorder="1" applyAlignment="1">
      <alignment horizontal="left" vertical="center"/>
    </xf>
    <xf numFmtId="0" fontId="3" fillId="0" borderId="77" xfId="0" applyFont="1" applyFill="1" applyBorder="1" applyAlignment="1">
      <alignment vertical="center" wrapText="1"/>
    </xf>
    <xf numFmtId="183" fontId="6" fillId="0" borderId="58" xfId="0" applyNumberFormat="1" applyFont="1" applyFill="1" applyBorder="1" applyAlignment="1" applyProtection="1">
      <alignment horizontal="right" vertical="center"/>
      <protection locked="0"/>
    </xf>
    <xf numFmtId="172" fontId="11" fillId="0" borderId="13" xfId="0" applyNumberFormat="1" applyFont="1" applyFill="1" applyBorder="1" applyAlignment="1" applyProtection="1">
      <alignment horizontal="left" vertical="center" wrapText="1"/>
      <protection locked="0"/>
    </xf>
    <xf numFmtId="172" fontId="11" fillId="0" borderId="12" xfId="0" applyNumberFormat="1" applyFont="1" applyFill="1" applyBorder="1" applyAlignment="1" applyProtection="1">
      <alignment horizontal="left" vertical="center" wrapText="1"/>
      <protection locked="0"/>
    </xf>
    <xf numFmtId="172" fontId="0" fillId="0" borderId="10" xfId="0" applyNumberFormat="1" applyFill="1" applyBorder="1" applyAlignment="1">
      <alignment horizontal="left" vertical="center" wrapText="1"/>
    </xf>
    <xf numFmtId="183" fontId="0" fillId="0" borderId="0" xfId="0" applyNumberFormat="1" applyFill="1" applyAlignment="1">
      <alignment/>
    </xf>
    <xf numFmtId="172" fontId="18" fillId="0" borderId="15" xfId="0" applyNumberFormat="1" applyFont="1" applyFill="1" applyBorder="1" applyAlignment="1" applyProtection="1">
      <alignment horizontal="right" vertical="center" wrapText="1" indent="1"/>
      <protection/>
    </xf>
    <xf numFmtId="172" fontId="18" fillId="0" borderId="38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60" applyFont="1" applyFill="1" applyAlignment="1" applyProtection="1">
      <alignment horizontal="center"/>
      <protection/>
    </xf>
    <xf numFmtId="172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46" xfId="60" applyFont="1" applyFill="1" applyBorder="1" applyAlignment="1" applyProtection="1">
      <alignment horizontal="center" vertical="center" wrapText="1"/>
      <protection/>
    </xf>
    <xf numFmtId="0" fontId="6" fillId="0" borderId="51" xfId="60" applyFont="1" applyFill="1" applyBorder="1" applyAlignment="1" applyProtection="1">
      <alignment horizontal="center" vertical="center" wrapText="1"/>
      <protection/>
    </xf>
    <xf numFmtId="0" fontId="6" fillId="0" borderId="36" xfId="60" applyFont="1" applyFill="1" applyBorder="1" applyAlignment="1" applyProtection="1">
      <alignment horizontal="center" vertical="center" wrapText="1"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172" fontId="6" fillId="0" borderId="36" xfId="60" applyNumberFormat="1" applyFont="1" applyFill="1" applyBorder="1" applyAlignment="1" applyProtection="1">
      <alignment horizontal="center" vertical="center"/>
      <protection/>
    </xf>
    <xf numFmtId="172" fontId="6" fillId="0" borderId="57" xfId="60" applyNumberFormat="1" applyFont="1" applyFill="1" applyBorder="1" applyAlignment="1" applyProtection="1">
      <alignment horizontal="center" vertical="center"/>
      <protection/>
    </xf>
    <xf numFmtId="172" fontId="6" fillId="0" borderId="78" xfId="0" applyNumberFormat="1" applyFont="1" applyFill="1" applyBorder="1" applyAlignment="1" applyProtection="1">
      <alignment horizontal="center" vertical="center" wrapText="1"/>
      <protection/>
    </xf>
    <xf numFmtId="172" fontId="6" fillId="0" borderId="28" xfId="0" applyNumberFormat="1" applyFont="1" applyFill="1" applyBorder="1" applyAlignment="1" applyProtection="1">
      <alignment horizontal="center" vertical="center" wrapText="1"/>
      <protection/>
    </xf>
    <xf numFmtId="172" fontId="7" fillId="0" borderId="0" xfId="0" applyNumberFormat="1" applyFont="1" applyFill="1" applyAlignment="1" applyProtection="1">
      <alignment horizontal="center" textRotation="180" wrapText="1"/>
      <protection/>
    </xf>
    <xf numFmtId="172" fontId="6" fillId="0" borderId="47" xfId="0" applyNumberFormat="1" applyFont="1" applyFill="1" applyBorder="1" applyAlignment="1" applyProtection="1">
      <alignment horizontal="center" vertical="center" wrapText="1"/>
      <protection/>
    </xf>
    <xf numFmtId="172" fontId="6" fillId="0" borderId="80" xfId="0" applyNumberFormat="1" applyFont="1" applyFill="1" applyBorder="1" applyAlignment="1" applyProtection="1">
      <alignment horizontal="center" vertical="center" wrapText="1"/>
      <protection/>
    </xf>
    <xf numFmtId="172" fontId="7" fillId="0" borderId="0" xfId="0" applyNumberFormat="1" applyFont="1" applyFill="1" applyAlignment="1" applyProtection="1">
      <alignment horizontal="center" textRotation="180" wrapText="1"/>
      <protection locked="0"/>
    </xf>
    <xf numFmtId="172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72" fontId="7" fillId="0" borderId="0" xfId="0" applyNumberFormat="1" applyFont="1" applyFill="1" applyAlignment="1">
      <alignment horizontal="center" textRotation="180" wrapText="1"/>
    </xf>
    <xf numFmtId="172" fontId="12" fillId="0" borderId="26" xfId="0" applyNumberFormat="1" applyFont="1" applyFill="1" applyBorder="1" applyAlignment="1">
      <alignment horizontal="center" vertical="center"/>
    </xf>
    <xf numFmtId="172" fontId="3" fillId="0" borderId="32" xfId="0" applyNumberFormat="1" applyFont="1" applyFill="1" applyBorder="1" applyAlignment="1">
      <alignment horizontal="left" vertical="center" wrapText="1" indent="2"/>
    </xf>
    <xf numFmtId="172" fontId="3" fillId="0" borderId="81" xfId="0" applyNumberFormat="1" applyFont="1" applyFill="1" applyBorder="1" applyAlignment="1">
      <alignment horizontal="left" vertical="center" wrapText="1" indent="2"/>
    </xf>
    <xf numFmtId="179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textRotation="180"/>
    </xf>
    <xf numFmtId="172" fontId="0" fillId="0" borderId="29" xfId="0" applyNumberFormat="1" applyFill="1" applyBorder="1" applyAlignment="1" applyProtection="1">
      <alignment horizontal="left" vertical="center" wrapText="1"/>
      <protection locked="0"/>
    </xf>
    <xf numFmtId="172" fontId="0" fillId="0" borderId="43" xfId="0" applyNumberFormat="1" applyFill="1" applyBorder="1" applyAlignment="1" applyProtection="1">
      <alignment horizontal="left" vertical="center" wrapText="1"/>
      <protection locked="0"/>
    </xf>
    <xf numFmtId="172" fontId="0" fillId="0" borderId="72" xfId="0" applyNumberFormat="1" applyFill="1" applyBorder="1" applyAlignment="1" applyProtection="1">
      <alignment horizontal="left" vertical="center" wrapText="1"/>
      <protection locked="0"/>
    </xf>
    <xf numFmtId="172" fontId="0" fillId="0" borderId="82" xfId="0" applyNumberFormat="1" applyFill="1" applyBorder="1" applyAlignment="1" applyProtection="1">
      <alignment horizontal="left" vertical="center" wrapText="1"/>
      <protection locked="0"/>
    </xf>
    <xf numFmtId="172" fontId="6" fillId="0" borderId="78" xfId="0" applyNumberFormat="1" applyFont="1" applyFill="1" applyBorder="1" applyAlignment="1">
      <alignment horizontal="center" vertical="center" wrapText="1"/>
    </xf>
    <xf numFmtId="172" fontId="6" fillId="0" borderId="69" xfId="0" applyNumberFormat="1" applyFont="1" applyFill="1" applyBorder="1" applyAlignment="1">
      <alignment horizontal="center" vertical="center" wrapText="1"/>
    </xf>
    <xf numFmtId="172" fontId="3" fillId="0" borderId="32" xfId="0" applyNumberFormat="1" applyFont="1" applyFill="1" applyBorder="1" applyAlignment="1">
      <alignment horizontal="center" vertical="center" wrapText="1"/>
    </xf>
    <xf numFmtId="172" fontId="3" fillId="0" borderId="81" xfId="0" applyNumberFormat="1" applyFont="1" applyFill="1" applyBorder="1" applyAlignment="1">
      <alignment horizontal="center" vertical="center" wrapText="1"/>
    </xf>
    <xf numFmtId="172" fontId="6" fillId="0" borderId="26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Alignment="1">
      <alignment horizontal="left" vertical="center" wrapText="1"/>
    </xf>
    <xf numFmtId="172" fontId="0" fillId="0" borderId="0" xfId="0" applyNumberFormat="1" applyFill="1" applyAlignment="1" applyProtection="1">
      <alignment horizontal="left" vertical="center" wrapText="1"/>
      <protection locked="0"/>
    </xf>
    <xf numFmtId="179" fontId="28" fillId="0" borderId="33" xfId="0" applyNumberFormat="1" applyFont="1" applyFill="1" applyBorder="1" applyAlignment="1">
      <alignment horizontal="left" vertical="center" wrapText="1"/>
    </xf>
    <xf numFmtId="172" fontId="12" fillId="0" borderId="26" xfId="0" applyNumberFormat="1" applyFont="1" applyFill="1" applyBorder="1" applyAlignment="1">
      <alignment horizontal="center" vertical="center" wrapText="1"/>
    </xf>
    <xf numFmtId="172" fontId="6" fillId="0" borderId="26" xfId="0" applyNumberFormat="1" applyFont="1" applyFill="1" applyBorder="1" applyAlignment="1">
      <alignment horizontal="center" vertical="center" wrapText="1"/>
    </xf>
    <xf numFmtId="172" fontId="4" fillId="0" borderId="20" xfId="0" applyNumberFormat="1" applyFont="1" applyFill="1" applyBorder="1" applyAlignment="1">
      <alignment horizontal="right" vertical="center"/>
    </xf>
    <xf numFmtId="172" fontId="6" fillId="0" borderId="83" xfId="0" applyNumberFormat="1" applyFont="1" applyFill="1" applyBorder="1" applyAlignment="1">
      <alignment horizontal="center" vertical="center"/>
    </xf>
    <xf numFmtId="172" fontId="6" fillId="0" borderId="68" xfId="0" applyNumberFormat="1" applyFont="1" applyFill="1" applyBorder="1" applyAlignment="1">
      <alignment horizontal="center" vertical="center"/>
    </xf>
    <xf numFmtId="172" fontId="6" fillId="0" borderId="27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81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82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6" fillId="0" borderId="82" xfId="0" applyFont="1" applyFill="1" applyBorder="1" applyAlignment="1" applyProtection="1" quotePrefix="1">
      <alignment horizontal="center" vertical="center"/>
      <protection/>
    </xf>
    <xf numFmtId="0" fontId="6" fillId="0" borderId="61" xfId="0" applyFont="1" applyFill="1" applyBorder="1" applyAlignment="1" applyProtection="1" quotePrefix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left" vertical="center" wrapText="1" indent="1"/>
      <protection/>
    </xf>
    <xf numFmtId="0" fontId="6" fillId="0" borderId="39" xfId="0" applyFont="1" applyFill="1" applyBorder="1" applyAlignment="1" applyProtection="1">
      <alignment horizontal="left" vertical="center" wrapText="1" indent="1"/>
      <protection/>
    </xf>
    <xf numFmtId="0" fontId="6" fillId="0" borderId="55" xfId="60" applyFont="1" applyFill="1" applyBorder="1" applyAlignment="1" applyProtection="1">
      <alignment horizontal="center" vertical="center" wrapText="1"/>
      <protection/>
    </xf>
    <xf numFmtId="0" fontId="6" fillId="0" borderId="62" xfId="60" applyFont="1" applyFill="1" applyBorder="1" applyAlignment="1" applyProtection="1">
      <alignment horizontal="center" vertical="center" wrapText="1"/>
      <protection/>
    </xf>
    <xf numFmtId="172" fontId="6" fillId="0" borderId="54" xfId="0" applyNumberFormat="1" applyFont="1" applyFill="1" applyBorder="1" applyAlignment="1" applyProtection="1">
      <alignment horizontal="center" vertical="center" wrapText="1"/>
      <protection/>
    </xf>
    <xf numFmtId="172" fontId="6" fillId="0" borderId="66" xfId="0" applyNumberFormat="1" applyFont="1" applyFill="1" applyBorder="1" applyAlignment="1" applyProtection="1">
      <alignment horizontal="center" vertical="center" wrapText="1"/>
      <protection/>
    </xf>
    <xf numFmtId="172" fontId="6" fillId="0" borderId="55" xfId="0" applyNumberFormat="1" applyFont="1" applyFill="1" applyBorder="1" applyAlignment="1" applyProtection="1">
      <alignment horizontal="center" vertical="center" wrapText="1"/>
      <protection/>
    </xf>
    <xf numFmtId="172" fontId="6" fillId="0" borderId="62" xfId="0" applyNumberFormat="1" applyFont="1" applyFill="1" applyBorder="1" applyAlignment="1" applyProtection="1">
      <alignment horizontal="center" vertical="center"/>
      <protection/>
    </xf>
    <xf numFmtId="172" fontId="6" fillId="0" borderId="62" xfId="0" applyNumberFormat="1" applyFont="1" applyFill="1" applyBorder="1" applyAlignment="1" applyProtection="1">
      <alignment horizontal="center" vertical="center" wrapText="1"/>
      <protection/>
    </xf>
    <xf numFmtId="172" fontId="6" fillId="0" borderId="78" xfId="0" applyNumberFormat="1" applyFont="1" applyFill="1" applyBorder="1" applyAlignment="1" applyProtection="1">
      <alignment horizontal="center" vertical="center" wrapText="1"/>
      <protection/>
    </xf>
    <xf numFmtId="172" fontId="6" fillId="0" borderId="28" xfId="0" applyNumberFormat="1" applyFont="1" applyFill="1" applyBorder="1" applyAlignment="1" applyProtection="1">
      <alignment horizontal="center" vertical="center" wrapText="1"/>
      <protection/>
    </xf>
    <xf numFmtId="172" fontId="8" fillId="0" borderId="0" xfId="0" applyNumberFormat="1" applyFont="1" applyFill="1" applyAlignment="1">
      <alignment horizontal="center" textRotation="180" wrapText="1"/>
    </xf>
    <xf numFmtId="172" fontId="6" fillId="0" borderId="63" xfId="0" applyNumberFormat="1" applyFont="1" applyFill="1" applyBorder="1" applyAlignment="1">
      <alignment horizontal="center" vertical="center" wrapText="1"/>
    </xf>
    <xf numFmtId="172" fontId="6" fillId="0" borderId="71" xfId="0" applyNumberFormat="1" applyFont="1" applyFill="1" applyBorder="1" applyAlignment="1">
      <alignment horizontal="center" vertical="center" wrapText="1"/>
    </xf>
    <xf numFmtId="172" fontId="6" fillId="0" borderId="28" xfId="0" applyNumberFormat="1" applyFont="1" applyFill="1" applyBorder="1" applyAlignment="1">
      <alignment horizontal="center" vertical="center" wrapText="1"/>
    </xf>
    <xf numFmtId="172" fontId="6" fillId="0" borderId="78" xfId="0" applyNumberFormat="1" applyFont="1" applyFill="1" applyBorder="1" applyAlignment="1">
      <alignment horizontal="center" vertical="center"/>
    </xf>
    <xf numFmtId="172" fontId="6" fillId="0" borderId="28" xfId="0" applyNumberFormat="1" applyFont="1" applyFill="1" applyBorder="1" applyAlignment="1">
      <alignment horizontal="center" vertical="center"/>
    </xf>
    <xf numFmtId="172" fontId="6" fillId="0" borderId="83" xfId="0" applyNumberFormat="1" applyFont="1" applyFill="1" applyBorder="1" applyAlignment="1">
      <alignment horizontal="center" vertical="center" wrapText="1"/>
    </xf>
    <xf numFmtId="172" fontId="6" fillId="0" borderId="27" xfId="0" applyNumberFormat="1" applyFont="1" applyFill="1" applyBorder="1" applyAlignment="1">
      <alignment horizontal="center" vertical="center" wrapText="1"/>
    </xf>
    <xf numFmtId="172" fontId="6" fillId="0" borderId="42" xfId="0" applyNumberFormat="1" applyFont="1" applyFill="1" applyBorder="1" applyAlignment="1">
      <alignment horizontal="center" vertical="center" wrapText="1"/>
    </xf>
    <xf numFmtId="172" fontId="6" fillId="0" borderId="74" xfId="0" applyNumberFormat="1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63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 applyProtection="1">
      <alignment horizontal="left" vertical="center"/>
      <protection/>
    </xf>
    <xf numFmtId="0" fontId="12" fillId="0" borderId="39" xfId="0" applyFont="1" applyFill="1" applyBorder="1" applyAlignment="1" applyProtection="1">
      <alignment horizontal="left" vertical="center"/>
      <protection/>
    </xf>
    <xf numFmtId="0" fontId="50" fillId="0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0" fontId="6" fillId="0" borderId="83" xfId="0" applyFont="1" applyFill="1" applyBorder="1" applyAlignment="1" applyProtection="1">
      <alignment horizontal="left" vertical="center" wrapText="1"/>
      <protection/>
    </xf>
    <xf numFmtId="0" fontId="6" fillId="0" borderId="33" xfId="0" applyFont="1" applyFill="1" applyBorder="1" applyAlignment="1" applyProtection="1">
      <alignment horizontal="left" vertical="center" wrapText="1"/>
      <protection/>
    </xf>
    <xf numFmtId="0" fontId="6" fillId="0" borderId="63" xfId="0" applyFont="1" applyFill="1" applyBorder="1" applyAlignment="1" applyProtection="1">
      <alignment horizontal="left" vertical="center" wrapText="1"/>
      <protection/>
    </xf>
    <xf numFmtId="0" fontId="3" fillId="0" borderId="32" xfId="0" applyFont="1" applyFill="1" applyBorder="1" applyAlignment="1" applyProtection="1">
      <alignment horizontal="left" vertical="center"/>
      <protection/>
    </xf>
    <xf numFmtId="0" fontId="3" fillId="0" borderId="39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right"/>
    </xf>
    <xf numFmtId="0" fontId="6" fillId="0" borderId="8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justify" vertical="center" wrapText="1"/>
    </xf>
    <xf numFmtId="0" fontId="6" fillId="0" borderId="32" xfId="0" applyFont="1" applyFill="1" applyBorder="1" applyAlignment="1">
      <alignment horizontal="left" vertical="center" indent="2"/>
    </xf>
    <xf numFmtId="0" fontId="6" fillId="0" borderId="39" xfId="0" applyFont="1" applyFill="1" applyBorder="1" applyAlignment="1">
      <alignment horizontal="left" vertical="center" indent="2"/>
    </xf>
    <xf numFmtId="0" fontId="29" fillId="0" borderId="0" xfId="62" applyFont="1" applyFill="1" applyAlignment="1" applyProtection="1">
      <alignment horizontal="left"/>
      <protection/>
    </xf>
    <xf numFmtId="0" fontId="31" fillId="0" borderId="0" xfId="62" applyFont="1" applyFill="1" applyAlignment="1" applyProtection="1">
      <alignment horizontal="center" vertical="center" wrapText="1"/>
      <protection/>
    </xf>
    <xf numFmtId="0" fontId="31" fillId="0" borderId="0" xfId="62" applyFont="1" applyFill="1" applyAlignment="1" applyProtection="1">
      <alignment horizontal="center" vertical="center"/>
      <protection/>
    </xf>
    <xf numFmtId="0" fontId="32" fillId="0" borderId="0" xfId="62" applyFont="1" applyFill="1" applyBorder="1" applyAlignment="1" applyProtection="1">
      <alignment horizontal="right"/>
      <protection/>
    </xf>
    <xf numFmtId="0" fontId="33" fillId="0" borderId="54" xfId="62" applyFont="1" applyFill="1" applyBorder="1" applyAlignment="1" applyProtection="1">
      <alignment horizontal="center" vertical="center" wrapText="1"/>
      <protection/>
    </xf>
    <xf numFmtId="0" fontId="33" fillId="0" borderId="13" xfId="62" applyFont="1" applyFill="1" applyBorder="1" applyAlignment="1" applyProtection="1">
      <alignment horizontal="center" vertical="center" wrapText="1"/>
      <protection/>
    </xf>
    <xf numFmtId="0" fontId="33" fillId="0" borderId="34" xfId="62" applyFont="1" applyFill="1" applyBorder="1" applyAlignment="1" applyProtection="1">
      <alignment horizontal="center" vertical="center" wrapText="1"/>
      <protection/>
    </xf>
    <xf numFmtId="0" fontId="21" fillId="0" borderId="55" xfId="61" applyFont="1" applyFill="1" applyBorder="1" applyAlignment="1" applyProtection="1">
      <alignment horizontal="center" vertical="center" textRotation="90"/>
      <protection/>
    </xf>
    <xf numFmtId="0" fontId="21" fillId="0" borderId="19" xfId="61" applyFont="1" applyFill="1" applyBorder="1" applyAlignment="1" applyProtection="1">
      <alignment horizontal="center" vertical="center" textRotation="90"/>
      <protection/>
    </xf>
    <xf numFmtId="0" fontId="21" fillId="0" borderId="37" xfId="61" applyFont="1" applyFill="1" applyBorder="1" applyAlignment="1" applyProtection="1">
      <alignment horizontal="center" vertical="center" textRotation="90"/>
      <protection/>
    </xf>
    <xf numFmtId="0" fontId="32" fillId="0" borderId="36" xfId="62" applyFont="1" applyFill="1" applyBorder="1" applyAlignment="1" applyProtection="1">
      <alignment horizontal="center" vertical="center" wrapText="1"/>
      <protection/>
    </xf>
    <xf numFmtId="0" fontId="32" fillId="0" borderId="10" xfId="62" applyFont="1" applyFill="1" applyBorder="1" applyAlignment="1" applyProtection="1">
      <alignment horizontal="center" vertical="center" wrapText="1"/>
      <protection/>
    </xf>
    <xf numFmtId="0" fontId="32" fillId="0" borderId="56" xfId="62" applyFont="1" applyFill="1" applyBorder="1" applyAlignment="1" applyProtection="1">
      <alignment horizontal="center" vertical="center" wrapText="1"/>
      <protection/>
    </xf>
    <xf numFmtId="0" fontId="32" fillId="0" borderId="59" xfId="62" applyFont="1" applyFill="1" applyBorder="1" applyAlignment="1" applyProtection="1">
      <alignment horizontal="center" vertical="center" wrapText="1"/>
      <protection/>
    </xf>
    <xf numFmtId="0" fontId="32" fillId="0" borderId="10" xfId="62" applyFont="1" applyFill="1" applyBorder="1" applyAlignment="1" applyProtection="1">
      <alignment horizontal="center" wrapText="1"/>
      <protection/>
    </xf>
    <xf numFmtId="0" fontId="32" fillId="0" borderId="18" xfId="62" applyFont="1" applyFill="1" applyBorder="1" applyAlignment="1" applyProtection="1">
      <alignment horizontal="center" wrapText="1"/>
      <protection/>
    </xf>
    <xf numFmtId="0" fontId="29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21" fillId="0" borderId="0" xfId="61" applyFont="1" applyFill="1" applyBorder="1" applyAlignment="1" applyProtection="1">
      <alignment horizontal="right" vertical="center"/>
      <protection/>
    </xf>
    <xf numFmtId="0" fontId="5" fillId="0" borderId="46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21" fillId="0" borderId="36" xfId="61" applyFont="1" applyFill="1" applyBorder="1" applyAlignment="1" applyProtection="1">
      <alignment horizontal="center" vertical="center" textRotation="90"/>
      <protection/>
    </xf>
    <xf numFmtId="0" fontId="21" fillId="0" borderId="10" xfId="61" applyFont="1" applyFill="1" applyBorder="1" applyAlignment="1" applyProtection="1">
      <alignment horizontal="center" vertical="center" textRotation="90"/>
      <protection/>
    </xf>
    <xf numFmtId="0" fontId="4" fillId="0" borderId="57" xfId="61" applyFont="1" applyFill="1" applyBorder="1" applyAlignment="1" applyProtection="1">
      <alignment horizontal="center" vertical="center" wrapText="1"/>
      <protection/>
    </xf>
    <xf numFmtId="0" fontId="4" fillId="0" borderId="18" xfId="61" applyFont="1" applyFill="1" applyBorder="1" applyAlignment="1" applyProtection="1">
      <alignment horizontal="center" vertical="center"/>
      <protection/>
    </xf>
    <xf numFmtId="0" fontId="31" fillId="0" borderId="0" xfId="62" applyFont="1" applyFill="1" applyAlignment="1">
      <alignment horizontal="center" vertical="center" wrapText="1"/>
      <protection/>
    </xf>
    <xf numFmtId="0" fontId="31" fillId="0" borderId="0" xfId="62" applyFont="1" applyFill="1" applyAlignment="1">
      <alignment horizontal="center" vertical="center"/>
      <protection/>
    </xf>
    <xf numFmtId="0" fontId="16" fillId="0" borderId="32" xfId="62" applyFont="1" applyFill="1" applyBorder="1" applyAlignment="1">
      <alignment horizontal="left"/>
      <protection/>
    </xf>
    <xf numFmtId="0" fontId="16" fillId="0" borderId="39" xfId="62" applyFont="1" applyFill="1" applyBorder="1" applyAlignment="1">
      <alignment horizontal="left"/>
      <protection/>
    </xf>
    <xf numFmtId="3" fontId="29" fillId="0" borderId="0" xfId="62" applyNumberFormat="1" applyFont="1" applyFill="1" applyAlignment="1">
      <alignment horizontal="center"/>
      <protection/>
    </xf>
    <xf numFmtId="0" fontId="31" fillId="0" borderId="0" xfId="62" applyFont="1" applyFill="1" applyAlignment="1">
      <alignment horizontal="center" wrapText="1"/>
      <protection/>
    </xf>
    <xf numFmtId="0" fontId="31" fillId="0" borderId="0" xfId="62" applyFont="1" applyFill="1" applyAlignment="1">
      <alignment horizontal="center"/>
      <protection/>
    </xf>
    <xf numFmtId="0" fontId="16" fillId="0" borderId="32" xfId="62" applyFont="1" applyFill="1" applyBorder="1" applyAlignment="1">
      <alignment horizontal="left" indent="1"/>
      <protection/>
    </xf>
    <xf numFmtId="0" fontId="16" fillId="0" borderId="39" xfId="62" applyFont="1" applyFill="1" applyBorder="1" applyAlignment="1">
      <alignment horizontal="left" indent="1"/>
      <protection/>
    </xf>
    <xf numFmtId="0" fontId="51" fillId="0" borderId="0" xfId="62" applyFont="1" applyFill="1" applyAlignment="1">
      <alignment horizontal="center"/>
      <protection/>
    </xf>
    <xf numFmtId="0" fontId="22" fillId="0" borderId="0" xfId="0" applyFont="1" applyAlignment="1">
      <alignment horizontal="center"/>
    </xf>
    <xf numFmtId="0" fontId="42" fillId="0" borderId="0" xfId="0" applyFont="1" applyAlignment="1" applyProtection="1">
      <alignment horizontal="center" vertical="center" wrapText="1"/>
      <protection locked="0"/>
    </xf>
    <xf numFmtId="0" fontId="39" fillId="0" borderId="17" xfId="0" applyFont="1" applyBorder="1" applyAlignment="1" applyProtection="1">
      <alignment wrapText="1"/>
      <protection/>
    </xf>
    <xf numFmtId="0" fontId="39" fillId="0" borderId="15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/>
    </xf>
    <xf numFmtId="0" fontId="52" fillId="0" borderId="0" xfId="0" applyFont="1" applyAlignment="1" applyProtection="1">
      <alignment horizontal="center"/>
      <protection/>
    </xf>
    <xf numFmtId="0" fontId="20" fillId="0" borderId="0" xfId="0" applyFont="1" applyFill="1" applyAlignment="1" applyProtection="1">
      <alignment horizontal="center" vertical="top" wrapText="1"/>
      <protection locked="0"/>
    </xf>
    <xf numFmtId="0" fontId="44" fillId="0" borderId="20" xfId="0" applyFont="1" applyBorder="1" applyAlignment="1" applyProtection="1">
      <alignment horizontal="right" vertical="top"/>
      <protection/>
    </xf>
    <xf numFmtId="0" fontId="0" fillId="0" borderId="20" xfId="0" applyBorder="1" applyAlignment="1">
      <alignment horizontal="right" vertical="top"/>
    </xf>
    <xf numFmtId="0" fontId="44" fillId="0" borderId="20" xfId="0" applyFont="1" applyFill="1" applyBorder="1" applyAlignment="1" applyProtection="1">
      <alignment horizontal="right" vertical="top"/>
      <protection/>
    </xf>
    <xf numFmtId="0" fontId="44" fillId="0" borderId="20" xfId="0" applyFont="1" applyBorder="1" applyAlignment="1" applyProtection="1">
      <alignment horizontal="right" vertical="top"/>
      <protection locked="0"/>
    </xf>
    <xf numFmtId="0" fontId="0" fillId="0" borderId="20" xfId="0" applyBorder="1" applyAlignment="1">
      <alignment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yperlink" xfId="52"/>
    <cellStyle name="Hivatkozott cella" xfId="53"/>
    <cellStyle name="Jegyzet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workbookViewId="0" topLeftCell="A1">
      <selection activeCell="G14" sqref="G14"/>
    </sheetView>
  </sheetViews>
  <sheetFormatPr defaultColWidth="9.00390625" defaultRowHeight="12.75"/>
  <cols>
    <col min="1" max="1" width="46.375" style="282" customWidth="1"/>
    <col min="2" max="2" width="66.125" style="282" customWidth="1"/>
    <col min="3" max="16384" width="9.375" style="282" customWidth="1"/>
  </cols>
  <sheetData>
    <row r="1" ht="18.75">
      <c r="A1" s="468" t="s">
        <v>741</v>
      </c>
    </row>
    <row r="3" spans="1:2" ht="12.75">
      <c r="A3" s="469"/>
      <c r="B3" s="469"/>
    </row>
    <row r="4" spans="1:2" ht="15.75">
      <c r="A4" s="443" t="s">
        <v>772</v>
      </c>
      <c r="B4" s="470"/>
    </row>
    <row r="5" spans="1:2" s="471" customFormat="1" ht="12.75">
      <c r="A5" s="469"/>
      <c r="B5" s="469"/>
    </row>
    <row r="6" spans="1:2" ht="12.75">
      <c r="A6" s="469" t="s">
        <v>504</v>
      </c>
      <c r="B6" s="469" t="s">
        <v>505</v>
      </c>
    </row>
    <row r="7" spans="1:2" ht="12.75">
      <c r="A7" s="469" t="s">
        <v>506</v>
      </c>
      <c r="B7" s="469" t="s">
        <v>507</v>
      </c>
    </row>
    <row r="8" spans="1:2" ht="12.75">
      <c r="A8" s="469" t="s">
        <v>508</v>
      </c>
      <c r="B8" s="469" t="s">
        <v>509</v>
      </c>
    </row>
    <row r="9" spans="1:2" ht="12.75">
      <c r="A9" s="469"/>
      <c r="B9" s="469"/>
    </row>
    <row r="10" spans="1:2" ht="15.75">
      <c r="A10" s="443" t="str">
        <f>+CONCATENATE(LEFT(A4,4),". évi módosított előirányzat BEVÉTELEK")</f>
        <v>2019. évi módosított előirányzat BEVÉTELEK</v>
      </c>
      <c r="B10" s="470"/>
    </row>
    <row r="11" spans="1:2" ht="12.75">
      <c r="A11" s="469"/>
      <c r="B11" s="469"/>
    </row>
    <row r="12" spans="1:2" s="471" customFormat="1" ht="12.75">
      <c r="A12" s="469" t="s">
        <v>510</v>
      </c>
      <c r="B12" s="469" t="s">
        <v>516</v>
      </c>
    </row>
    <row r="13" spans="1:2" ht="12.75">
      <c r="A13" s="469" t="s">
        <v>511</v>
      </c>
      <c r="B13" s="469" t="s">
        <v>517</v>
      </c>
    </row>
    <row r="14" spans="1:2" ht="12.75">
      <c r="A14" s="469" t="s">
        <v>512</v>
      </c>
      <c r="B14" s="469" t="s">
        <v>518</v>
      </c>
    </row>
    <row r="15" spans="1:2" ht="12.75">
      <c r="A15" s="469"/>
      <c r="B15" s="469"/>
    </row>
    <row r="16" spans="1:2" ht="14.25">
      <c r="A16" s="472" t="str">
        <f>+CONCATENATE(LEFT(A4,4),". évi teljesítés BEVÉTELEK")</f>
        <v>2019. évi teljesítés BEVÉTELEK</v>
      </c>
      <c r="B16" s="470"/>
    </row>
    <row r="17" spans="1:2" ht="12.75">
      <c r="A17" s="469"/>
      <c r="B17" s="469"/>
    </row>
    <row r="18" spans="1:2" ht="12.75">
      <c r="A18" s="469" t="s">
        <v>513</v>
      </c>
      <c r="B18" s="469" t="s">
        <v>519</v>
      </c>
    </row>
    <row r="19" spans="1:2" ht="12.75">
      <c r="A19" s="469" t="s">
        <v>514</v>
      </c>
      <c r="B19" s="469" t="s">
        <v>520</v>
      </c>
    </row>
    <row r="20" spans="1:2" ht="12.75">
      <c r="A20" s="469" t="s">
        <v>515</v>
      </c>
      <c r="B20" s="469" t="s">
        <v>521</v>
      </c>
    </row>
    <row r="21" spans="1:2" ht="12.75">
      <c r="A21" s="469"/>
      <c r="B21" s="469"/>
    </row>
    <row r="22" spans="1:2" ht="15.75">
      <c r="A22" s="443" t="str">
        <f>+CONCATENATE(LEFT(A4,4),". évi eredeti előirányzat KIADÁSOK")</f>
        <v>2019. évi eredeti előirányzat KIADÁSOK</v>
      </c>
      <c r="B22" s="470"/>
    </row>
    <row r="23" spans="1:2" ht="12.75">
      <c r="A23" s="469"/>
      <c r="B23" s="469"/>
    </row>
    <row r="24" spans="1:2" ht="12.75">
      <c r="A24" s="469" t="s">
        <v>522</v>
      </c>
      <c r="B24" s="469" t="s">
        <v>528</v>
      </c>
    </row>
    <row r="25" spans="1:2" ht="12.75">
      <c r="A25" s="469" t="s">
        <v>501</v>
      </c>
      <c r="B25" s="469" t="s">
        <v>529</v>
      </c>
    </row>
    <row r="26" spans="1:2" ht="12.75">
      <c r="A26" s="469" t="s">
        <v>523</v>
      </c>
      <c r="B26" s="469" t="s">
        <v>530</v>
      </c>
    </row>
    <row r="27" spans="1:2" ht="12.75">
      <c r="A27" s="469"/>
      <c r="B27" s="469"/>
    </row>
    <row r="28" spans="1:2" ht="15.75">
      <c r="A28" s="443" t="str">
        <f>+CONCATENATE(LEFT(A4,4),". évi módosított előirányzat KIADÁSOK")</f>
        <v>2019. évi módosított előirányzat KIADÁSOK</v>
      </c>
      <c r="B28" s="470"/>
    </row>
    <row r="29" spans="1:2" ht="12.75">
      <c r="A29" s="469"/>
      <c r="B29" s="469"/>
    </row>
    <row r="30" spans="1:2" ht="12.75">
      <c r="A30" s="469" t="s">
        <v>524</v>
      </c>
      <c r="B30" s="469" t="s">
        <v>535</v>
      </c>
    </row>
    <row r="31" spans="1:2" ht="12.75">
      <c r="A31" s="469" t="s">
        <v>502</v>
      </c>
      <c r="B31" s="469" t="s">
        <v>532</v>
      </c>
    </row>
    <row r="32" spans="1:2" ht="12.75">
      <c r="A32" s="469" t="s">
        <v>525</v>
      </c>
      <c r="B32" s="469" t="s">
        <v>531</v>
      </c>
    </row>
    <row r="33" spans="1:2" ht="12.75">
      <c r="A33" s="469"/>
      <c r="B33" s="469"/>
    </row>
    <row r="34" spans="1:2" ht="15.75">
      <c r="A34" s="473" t="str">
        <f>+CONCATENATE(LEFT(A4,4),". évi teljesítés KIADÁSOK")</f>
        <v>2019. évi teljesítés KIADÁSOK</v>
      </c>
      <c r="B34" s="470"/>
    </row>
    <row r="35" spans="1:2" ht="12.75">
      <c r="A35" s="469"/>
      <c r="B35" s="469"/>
    </row>
    <row r="36" spans="1:2" ht="12.75">
      <c r="A36" s="469" t="s">
        <v>526</v>
      </c>
      <c r="B36" s="469" t="s">
        <v>536</v>
      </c>
    </row>
    <row r="37" spans="1:2" ht="12.75">
      <c r="A37" s="469" t="s">
        <v>503</v>
      </c>
      <c r="B37" s="469" t="s">
        <v>534</v>
      </c>
    </row>
    <row r="38" spans="1:2" ht="12.75">
      <c r="A38" s="469" t="s">
        <v>527</v>
      </c>
      <c r="B38" s="469" t="s">
        <v>533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24"/>
  <sheetViews>
    <sheetView view="pageLayout" zoomScaleSheetLayoutView="130" workbookViewId="0" topLeftCell="A1">
      <selection activeCell="G2" sqref="G1:G16384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732" t="s">
        <v>2</v>
      </c>
      <c r="B1" s="732"/>
      <c r="C1" s="732"/>
      <c r="D1" s="732"/>
      <c r="E1" s="732"/>
      <c r="F1" s="732"/>
      <c r="G1" s="732"/>
      <c r="H1" s="734" t="str">
        <f>+CONCATENATE("4. melléklet a …../",LEFT(ÖSSZEFÜGGÉSEK!A4,4)+1,". (V…....) önkormányzati rendelethez")</f>
        <v>4. melléklet a …../2020. (V…....) önkormányzati rendelethez</v>
      </c>
    </row>
    <row r="2" spans="1:8" ht="23.25" customHeight="1" thickBot="1">
      <c r="A2" s="27"/>
      <c r="B2" s="10"/>
      <c r="C2" s="10"/>
      <c r="D2" s="10"/>
      <c r="E2" s="10"/>
      <c r="F2" s="641"/>
      <c r="G2" s="639" t="str">
        <f>'3.sz.mell.'!G2</f>
        <v>Forintban!</v>
      </c>
      <c r="H2" s="734"/>
    </row>
    <row r="3" spans="1:8" s="6" customFormat="1" ht="48.75" customHeight="1" thickBot="1">
      <c r="A3" s="28" t="s">
        <v>56</v>
      </c>
      <c r="B3" s="29" t="s">
        <v>54</v>
      </c>
      <c r="C3" s="29" t="s">
        <v>55</v>
      </c>
      <c r="D3" s="29" t="str">
        <f>+'3.sz.mell.'!D3</f>
        <v>Felhasználás 2018. XII.31-ig</v>
      </c>
      <c r="E3" s="29" t="str">
        <f>+'3.sz.mell.'!E3</f>
        <v>2019. évi módosított előirányzat</v>
      </c>
      <c r="F3" s="83" t="str">
        <f>+'3.sz.mell.'!F3</f>
        <v>2019. évi teljesítés</v>
      </c>
      <c r="G3" s="82" t="str">
        <f>+'3.sz.mell.'!G3</f>
        <v>Összes teljesítés 2019. dec. 31-ig</v>
      </c>
      <c r="H3" s="734"/>
    </row>
    <row r="4" spans="1:8" s="10" customFormat="1" ht="15" customHeight="1" thickBot="1">
      <c r="A4" s="436" t="s">
        <v>410</v>
      </c>
      <c r="B4" s="437" t="s">
        <v>411</v>
      </c>
      <c r="C4" s="437" t="s">
        <v>412</v>
      </c>
      <c r="D4" s="437" t="s">
        <v>413</v>
      </c>
      <c r="E4" s="437" t="s">
        <v>414</v>
      </c>
      <c r="F4" s="50" t="s">
        <v>491</v>
      </c>
      <c r="G4" s="438" t="s">
        <v>537</v>
      </c>
      <c r="H4" s="734"/>
    </row>
    <row r="5" spans="1:8" ht="24">
      <c r="A5" s="712" t="s">
        <v>764</v>
      </c>
      <c r="B5" s="717" t="s">
        <v>775</v>
      </c>
      <c r="C5" s="305" t="s">
        <v>765</v>
      </c>
      <c r="D5" s="2"/>
      <c r="E5" s="717">
        <v>25979629</v>
      </c>
      <c r="F5" s="51">
        <v>25979629</v>
      </c>
      <c r="G5" s="52">
        <f>+D5+F5</f>
        <v>25979629</v>
      </c>
      <c r="H5" s="734"/>
    </row>
    <row r="6" spans="1:8" ht="48">
      <c r="A6" s="711" t="s">
        <v>766</v>
      </c>
      <c r="B6" s="2">
        <v>108212249</v>
      </c>
      <c r="C6" s="305" t="s">
        <v>763</v>
      </c>
      <c r="D6" s="2">
        <v>2258245</v>
      </c>
      <c r="E6" s="2">
        <v>105954004</v>
      </c>
      <c r="F6" s="51">
        <v>105954004</v>
      </c>
      <c r="G6" s="52">
        <f aca="true" t="shared" si="0" ref="G6:G23">+D6+F6</f>
        <v>108212249</v>
      </c>
      <c r="H6" s="734"/>
    </row>
    <row r="7" spans="1:8" ht="12.75">
      <c r="A7" s="712"/>
      <c r="B7" s="2"/>
      <c r="C7" s="305"/>
      <c r="D7" s="2"/>
      <c r="E7" s="2"/>
      <c r="F7" s="51"/>
      <c r="G7" s="52">
        <f t="shared" si="0"/>
        <v>0</v>
      </c>
      <c r="H7" s="734"/>
    </row>
    <row r="8" spans="1:8" ht="15.75" customHeight="1">
      <c r="A8" s="18"/>
      <c r="B8" s="2"/>
      <c r="C8" s="305"/>
      <c r="D8" s="2"/>
      <c r="E8" s="2"/>
      <c r="F8" s="51"/>
      <c r="G8" s="52">
        <f t="shared" si="0"/>
        <v>0</v>
      </c>
      <c r="H8" s="734"/>
    </row>
    <row r="9" spans="1:8" ht="15.75" customHeight="1">
      <c r="A9" s="18"/>
      <c r="B9" s="2"/>
      <c r="C9" s="305"/>
      <c r="D9" s="2"/>
      <c r="E9" s="2"/>
      <c r="F9" s="51"/>
      <c r="G9" s="52">
        <f t="shared" si="0"/>
        <v>0</v>
      </c>
      <c r="H9" s="734"/>
    </row>
    <row r="10" spans="1:8" ht="15.75" customHeight="1">
      <c r="A10" s="18"/>
      <c r="B10" s="2"/>
      <c r="C10" s="305"/>
      <c r="D10" s="2"/>
      <c r="E10" s="2"/>
      <c r="F10" s="51"/>
      <c r="G10" s="52">
        <f t="shared" si="0"/>
        <v>0</v>
      </c>
      <c r="H10" s="734"/>
    </row>
    <row r="11" spans="1:8" ht="15.75" customHeight="1">
      <c r="A11" s="18"/>
      <c r="B11" s="2"/>
      <c r="C11" s="305"/>
      <c r="D11" s="2"/>
      <c r="E11" s="2"/>
      <c r="F11" s="51"/>
      <c r="G11" s="52">
        <f t="shared" si="0"/>
        <v>0</v>
      </c>
      <c r="H11" s="734"/>
    </row>
    <row r="12" spans="1:8" ht="15.75" customHeight="1">
      <c r="A12" s="18"/>
      <c r="B12" s="2"/>
      <c r="C12" s="305"/>
      <c r="D12" s="2"/>
      <c r="E12" s="2"/>
      <c r="F12" s="51"/>
      <c r="G12" s="52">
        <f t="shared" si="0"/>
        <v>0</v>
      </c>
      <c r="H12" s="734"/>
    </row>
    <row r="13" spans="1:8" ht="15.75" customHeight="1">
      <c r="A13" s="18"/>
      <c r="B13" s="2"/>
      <c r="C13" s="305"/>
      <c r="D13" s="2"/>
      <c r="E13" s="2"/>
      <c r="F13" s="51"/>
      <c r="G13" s="52">
        <f t="shared" si="0"/>
        <v>0</v>
      </c>
      <c r="H13" s="734"/>
    </row>
    <row r="14" spans="1:8" ht="15.75" customHeight="1">
      <c r="A14" s="18"/>
      <c r="B14" s="2"/>
      <c r="C14" s="305"/>
      <c r="D14" s="2"/>
      <c r="E14" s="2"/>
      <c r="F14" s="51"/>
      <c r="G14" s="52">
        <f t="shared" si="0"/>
        <v>0</v>
      </c>
      <c r="H14" s="734"/>
    </row>
    <row r="15" spans="1:8" ht="15.75" customHeight="1">
      <c r="A15" s="18"/>
      <c r="B15" s="2"/>
      <c r="C15" s="305"/>
      <c r="D15" s="2"/>
      <c r="E15" s="2"/>
      <c r="F15" s="51"/>
      <c r="G15" s="52">
        <f t="shared" si="0"/>
        <v>0</v>
      </c>
      <c r="H15" s="734"/>
    </row>
    <row r="16" spans="1:8" ht="15.75" customHeight="1">
      <c r="A16" s="18"/>
      <c r="B16" s="2"/>
      <c r="C16" s="305"/>
      <c r="D16" s="2"/>
      <c r="E16" s="2"/>
      <c r="F16" s="51"/>
      <c r="G16" s="52">
        <f t="shared" si="0"/>
        <v>0</v>
      </c>
      <c r="H16" s="734"/>
    </row>
    <row r="17" spans="1:8" ht="15.75" customHeight="1">
      <c r="A17" s="18"/>
      <c r="B17" s="2"/>
      <c r="C17" s="305"/>
      <c r="D17" s="2"/>
      <c r="E17" s="2"/>
      <c r="F17" s="51"/>
      <c r="G17" s="52">
        <f t="shared" si="0"/>
        <v>0</v>
      </c>
      <c r="H17" s="734"/>
    </row>
    <row r="18" spans="1:8" ht="15.75" customHeight="1">
      <c r="A18" s="18"/>
      <c r="B18" s="2"/>
      <c r="C18" s="305"/>
      <c r="D18" s="2"/>
      <c r="E18" s="2"/>
      <c r="F18" s="51"/>
      <c r="G18" s="52">
        <f t="shared" si="0"/>
        <v>0</v>
      </c>
      <c r="H18" s="734"/>
    </row>
    <row r="19" spans="1:8" ht="15.75" customHeight="1">
      <c r="A19" s="18"/>
      <c r="B19" s="2"/>
      <c r="C19" s="305"/>
      <c r="D19" s="2"/>
      <c r="E19" s="2"/>
      <c r="F19" s="51"/>
      <c r="G19" s="52">
        <f t="shared" si="0"/>
        <v>0</v>
      </c>
      <c r="H19" s="734"/>
    </row>
    <row r="20" spans="1:8" ht="15.75" customHeight="1">
      <c r="A20" s="18"/>
      <c r="B20" s="2"/>
      <c r="C20" s="305"/>
      <c r="D20" s="2"/>
      <c r="E20" s="2"/>
      <c r="F20" s="51"/>
      <c r="G20" s="52">
        <f t="shared" si="0"/>
        <v>0</v>
      </c>
      <c r="H20" s="734"/>
    </row>
    <row r="21" spans="1:8" ht="15.75" customHeight="1">
      <c r="A21" s="18"/>
      <c r="B21" s="2"/>
      <c r="C21" s="305"/>
      <c r="D21" s="2"/>
      <c r="E21" s="2"/>
      <c r="F21" s="51"/>
      <c r="G21" s="52">
        <f t="shared" si="0"/>
        <v>0</v>
      </c>
      <c r="H21" s="734"/>
    </row>
    <row r="22" spans="1:8" ht="15.75" customHeight="1">
      <c r="A22" s="18"/>
      <c r="B22" s="2"/>
      <c r="C22" s="305"/>
      <c r="D22" s="2"/>
      <c r="E22" s="2"/>
      <c r="F22" s="51"/>
      <c r="G22" s="52">
        <f t="shared" si="0"/>
        <v>0</v>
      </c>
      <c r="H22" s="734"/>
    </row>
    <row r="23" spans="1:8" ht="15.75" customHeight="1" thickBot="1">
      <c r="A23" s="19"/>
      <c r="B23" s="3"/>
      <c r="C23" s="306"/>
      <c r="D23" s="3"/>
      <c r="E23" s="3"/>
      <c r="F23" s="53"/>
      <c r="G23" s="52">
        <f t="shared" si="0"/>
        <v>0</v>
      </c>
      <c r="H23" s="734"/>
    </row>
    <row r="24" spans="1:8" s="17" customFormat="1" ht="18" customHeight="1" thickBot="1">
      <c r="A24" s="30" t="s">
        <v>52</v>
      </c>
      <c r="B24" s="15">
        <f>SUM(B5:B23)</f>
        <v>108212249</v>
      </c>
      <c r="C24" s="22"/>
      <c r="D24" s="15">
        <f>SUM(D5:D23)</f>
        <v>2258245</v>
      </c>
      <c r="E24" s="15">
        <f>SUM(E5:E23)</f>
        <v>131933633</v>
      </c>
      <c r="F24" s="15">
        <f>SUM(F5:F23)</f>
        <v>131933633</v>
      </c>
      <c r="G24" s="16">
        <f>SUM(G5:G23)</f>
        <v>134191878</v>
      </c>
      <c r="H24" s="734"/>
    </row>
  </sheetData>
  <sheetProtection/>
  <mergeCells count="2">
    <mergeCell ref="A1:G1"/>
    <mergeCell ref="H1:H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6" r:id="rId1"/>
  <headerFooter alignWithMargins="0">
    <oddHeader>&amp;R4. melléklet a 4/2020. (VI.30.)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view="pageLayout" zoomScaleNormal="130" zoomScaleSheetLayoutView="100" workbookViewId="0" topLeftCell="A1">
      <selection activeCell="I11" sqref="I11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749" t="s">
        <v>0</v>
      </c>
      <c r="B1" s="749"/>
      <c r="C1" s="749"/>
      <c r="D1" s="750"/>
      <c r="E1" s="750"/>
      <c r="F1" s="750"/>
      <c r="G1" s="750"/>
      <c r="H1" s="750"/>
      <c r="I1" s="750"/>
      <c r="J1" s="750"/>
      <c r="K1" s="750"/>
      <c r="L1" s="750"/>
      <c r="M1" s="750"/>
      <c r="N1" s="739" t="str">
        <f>+CONCATENATE("5. melléklet a 5/",LEFT(ÖSSZEFÜGGÉSEK!A4,4)+1,". (V……) önkormányzati rendelethez    ")</f>
        <v>5. melléklet a 5/2020. (V……) önkormányzati rendelethez    </v>
      </c>
    </row>
    <row r="2" spans="1:14" ht="15.75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642"/>
      <c r="M2" s="640" t="str">
        <f>'4.sz.mell.'!G2</f>
        <v>Forintban!</v>
      </c>
      <c r="N2" s="739"/>
    </row>
    <row r="3" spans="1:14" ht="13.5" thickBot="1">
      <c r="A3" s="755" t="s">
        <v>90</v>
      </c>
      <c r="B3" s="753" t="s">
        <v>178</v>
      </c>
      <c r="C3" s="753"/>
      <c r="D3" s="753"/>
      <c r="E3" s="753"/>
      <c r="F3" s="753"/>
      <c r="G3" s="753"/>
      <c r="H3" s="753"/>
      <c r="I3" s="753"/>
      <c r="J3" s="744" t="s">
        <v>180</v>
      </c>
      <c r="K3" s="744"/>
      <c r="L3" s="744"/>
      <c r="M3" s="744"/>
      <c r="N3" s="739"/>
    </row>
    <row r="4" spans="1:14" ht="15" customHeight="1" thickBot="1">
      <c r="A4" s="756"/>
      <c r="B4" s="735" t="s">
        <v>181</v>
      </c>
      <c r="C4" s="752" t="s">
        <v>182</v>
      </c>
      <c r="D4" s="748" t="s">
        <v>176</v>
      </c>
      <c r="E4" s="748"/>
      <c r="F4" s="748"/>
      <c r="G4" s="748"/>
      <c r="H4" s="748"/>
      <c r="I4" s="748"/>
      <c r="J4" s="745"/>
      <c r="K4" s="745"/>
      <c r="L4" s="745"/>
      <c r="M4" s="745"/>
      <c r="N4" s="739"/>
    </row>
    <row r="5" spans="1:14" ht="21.75" thickBot="1">
      <c r="A5" s="756"/>
      <c r="B5" s="735"/>
      <c r="C5" s="752"/>
      <c r="D5" s="55" t="s">
        <v>181</v>
      </c>
      <c r="E5" s="55" t="s">
        <v>182</v>
      </c>
      <c r="F5" s="55" t="s">
        <v>181</v>
      </c>
      <c r="G5" s="55" t="s">
        <v>182</v>
      </c>
      <c r="H5" s="55" t="s">
        <v>181</v>
      </c>
      <c r="I5" s="55" t="s">
        <v>182</v>
      </c>
      <c r="J5" s="745"/>
      <c r="K5" s="745"/>
      <c r="L5" s="745"/>
      <c r="M5" s="745"/>
      <c r="N5" s="739"/>
    </row>
    <row r="6" spans="1:14" ht="32.25" thickBot="1">
      <c r="A6" s="757"/>
      <c r="B6" s="752" t="s">
        <v>177</v>
      </c>
      <c r="C6" s="752"/>
      <c r="D6" s="752" t="str">
        <f>+CONCATENATE(LEFT(ÖSSZEFÜGGÉSEK!A4,4),". előtt")</f>
        <v>2019. előtt</v>
      </c>
      <c r="E6" s="752"/>
      <c r="F6" s="752" t="str">
        <f>+CONCATENATE(LEFT(ÖSSZEFÜGGÉSEK!A4,4),". évi")</f>
        <v>2019. évi</v>
      </c>
      <c r="G6" s="752"/>
      <c r="H6" s="735" t="str">
        <f>+CONCATENATE(LEFT(ÖSSZEFÜGGÉSEK!A4,4),". után")</f>
        <v>2019. után</v>
      </c>
      <c r="I6" s="735"/>
      <c r="J6" s="54" t="str">
        <f>+D6</f>
        <v>2019. előtt</v>
      </c>
      <c r="K6" s="55" t="str">
        <f>+F6</f>
        <v>2019. évi</v>
      </c>
      <c r="L6" s="54" t="s">
        <v>39</v>
      </c>
      <c r="M6" s="55" t="str">
        <f>+CONCATENATE("Teljesítés %-a ",LEFT(ÖSSZEFÜGGÉSEK!A4,4),". XII. 31-ig")</f>
        <v>Teljesítés %-a 2019. XII. 31-ig</v>
      </c>
      <c r="N6" s="739"/>
    </row>
    <row r="7" spans="1:14" ht="13.5" thickBot="1">
      <c r="A7" s="56" t="s">
        <v>410</v>
      </c>
      <c r="B7" s="54" t="s">
        <v>411</v>
      </c>
      <c r="C7" s="54" t="s">
        <v>412</v>
      </c>
      <c r="D7" s="57" t="s">
        <v>413</v>
      </c>
      <c r="E7" s="55" t="s">
        <v>414</v>
      </c>
      <c r="F7" s="55" t="s">
        <v>491</v>
      </c>
      <c r="G7" s="55" t="s">
        <v>492</v>
      </c>
      <c r="H7" s="54" t="s">
        <v>493</v>
      </c>
      <c r="I7" s="57" t="s">
        <v>494</v>
      </c>
      <c r="J7" s="57" t="s">
        <v>538</v>
      </c>
      <c r="K7" s="57" t="s">
        <v>539</v>
      </c>
      <c r="L7" s="57" t="s">
        <v>540</v>
      </c>
      <c r="M7" s="58" t="s">
        <v>541</v>
      </c>
      <c r="N7" s="739"/>
    </row>
    <row r="8" spans="1:14" ht="12.75">
      <c r="A8" s="59" t="s">
        <v>91</v>
      </c>
      <c r="B8" s="646"/>
      <c r="C8" s="647"/>
      <c r="D8" s="647"/>
      <c r="E8" s="648"/>
      <c r="F8" s="647"/>
      <c r="G8" s="647"/>
      <c r="H8" s="647"/>
      <c r="I8" s="647"/>
      <c r="J8" s="647"/>
      <c r="K8" s="647"/>
      <c r="L8" s="649">
        <f aca="true" t="shared" si="0" ref="L8:L14">+J8+K8</f>
        <v>0</v>
      </c>
      <c r="M8" s="650">
        <f>IF((C8&lt;&gt;0),ROUND((L8/C8)*100,1),"")</f>
      </c>
      <c r="N8" s="739"/>
    </row>
    <row r="9" spans="1:14" ht="12.75">
      <c r="A9" s="60" t="s">
        <v>103</v>
      </c>
      <c r="B9" s="651"/>
      <c r="C9" s="652"/>
      <c r="D9" s="652"/>
      <c r="E9" s="652"/>
      <c r="F9" s="652"/>
      <c r="G9" s="652"/>
      <c r="H9" s="652"/>
      <c r="I9" s="652"/>
      <c r="J9" s="652"/>
      <c r="K9" s="652"/>
      <c r="L9" s="653">
        <f t="shared" si="0"/>
        <v>0</v>
      </c>
      <c r="M9" s="654">
        <f aca="true" t="shared" si="1" ref="M9:M14">IF((C9&lt;&gt;0),ROUND((L9/C9)*100,1),"")</f>
      </c>
      <c r="N9" s="739"/>
    </row>
    <row r="10" spans="1:14" ht="12.75">
      <c r="A10" s="61" t="s">
        <v>92</v>
      </c>
      <c r="B10" s="655"/>
      <c r="C10" s="656"/>
      <c r="D10" s="656"/>
      <c r="E10" s="656"/>
      <c r="F10" s="656"/>
      <c r="G10" s="656"/>
      <c r="H10" s="656"/>
      <c r="I10" s="656"/>
      <c r="J10" s="656"/>
      <c r="K10" s="656"/>
      <c r="L10" s="653">
        <f t="shared" si="0"/>
        <v>0</v>
      </c>
      <c r="M10" s="654">
        <f t="shared" si="1"/>
      </c>
      <c r="N10" s="739"/>
    </row>
    <row r="11" spans="1:14" ht="12.75">
      <c r="A11" s="61" t="s">
        <v>104</v>
      </c>
      <c r="B11" s="655"/>
      <c r="C11" s="656"/>
      <c r="D11" s="656"/>
      <c r="E11" s="656"/>
      <c r="F11" s="656"/>
      <c r="G11" s="656"/>
      <c r="H11" s="656"/>
      <c r="I11" s="656"/>
      <c r="J11" s="656"/>
      <c r="K11" s="656"/>
      <c r="L11" s="653">
        <f t="shared" si="0"/>
        <v>0</v>
      </c>
      <c r="M11" s="654">
        <f t="shared" si="1"/>
      </c>
      <c r="N11" s="739"/>
    </row>
    <row r="12" spans="1:14" ht="12.75">
      <c r="A12" s="61" t="s">
        <v>93</v>
      </c>
      <c r="B12" s="655"/>
      <c r="C12" s="656"/>
      <c r="D12" s="656"/>
      <c r="E12" s="656"/>
      <c r="F12" s="656"/>
      <c r="G12" s="656"/>
      <c r="H12" s="656"/>
      <c r="I12" s="656"/>
      <c r="J12" s="656"/>
      <c r="K12" s="656"/>
      <c r="L12" s="653">
        <f t="shared" si="0"/>
        <v>0</v>
      </c>
      <c r="M12" s="654">
        <f t="shared" si="1"/>
      </c>
      <c r="N12" s="739"/>
    </row>
    <row r="13" spans="1:14" ht="12.75">
      <c r="A13" s="61" t="s">
        <v>94</v>
      </c>
      <c r="B13" s="655"/>
      <c r="C13" s="656"/>
      <c r="D13" s="656"/>
      <c r="E13" s="656"/>
      <c r="F13" s="656"/>
      <c r="G13" s="656"/>
      <c r="H13" s="656"/>
      <c r="I13" s="656"/>
      <c r="J13" s="656"/>
      <c r="K13" s="656"/>
      <c r="L13" s="653">
        <f t="shared" si="0"/>
        <v>0</v>
      </c>
      <c r="M13" s="654">
        <f t="shared" si="1"/>
      </c>
      <c r="N13" s="739"/>
    </row>
    <row r="14" spans="1:14" ht="15" customHeight="1" thickBot="1">
      <c r="A14" s="62"/>
      <c r="B14" s="657"/>
      <c r="C14" s="658"/>
      <c r="D14" s="658"/>
      <c r="E14" s="658"/>
      <c r="F14" s="658"/>
      <c r="G14" s="658"/>
      <c r="H14" s="658"/>
      <c r="I14" s="658"/>
      <c r="J14" s="658"/>
      <c r="K14" s="658"/>
      <c r="L14" s="653">
        <f t="shared" si="0"/>
        <v>0</v>
      </c>
      <c r="M14" s="659">
        <f t="shared" si="1"/>
      </c>
      <c r="N14" s="739"/>
    </row>
    <row r="15" spans="1:14" ht="13.5" thickBot="1">
      <c r="A15" s="63" t="s">
        <v>96</v>
      </c>
      <c r="B15" s="660">
        <f>B8+SUM(B10:B14)</f>
        <v>0</v>
      </c>
      <c r="C15" s="660">
        <f aca="true" t="shared" si="2" ref="C15:L15">C8+SUM(C10:C14)</f>
        <v>0</v>
      </c>
      <c r="D15" s="660">
        <f t="shared" si="2"/>
        <v>0</v>
      </c>
      <c r="E15" s="660">
        <f t="shared" si="2"/>
        <v>0</v>
      </c>
      <c r="F15" s="660">
        <f t="shared" si="2"/>
        <v>0</v>
      </c>
      <c r="G15" s="660">
        <f t="shared" si="2"/>
        <v>0</v>
      </c>
      <c r="H15" s="660">
        <f t="shared" si="2"/>
        <v>0</v>
      </c>
      <c r="I15" s="660">
        <f t="shared" si="2"/>
        <v>0</v>
      </c>
      <c r="J15" s="660">
        <f t="shared" si="2"/>
        <v>0</v>
      </c>
      <c r="K15" s="660">
        <f t="shared" si="2"/>
        <v>0</v>
      </c>
      <c r="L15" s="660">
        <f t="shared" si="2"/>
        <v>0</v>
      </c>
      <c r="M15" s="661">
        <f>IF((C15&lt;&gt;0),ROUND((L15/C15)*100,1),"")</f>
      </c>
      <c r="N15" s="739"/>
    </row>
    <row r="16" spans="1:14" ht="12.75">
      <c r="A16" s="64"/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739"/>
    </row>
    <row r="17" spans="1:14" ht="13.5" thickBot="1">
      <c r="A17" s="67" t="s">
        <v>95</v>
      </c>
      <c r="B17" s="68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739"/>
    </row>
    <row r="18" spans="1:14" ht="12.75">
      <c r="A18" s="70" t="s">
        <v>99</v>
      </c>
      <c r="B18" s="646"/>
      <c r="C18" s="647"/>
      <c r="D18" s="647"/>
      <c r="E18" s="648"/>
      <c r="F18" s="647"/>
      <c r="G18" s="647"/>
      <c r="H18" s="647"/>
      <c r="I18" s="647"/>
      <c r="J18" s="647"/>
      <c r="K18" s="647"/>
      <c r="L18" s="662">
        <f aca="true" t="shared" si="3" ref="L18:L23">+J18+K18</f>
        <v>0</v>
      </c>
      <c r="M18" s="650">
        <f aca="true" t="shared" si="4" ref="M18:M24">IF((C18&lt;&gt;0),ROUND((L18/C18)*100,1),"")</f>
      </c>
      <c r="N18" s="739"/>
    </row>
    <row r="19" spans="1:14" ht="12.75">
      <c r="A19" s="71" t="s">
        <v>100</v>
      </c>
      <c r="B19" s="651"/>
      <c r="C19" s="656"/>
      <c r="D19" s="656"/>
      <c r="E19" s="656"/>
      <c r="F19" s="656"/>
      <c r="G19" s="656"/>
      <c r="H19" s="656"/>
      <c r="I19" s="656"/>
      <c r="J19" s="656"/>
      <c r="K19" s="656"/>
      <c r="L19" s="663">
        <f t="shared" si="3"/>
        <v>0</v>
      </c>
      <c r="M19" s="654">
        <f t="shared" si="4"/>
      </c>
      <c r="N19" s="739"/>
    </row>
    <row r="20" spans="1:14" ht="12.75">
      <c r="A20" s="71" t="s">
        <v>101</v>
      </c>
      <c r="B20" s="655"/>
      <c r="C20" s="656"/>
      <c r="D20" s="656"/>
      <c r="E20" s="656"/>
      <c r="F20" s="656"/>
      <c r="G20" s="656"/>
      <c r="H20" s="656"/>
      <c r="I20" s="656"/>
      <c r="J20" s="656"/>
      <c r="K20" s="656"/>
      <c r="L20" s="663">
        <f t="shared" si="3"/>
        <v>0</v>
      </c>
      <c r="M20" s="654">
        <f t="shared" si="4"/>
      </c>
      <c r="N20" s="739"/>
    </row>
    <row r="21" spans="1:14" ht="12.75">
      <c r="A21" s="71" t="s">
        <v>102</v>
      </c>
      <c r="B21" s="655"/>
      <c r="C21" s="656"/>
      <c r="D21" s="656"/>
      <c r="E21" s="656"/>
      <c r="F21" s="656"/>
      <c r="G21" s="656"/>
      <c r="H21" s="656"/>
      <c r="I21" s="656"/>
      <c r="J21" s="656"/>
      <c r="K21" s="656"/>
      <c r="L21" s="663">
        <f t="shared" si="3"/>
        <v>0</v>
      </c>
      <c r="M21" s="654">
        <f t="shared" si="4"/>
      </c>
      <c r="N21" s="739"/>
    </row>
    <row r="22" spans="1:14" ht="12.75">
      <c r="A22" s="72"/>
      <c r="B22" s="655"/>
      <c r="C22" s="656"/>
      <c r="D22" s="656"/>
      <c r="E22" s="656"/>
      <c r="F22" s="656"/>
      <c r="G22" s="656"/>
      <c r="H22" s="656"/>
      <c r="I22" s="656"/>
      <c r="J22" s="656"/>
      <c r="K22" s="656"/>
      <c r="L22" s="663">
        <f t="shared" si="3"/>
        <v>0</v>
      </c>
      <c r="M22" s="654">
        <f t="shared" si="4"/>
      </c>
      <c r="N22" s="739"/>
    </row>
    <row r="23" spans="1:14" ht="13.5" thickBot="1">
      <c r="A23" s="73"/>
      <c r="B23" s="657"/>
      <c r="C23" s="658"/>
      <c r="D23" s="658"/>
      <c r="E23" s="658"/>
      <c r="F23" s="658"/>
      <c r="G23" s="658"/>
      <c r="H23" s="658"/>
      <c r="I23" s="658"/>
      <c r="J23" s="658"/>
      <c r="K23" s="658"/>
      <c r="L23" s="663">
        <f t="shared" si="3"/>
        <v>0</v>
      </c>
      <c r="M23" s="659">
        <f t="shared" si="4"/>
      </c>
      <c r="N23" s="739"/>
    </row>
    <row r="24" spans="1:14" ht="13.5" thickBot="1">
      <c r="A24" s="74" t="s">
        <v>80</v>
      </c>
      <c r="B24" s="660">
        <f aca="true" t="shared" si="5" ref="B24:L24">SUM(B18:B23)</f>
        <v>0</v>
      </c>
      <c r="C24" s="660">
        <f t="shared" si="5"/>
        <v>0</v>
      </c>
      <c r="D24" s="660">
        <f t="shared" si="5"/>
        <v>0</v>
      </c>
      <c r="E24" s="660">
        <f t="shared" si="5"/>
        <v>0</v>
      </c>
      <c r="F24" s="660">
        <f t="shared" si="5"/>
        <v>0</v>
      </c>
      <c r="G24" s="660">
        <f t="shared" si="5"/>
        <v>0</v>
      </c>
      <c r="H24" s="660">
        <f t="shared" si="5"/>
        <v>0</v>
      </c>
      <c r="I24" s="660">
        <f t="shared" si="5"/>
        <v>0</v>
      </c>
      <c r="J24" s="660">
        <f t="shared" si="5"/>
        <v>0</v>
      </c>
      <c r="K24" s="660">
        <f t="shared" si="5"/>
        <v>0</v>
      </c>
      <c r="L24" s="660">
        <f t="shared" si="5"/>
        <v>0</v>
      </c>
      <c r="M24" s="661">
        <f t="shared" si="4"/>
      </c>
      <c r="N24" s="739"/>
    </row>
    <row r="25" spans="1:14" ht="12.75">
      <c r="A25" s="751" t="s">
        <v>175</v>
      </c>
      <c r="B25" s="751"/>
      <c r="C25" s="751"/>
      <c r="D25" s="751"/>
      <c r="E25" s="751"/>
      <c r="F25" s="751"/>
      <c r="G25" s="751"/>
      <c r="H25" s="751"/>
      <c r="I25" s="751"/>
      <c r="J25" s="751"/>
      <c r="K25" s="751"/>
      <c r="L25" s="751"/>
      <c r="M25" s="751"/>
      <c r="N25" s="739"/>
    </row>
    <row r="26" spans="1:14" ht="5.2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39"/>
    </row>
    <row r="27" spans="1:14" ht="15.75">
      <c r="A27" s="738" t="str">
        <f>+CONCATENATE("Önkormányzaton kívüli EU-s projekthez történő hozzájárulás ",LEFT(ÖSSZEFÜGGÉSEK!A4,4),". évi előirányzata és teljesítése")</f>
        <v>Önkormányzaton kívüli EU-s projekthez történő hozzájárulás 2019. évi előirányzata és teljesítése</v>
      </c>
      <c r="B27" s="738"/>
      <c r="C27" s="738"/>
      <c r="D27" s="738"/>
      <c r="E27" s="738"/>
      <c r="F27" s="738"/>
      <c r="G27" s="738"/>
      <c r="H27" s="738"/>
      <c r="I27" s="738"/>
      <c r="J27" s="738"/>
      <c r="K27" s="738"/>
      <c r="L27" s="738"/>
      <c r="M27" s="738"/>
      <c r="N27" s="739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54" t="str">
        <f>M2</f>
        <v>Forintban!</v>
      </c>
      <c r="M28" s="754"/>
      <c r="N28" s="739"/>
    </row>
    <row r="29" spans="1:14" ht="21.75" thickBot="1">
      <c r="A29" s="746" t="s">
        <v>97</v>
      </c>
      <c r="B29" s="747"/>
      <c r="C29" s="747"/>
      <c r="D29" s="747"/>
      <c r="E29" s="747"/>
      <c r="F29" s="747"/>
      <c r="G29" s="747"/>
      <c r="H29" s="747"/>
      <c r="I29" s="747"/>
      <c r="J29" s="747"/>
      <c r="K29" s="76" t="s">
        <v>664</v>
      </c>
      <c r="L29" s="76" t="s">
        <v>663</v>
      </c>
      <c r="M29" s="76" t="s">
        <v>180</v>
      </c>
      <c r="N29" s="739"/>
    </row>
    <row r="30" spans="1:14" ht="12.75">
      <c r="A30" s="740"/>
      <c r="B30" s="741"/>
      <c r="C30" s="741"/>
      <c r="D30" s="741"/>
      <c r="E30" s="741"/>
      <c r="F30" s="741"/>
      <c r="G30" s="741"/>
      <c r="H30" s="741"/>
      <c r="I30" s="741"/>
      <c r="J30" s="741"/>
      <c r="K30" s="648"/>
      <c r="L30" s="664"/>
      <c r="M30" s="664"/>
      <c r="N30" s="739"/>
    </row>
    <row r="31" spans="1:14" ht="13.5" thickBot="1">
      <c r="A31" s="742"/>
      <c r="B31" s="743"/>
      <c r="C31" s="743"/>
      <c r="D31" s="743"/>
      <c r="E31" s="743"/>
      <c r="F31" s="743"/>
      <c r="G31" s="743"/>
      <c r="H31" s="743"/>
      <c r="I31" s="743"/>
      <c r="J31" s="743"/>
      <c r="K31" s="665"/>
      <c r="L31" s="658"/>
      <c r="M31" s="658"/>
      <c r="N31" s="739"/>
    </row>
    <row r="32" spans="1:14" ht="13.5" thickBot="1">
      <c r="A32" s="736" t="s">
        <v>40</v>
      </c>
      <c r="B32" s="737"/>
      <c r="C32" s="737"/>
      <c r="D32" s="737"/>
      <c r="E32" s="737"/>
      <c r="F32" s="737"/>
      <c r="G32" s="737"/>
      <c r="H32" s="737"/>
      <c r="I32" s="737"/>
      <c r="J32" s="737"/>
      <c r="K32" s="666">
        <f>SUM(K30:K31)</f>
        <v>0</v>
      </c>
      <c r="L32" s="666">
        <f>SUM(L30:L31)</f>
        <v>0</v>
      </c>
      <c r="M32" s="666">
        <f>SUM(M30:M31)</f>
        <v>0</v>
      </c>
      <c r="N32" s="739"/>
    </row>
    <row r="33" ht="12.75">
      <c r="N33" s="739"/>
    </row>
    <row r="48" ht="12.75">
      <c r="A48" s="9"/>
    </row>
  </sheetData>
  <sheetProtection/>
  <mergeCells count="20">
    <mergeCell ref="A1:C1"/>
    <mergeCell ref="D1:M1"/>
    <mergeCell ref="A25:M25"/>
    <mergeCell ref="B6:C6"/>
    <mergeCell ref="B3:I3"/>
    <mergeCell ref="L28:M28"/>
    <mergeCell ref="F6:G6"/>
    <mergeCell ref="C4:C5"/>
    <mergeCell ref="D6:E6"/>
    <mergeCell ref="A3:A6"/>
    <mergeCell ref="H6:I6"/>
    <mergeCell ref="A32:J32"/>
    <mergeCell ref="B4:B5"/>
    <mergeCell ref="A27:M27"/>
    <mergeCell ref="N1:N33"/>
    <mergeCell ref="A30:J30"/>
    <mergeCell ref="A31:J31"/>
    <mergeCell ref="J3:M5"/>
    <mergeCell ref="A29:J29"/>
    <mergeCell ref="D4:I4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hozzájárulások&amp;R5. melléklet a 4/2020. (VI.30.)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149"/>
  <sheetViews>
    <sheetView zoomScaleSheetLayoutView="100" workbookViewId="0" topLeftCell="A1">
      <selection activeCell="C1" sqref="C1:E1"/>
    </sheetView>
  </sheetViews>
  <sheetFormatPr defaultColWidth="9.00390625" defaultRowHeight="12.75"/>
  <cols>
    <col min="1" max="1" width="14.875" style="507" customWidth="1"/>
    <col min="2" max="2" width="65.375" style="508" customWidth="1"/>
    <col min="3" max="5" width="17.00390625" style="509" customWidth="1"/>
    <col min="6" max="16384" width="9.375" style="33" customWidth="1"/>
  </cols>
  <sheetData>
    <row r="1" spans="1:5" s="484" customFormat="1" ht="16.5" customHeight="1" thickBot="1">
      <c r="A1" s="483"/>
      <c r="B1" s="485"/>
      <c r="C1" s="867" t="s">
        <v>779</v>
      </c>
      <c r="D1" s="868"/>
      <c r="E1" s="868"/>
    </row>
    <row r="2" spans="1:5" s="530" customFormat="1" ht="15.75" customHeight="1">
      <c r="A2" s="510" t="s">
        <v>50</v>
      </c>
      <c r="B2" s="761" t="s">
        <v>742</v>
      </c>
      <c r="C2" s="762"/>
      <c r="D2" s="763"/>
      <c r="E2" s="503" t="s">
        <v>41</v>
      </c>
    </row>
    <row r="3" spans="1:5" s="530" customFormat="1" ht="24.75" thickBot="1">
      <c r="A3" s="528" t="s">
        <v>543</v>
      </c>
      <c r="B3" s="764" t="s">
        <v>542</v>
      </c>
      <c r="C3" s="765"/>
      <c r="D3" s="766"/>
      <c r="E3" s="479" t="s">
        <v>41</v>
      </c>
    </row>
    <row r="4" spans="1:5" s="531" customFormat="1" ht="15.75" customHeight="1" thickBot="1">
      <c r="A4" s="486"/>
      <c r="B4" s="486"/>
      <c r="C4" s="487"/>
      <c r="D4" s="487"/>
      <c r="E4" s="487" t="str">
        <f>'5. sz. mell. '!M2</f>
        <v>Forintban!</v>
      </c>
    </row>
    <row r="5" spans="1:5" ht="24.75" thickBot="1">
      <c r="A5" s="319" t="s">
        <v>146</v>
      </c>
      <c r="B5" s="320" t="s">
        <v>733</v>
      </c>
      <c r="C5" s="77" t="s">
        <v>174</v>
      </c>
      <c r="D5" s="77" t="s">
        <v>179</v>
      </c>
      <c r="E5" s="488" t="s">
        <v>180</v>
      </c>
    </row>
    <row r="6" spans="1:5" s="532" customFormat="1" ht="12.75" customHeight="1" thickBot="1">
      <c r="A6" s="481" t="s">
        <v>410</v>
      </c>
      <c r="B6" s="482" t="s">
        <v>411</v>
      </c>
      <c r="C6" s="482" t="s">
        <v>412</v>
      </c>
      <c r="D6" s="90" t="s">
        <v>413</v>
      </c>
      <c r="E6" s="88" t="s">
        <v>414</v>
      </c>
    </row>
    <row r="7" spans="1:5" s="532" customFormat="1" ht="15.75" customHeight="1" thickBot="1">
      <c r="A7" s="758" t="s">
        <v>42</v>
      </c>
      <c r="B7" s="759"/>
      <c r="C7" s="759"/>
      <c r="D7" s="759"/>
      <c r="E7" s="760"/>
    </row>
    <row r="8" spans="1:5" s="532" customFormat="1" ht="12" customHeight="1" thickBot="1">
      <c r="A8" s="351" t="s">
        <v>7</v>
      </c>
      <c r="B8" s="347" t="s">
        <v>302</v>
      </c>
      <c r="C8" s="378">
        <f>SUM(C9:C14)</f>
        <v>136620875</v>
      </c>
      <c r="D8" s="378">
        <f>SUM(D9:D14)</f>
        <v>169702262</v>
      </c>
      <c r="E8" s="361">
        <f>SUM(E9:E14)</f>
        <v>169702262</v>
      </c>
    </row>
    <row r="9" spans="1:5" s="506" customFormat="1" ht="12" customHeight="1">
      <c r="A9" s="516" t="s">
        <v>69</v>
      </c>
      <c r="B9" s="389" t="s">
        <v>303</v>
      </c>
      <c r="C9" s="380">
        <v>70039327</v>
      </c>
      <c r="D9" s="380">
        <v>73362954</v>
      </c>
      <c r="E9" s="363">
        <v>73362954</v>
      </c>
    </row>
    <row r="10" spans="1:5" s="533" customFormat="1" ht="12" customHeight="1">
      <c r="A10" s="517" t="s">
        <v>70</v>
      </c>
      <c r="B10" s="390" t="s">
        <v>304</v>
      </c>
      <c r="C10" s="379">
        <v>22294800</v>
      </c>
      <c r="D10" s="379">
        <v>22684800</v>
      </c>
      <c r="E10" s="362">
        <v>22684800</v>
      </c>
    </row>
    <row r="11" spans="1:5" s="533" customFormat="1" ht="12" customHeight="1">
      <c r="A11" s="517" t="s">
        <v>71</v>
      </c>
      <c r="B11" s="390" t="s">
        <v>305</v>
      </c>
      <c r="C11" s="379">
        <v>42486748</v>
      </c>
      <c r="D11" s="379">
        <v>45854846</v>
      </c>
      <c r="E11" s="362">
        <v>45854846</v>
      </c>
    </row>
    <row r="12" spans="1:5" s="533" customFormat="1" ht="12" customHeight="1">
      <c r="A12" s="517" t="s">
        <v>72</v>
      </c>
      <c r="B12" s="390" t="s">
        <v>306</v>
      </c>
      <c r="C12" s="379">
        <v>1800000</v>
      </c>
      <c r="D12" s="379">
        <v>1800000</v>
      </c>
      <c r="E12" s="362">
        <v>1800000</v>
      </c>
    </row>
    <row r="13" spans="1:5" s="533" customFormat="1" ht="12" customHeight="1">
      <c r="A13" s="517" t="s">
        <v>105</v>
      </c>
      <c r="B13" s="390" t="s">
        <v>757</v>
      </c>
      <c r="C13" s="379"/>
      <c r="D13" s="379">
        <v>196782</v>
      </c>
      <c r="E13" s="362">
        <v>196782</v>
      </c>
    </row>
    <row r="14" spans="1:5" s="506" customFormat="1" ht="12" customHeight="1" thickBot="1">
      <c r="A14" s="518" t="s">
        <v>73</v>
      </c>
      <c r="B14" s="370" t="s">
        <v>308</v>
      </c>
      <c r="C14" s="381"/>
      <c r="D14" s="381">
        <v>25802880</v>
      </c>
      <c r="E14" s="364">
        <v>25802880</v>
      </c>
    </row>
    <row r="15" spans="1:5" s="506" customFormat="1" ht="12" customHeight="1" thickBot="1">
      <c r="A15" s="351" t="s">
        <v>8</v>
      </c>
      <c r="B15" s="368" t="s">
        <v>309</v>
      </c>
      <c r="C15" s="378">
        <f>SUM(C16:C20)</f>
        <v>58793000</v>
      </c>
      <c r="D15" s="378">
        <f>SUM(D16:D20)</f>
        <v>50175688</v>
      </c>
      <c r="E15" s="361">
        <f>SUM(E16:E20)</f>
        <v>45714603</v>
      </c>
    </row>
    <row r="16" spans="1:5" s="506" customFormat="1" ht="12" customHeight="1">
      <c r="A16" s="516" t="s">
        <v>75</v>
      </c>
      <c r="B16" s="389" t="s">
        <v>310</v>
      </c>
      <c r="C16" s="380"/>
      <c r="D16" s="380"/>
      <c r="E16" s="363"/>
    </row>
    <row r="17" spans="1:5" s="506" customFormat="1" ht="12" customHeight="1">
      <c r="A17" s="517" t="s">
        <v>76</v>
      </c>
      <c r="B17" s="390" t="s">
        <v>311</v>
      </c>
      <c r="C17" s="379"/>
      <c r="D17" s="379"/>
      <c r="E17" s="362"/>
    </row>
    <row r="18" spans="1:5" s="506" customFormat="1" ht="12" customHeight="1">
      <c r="A18" s="517" t="s">
        <v>77</v>
      </c>
      <c r="B18" s="390" t="s">
        <v>312</v>
      </c>
      <c r="C18" s="379"/>
      <c r="D18" s="379"/>
      <c r="E18" s="362"/>
    </row>
    <row r="19" spans="1:5" s="506" customFormat="1" ht="12" customHeight="1">
      <c r="A19" s="517" t="s">
        <v>78</v>
      </c>
      <c r="B19" s="390" t="s">
        <v>313</v>
      </c>
      <c r="C19" s="379"/>
      <c r="D19" s="379"/>
      <c r="E19" s="362"/>
    </row>
    <row r="20" spans="1:5" s="506" customFormat="1" ht="12" customHeight="1">
      <c r="A20" s="517" t="s">
        <v>79</v>
      </c>
      <c r="B20" s="390" t="s">
        <v>314</v>
      </c>
      <c r="C20" s="379">
        <v>58793000</v>
      </c>
      <c r="D20" s="379">
        <v>50175688</v>
      </c>
      <c r="E20" s="362">
        <v>45714603</v>
      </c>
    </row>
    <row r="21" spans="1:5" s="533" customFormat="1" ht="12" customHeight="1" thickBot="1">
      <c r="A21" s="518" t="s">
        <v>86</v>
      </c>
      <c r="B21" s="370" t="s">
        <v>315</v>
      </c>
      <c r="C21" s="381"/>
      <c r="D21" s="381"/>
      <c r="E21" s="364"/>
    </row>
    <row r="22" spans="1:5" s="533" customFormat="1" ht="12" customHeight="1" thickBot="1">
      <c r="A22" s="351" t="s">
        <v>9</v>
      </c>
      <c r="B22" s="347" t="s">
        <v>316</v>
      </c>
      <c r="C22" s="378">
        <f>SUM(C23:C27)</f>
        <v>109415154</v>
      </c>
      <c r="D22" s="378">
        <f>SUM(D23:D27)</f>
        <v>114540185</v>
      </c>
      <c r="E22" s="361">
        <f>SUM(E23:E27)</f>
        <v>114540185</v>
      </c>
    </row>
    <row r="23" spans="1:5" s="533" customFormat="1" ht="12" customHeight="1">
      <c r="A23" s="516" t="s">
        <v>58</v>
      </c>
      <c r="B23" s="389" t="s">
        <v>317</v>
      </c>
      <c r="C23" s="380"/>
      <c r="D23" s="380"/>
      <c r="E23" s="363"/>
    </row>
    <row r="24" spans="1:5" s="506" customFormat="1" ht="12" customHeight="1">
      <c r="A24" s="517" t="s">
        <v>59</v>
      </c>
      <c r="B24" s="390" t="s">
        <v>318</v>
      </c>
      <c r="C24" s="379"/>
      <c r="D24" s="379"/>
      <c r="E24" s="362"/>
    </row>
    <row r="25" spans="1:5" s="533" customFormat="1" ht="12" customHeight="1">
      <c r="A25" s="517" t="s">
        <v>60</v>
      </c>
      <c r="B25" s="390" t="s">
        <v>319</v>
      </c>
      <c r="C25" s="379"/>
      <c r="D25" s="379"/>
      <c r="E25" s="362"/>
    </row>
    <row r="26" spans="1:5" s="533" customFormat="1" ht="12" customHeight="1">
      <c r="A26" s="517" t="s">
        <v>61</v>
      </c>
      <c r="B26" s="390" t="s">
        <v>320</v>
      </c>
      <c r="C26" s="379"/>
      <c r="D26" s="379"/>
      <c r="E26" s="362"/>
    </row>
    <row r="27" spans="1:5" s="533" customFormat="1" ht="12" customHeight="1">
      <c r="A27" s="517" t="s">
        <v>119</v>
      </c>
      <c r="B27" s="390" t="s">
        <v>321</v>
      </c>
      <c r="C27" s="379">
        <v>109415154</v>
      </c>
      <c r="D27" s="379">
        <v>114540185</v>
      </c>
      <c r="E27" s="362">
        <f>SUM(E28:E29)</f>
        <v>114540185</v>
      </c>
    </row>
    <row r="28" spans="1:5" s="533" customFormat="1" ht="12" customHeight="1">
      <c r="A28" s="517" t="s">
        <v>120</v>
      </c>
      <c r="B28" s="391" t="s">
        <v>759</v>
      </c>
      <c r="C28" s="381"/>
      <c r="D28" s="381"/>
      <c r="E28" s="364">
        <v>101396946</v>
      </c>
    </row>
    <row r="29" spans="1:5" s="533" customFormat="1" ht="12" customHeight="1" thickBot="1">
      <c r="A29" s="518" t="s">
        <v>758</v>
      </c>
      <c r="B29" s="391" t="s">
        <v>760</v>
      </c>
      <c r="C29" s="381"/>
      <c r="D29" s="381"/>
      <c r="E29" s="364">
        <v>13143239</v>
      </c>
    </row>
    <row r="30" spans="1:5" s="533" customFormat="1" ht="12" customHeight="1" thickBot="1">
      <c r="A30" s="351" t="s">
        <v>121</v>
      </c>
      <c r="B30" s="347" t="s">
        <v>724</v>
      </c>
      <c r="C30" s="384">
        <f>SUM(C31:C35)</f>
        <v>31350000</v>
      </c>
      <c r="D30" s="384">
        <f>SUM(D31:D35)</f>
        <v>50438604</v>
      </c>
      <c r="E30" s="397">
        <f>SUM(E31:E35)</f>
        <v>50340079</v>
      </c>
    </row>
    <row r="31" spans="1:5" s="533" customFormat="1" ht="12" customHeight="1">
      <c r="A31" s="516" t="s">
        <v>323</v>
      </c>
      <c r="B31" s="389" t="s">
        <v>743</v>
      </c>
      <c r="C31" s="380">
        <v>27000000</v>
      </c>
      <c r="D31" s="380">
        <v>45292319</v>
      </c>
      <c r="E31" s="363">
        <v>45292319</v>
      </c>
    </row>
    <row r="32" spans="1:5" s="533" customFormat="1" ht="12" customHeight="1">
      <c r="A32" s="517" t="s">
        <v>324</v>
      </c>
      <c r="B32" s="390" t="s">
        <v>744</v>
      </c>
      <c r="C32" s="379">
        <v>4200000</v>
      </c>
      <c r="D32" s="379">
        <v>4996285</v>
      </c>
      <c r="E32" s="362">
        <v>4996285</v>
      </c>
    </row>
    <row r="33" spans="1:5" s="533" customFormat="1" ht="12" customHeight="1">
      <c r="A33" s="517" t="s">
        <v>325</v>
      </c>
      <c r="B33" s="390" t="s">
        <v>731</v>
      </c>
      <c r="C33" s="379"/>
      <c r="D33" s="379"/>
      <c r="E33" s="362"/>
    </row>
    <row r="34" spans="1:5" s="533" customFormat="1" ht="12" customHeight="1">
      <c r="A34" s="517" t="s">
        <v>745</v>
      </c>
      <c r="B34" s="390" t="s">
        <v>326</v>
      </c>
      <c r="C34" s="379"/>
      <c r="D34" s="379"/>
      <c r="E34" s="362">
        <v>0</v>
      </c>
    </row>
    <row r="35" spans="1:5" s="533" customFormat="1" ht="12" customHeight="1" thickBot="1">
      <c r="A35" s="518" t="s">
        <v>725</v>
      </c>
      <c r="B35" s="370" t="s">
        <v>327</v>
      </c>
      <c r="C35" s="381">
        <v>150000</v>
      </c>
      <c r="D35" s="381">
        <v>150000</v>
      </c>
      <c r="E35" s="364">
        <v>51475</v>
      </c>
    </row>
    <row r="36" spans="1:5" s="533" customFormat="1" ht="12" customHeight="1" thickBot="1">
      <c r="A36" s="351" t="s">
        <v>11</v>
      </c>
      <c r="B36" s="347" t="s">
        <v>328</v>
      </c>
      <c r="C36" s="378">
        <f>SUM(C37:C46)</f>
        <v>5480366</v>
      </c>
      <c r="D36" s="378">
        <f>SUM(D37:D46)</f>
        <v>18909975</v>
      </c>
      <c r="E36" s="361">
        <f>SUM(E37:E46)</f>
        <v>18407691</v>
      </c>
    </row>
    <row r="37" spans="1:5" s="533" customFormat="1" ht="12" customHeight="1">
      <c r="A37" s="516" t="s">
        <v>62</v>
      </c>
      <c r="B37" s="389" t="s">
        <v>329</v>
      </c>
      <c r="C37" s="380"/>
      <c r="D37" s="380"/>
      <c r="E37" s="363"/>
    </row>
    <row r="38" spans="1:5" s="533" customFormat="1" ht="12" customHeight="1">
      <c r="A38" s="517" t="s">
        <v>63</v>
      </c>
      <c r="B38" s="390" t="s">
        <v>330</v>
      </c>
      <c r="C38" s="379">
        <v>5114166</v>
      </c>
      <c r="D38" s="379">
        <v>14037203</v>
      </c>
      <c r="E38" s="362">
        <v>13690651</v>
      </c>
    </row>
    <row r="39" spans="1:5" s="533" customFormat="1" ht="12" customHeight="1">
      <c r="A39" s="517" t="s">
        <v>64</v>
      </c>
      <c r="B39" s="390" t="s">
        <v>331</v>
      </c>
      <c r="C39" s="379"/>
      <c r="D39" s="379"/>
      <c r="E39" s="362"/>
    </row>
    <row r="40" spans="1:5" s="533" customFormat="1" ht="12" customHeight="1">
      <c r="A40" s="517" t="s">
        <v>123</v>
      </c>
      <c r="B40" s="390" t="s">
        <v>332</v>
      </c>
      <c r="C40" s="379"/>
      <c r="D40" s="379">
        <v>791569</v>
      </c>
      <c r="E40" s="362">
        <v>791569</v>
      </c>
    </row>
    <row r="41" spans="1:5" s="533" customFormat="1" ht="12" customHeight="1">
      <c r="A41" s="517" t="s">
        <v>124</v>
      </c>
      <c r="B41" s="390" t="s">
        <v>333</v>
      </c>
      <c r="C41" s="379">
        <v>150000</v>
      </c>
      <c r="D41" s="379">
        <v>186000</v>
      </c>
      <c r="E41" s="362">
        <v>186000</v>
      </c>
    </row>
    <row r="42" spans="1:5" s="533" customFormat="1" ht="12" customHeight="1">
      <c r="A42" s="517" t="s">
        <v>125</v>
      </c>
      <c r="B42" s="390" t="s">
        <v>334</v>
      </c>
      <c r="C42" s="379">
        <v>216200</v>
      </c>
      <c r="D42" s="379">
        <v>3851385</v>
      </c>
      <c r="E42" s="362">
        <v>3695653</v>
      </c>
    </row>
    <row r="43" spans="1:5" s="533" customFormat="1" ht="12" customHeight="1">
      <c r="A43" s="517" t="s">
        <v>126</v>
      </c>
      <c r="B43" s="390" t="s">
        <v>335</v>
      </c>
      <c r="C43" s="379"/>
      <c r="D43" s="379"/>
      <c r="E43" s="362"/>
    </row>
    <row r="44" spans="1:5" s="533" customFormat="1" ht="12" customHeight="1">
      <c r="A44" s="517" t="s">
        <v>127</v>
      </c>
      <c r="B44" s="390" t="s">
        <v>336</v>
      </c>
      <c r="C44" s="379"/>
      <c r="D44" s="379">
        <v>29548</v>
      </c>
      <c r="E44" s="362">
        <v>29548</v>
      </c>
    </row>
    <row r="45" spans="1:5" s="533" customFormat="1" ht="12" customHeight="1">
      <c r="A45" s="517" t="s">
        <v>337</v>
      </c>
      <c r="B45" s="390" t="s">
        <v>338</v>
      </c>
      <c r="C45" s="382"/>
      <c r="D45" s="382"/>
      <c r="E45" s="365"/>
    </row>
    <row r="46" spans="1:5" s="506" customFormat="1" ht="12" customHeight="1" thickBot="1">
      <c r="A46" s="518" t="s">
        <v>339</v>
      </c>
      <c r="B46" s="391" t="s">
        <v>340</v>
      </c>
      <c r="C46" s="383"/>
      <c r="D46" s="383">
        <v>14270</v>
      </c>
      <c r="E46" s="366">
        <v>14270</v>
      </c>
    </row>
    <row r="47" spans="1:5" s="533" customFormat="1" ht="12" customHeight="1" thickBot="1">
      <c r="A47" s="351" t="s">
        <v>12</v>
      </c>
      <c r="B47" s="347" t="s">
        <v>341</v>
      </c>
      <c r="C47" s="378">
        <f>SUM(C48:C52)</f>
        <v>0</v>
      </c>
      <c r="D47" s="378">
        <f>SUM(D48:D52)</f>
        <v>0</v>
      </c>
      <c r="E47" s="361">
        <f>SUM(E48:E52)</f>
        <v>0</v>
      </c>
    </row>
    <row r="48" spans="1:5" s="533" customFormat="1" ht="12" customHeight="1">
      <c r="A48" s="516" t="s">
        <v>65</v>
      </c>
      <c r="B48" s="389" t="s">
        <v>342</v>
      </c>
      <c r="C48" s="399"/>
      <c r="D48" s="399"/>
      <c r="E48" s="367"/>
    </row>
    <row r="49" spans="1:5" s="533" customFormat="1" ht="12" customHeight="1">
      <c r="A49" s="517" t="s">
        <v>66</v>
      </c>
      <c r="B49" s="390" t="s">
        <v>343</v>
      </c>
      <c r="C49" s="382"/>
      <c r="D49" s="382"/>
      <c r="E49" s="365"/>
    </row>
    <row r="50" spans="1:5" s="533" customFormat="1" ht="12" customHeight="1">
      <c r="A50" s="517" t="s">
        <v>344</v>
      </c>
      <c r="B50" s="390" t="s">
        <v>345</v>
      </c>
      <c r="C50" s="382"/>
      <c r="D50" s="382"/>
      <c r="E50" s="365"/>
    </row>
    <row r="51" spans="1:5" s="533" customFormat="1" ht="12" customHeight="1">
      <c r="A51" s="517" t="s">
        <v>346</v>
      </c>
      <c r="B51" s="390" t="s">
        <v>347</v>
      </c>
      <c r="C51" s="382"/>
      <c r="D51" s="382"/>
      <c r="E51" s="365"/>
    </row>
    <row r="52" spans="1:5" s="533" customFormat="1" ht="12" customHeight="1" thickBot="1">
      <c r="A52" s="518" t="s">
        <v>348</v>
      </c>
      <c r="B52" s="391" t="s">
        <v>349</v>
      </c>
      <c r="C52" s="383"/>
      <c r="D52" s="383"/>
      <c r="E52" s="366"/>
    </row>
    <row r="53" spans="1:5" s="533" customFormat="1" ht="12" customHeight="1" thickBot="1">
      <c r="A53" s="351" t="s">
        <v>128</v>
      </c>
      <c r="B53" s="347" t="s">
        <v>350</v>
      </c>
      <c r="C53" s="378">
        <f>SUM(C54:C56)</f>
        <v>0</v>
      </c>
      <c r="D53" s="378">
        <f>SUM(D54:D56)</f>
        <v>0</v>
      </c>
      <c r="E53" s="361">
        <f>SUM(E54:E56)</f>
        <v>0</v>
      </c>
    </row>
    <row r="54" spans="1:5" s="506" customFormat="1" ht="12" customHeight="1">
      <c r="A54" s="516" t="s">
        <v>67</v>
      </c>
      <c r="B54" s="389" t="s">
        <v>351</v>
      </c>
      <c r="C54" s="380"/>
      <c r="D54" s="380"/>
      <c r="E54" s="363"/>
    </row>
    <row r="55" spans="1:5" s="506" customFormat="1" ht="12" customHeight="1">
      <c r="A55" s="517" t="s">
        <v>68</v>
      </c>
      <c r="B55" s="390" t="s">
        <v>352</v>
      </c>
      <c r="C55" s="379"/>
      <c r="D55" s="379"/>
      <c r="E55" s="362"/>
    </row>
    <row r="56" spans="1:5" s="506" customFormat="1" ht="12" customHeight="1">
      <c r="A56" s="517" t="s">
        <v>353</v>
      </c>
      <c r="B56" s="390" t="s">
        <v>354</v>
      </c>
      <c r="C56" s="379"/>
      <c r="D56" s="379"/>
      <c r="E56" s="362"/>
    </row>
    <row r="57" spans="1:5" s="506" customFormat="1" ht="12" customHeight="1" thickBot="1">
      <c r="A57" s="518" t="s">
        <v>355</v>
      </c>
      <c r="B57" s="391" t="s">
        <v>356</v>
      </c>
      <c r="C57" s="381"/>
      <c r="D57" s="381"/>
      <c r="E57" s="364"/>
    </row>
    <row r="58" spans="1:5" s="533" customFormat="1" ht="12" customHeight="1" thickBot="1">
      <c r="A58" s="351" t="s">
        <v>14</v>
      </c>
      <c r="B58" s="368" t="s">
        <v>357</v>
      </c>
      <c r="C58" s="378">
        <f>SUM(C59:C61)</f>
        <v>0</v>
      </c>
      <c r="D58" s="378">
        <f>SUM(D59:D61)</f>
        <v>0</v>
      </c>
      <c r="E58" s="361">
        <f>SUM(E59:E61)</f>
        <v>0</v>
      </c>
    </row>
    <row r="59" spans="1:5" s="533" customFormat="1" ht="12" customHeight="1">
      <c r="A59" s="516" t="s">
        <v>129</v>
      </c>
      <c r="B59" s="389" t="s">
        <v>358</v>
      </c>
      <c r="C59" s="382"/>
      <c r="D59" s="382"/>
      <c r="E59" s="365"/>
    </row>
    <row r="60" spans="1:5" s="533" customFormat="1" ht="12" customHeight="1">
      <c r="A60" s="517" t="s">
        <v>130</v>
      </c>
      <c r="B60" s="390" t="s">
        <v>546</v>
      </c>
      <c r="C60" s="382"/>
      <c r="D60" s="382"/>
      <c r="E60" s="365"/>
    </row>
    <row r="61" spans="1:5" s="533" customFormat="1" ht="12" customHeight="1">
      <c r="A61" s="517" t="s">
        <v>156</v>
      </c>
      <c r="B61" s="390" t="s">
        <v>360</v>
      </c>
      <c r="C61" s="382"/>
      <c r="D61" s="382"/>
      <c r="E61" s="365"/>
    </row>
    <row r="62" spans="1:5" s="533" customFormat="1" ht="12" customHeight="1" thickBot="1">
      <c r="A62" s="518" t="s">
        <v>361</v>
      </c>
      <c r="B62" s="391" t="s">
        <v>362</v>
      </c>
      <c r="C62" s="382"/>
      <c r="D62" s="382"/>
      <c r="E62" s="365"/>
    </row>
    <row r="63" spans="1:5" s="533" customFormat="1" ht="12" customHeight="1" thickBot="1">
      <c r="A63" s="351" t="s">
        <v>15</v>
      </c>
      <c r="B63" s="347" t="s">
        <v>363</v>
      </c>
      <c r="C63" s="384">
        <f>+C8+C15+C22+C30+C36+C47+C53+C58</f>
        <v>341659395</v>
      </c>
      <c r="D63" s="384">
        <f>+D8+D15+D22+D30+D36+D47+D53+D58</f>
        <v>403766714</v>
      </c>
      <c r="E63" s="397">
        <f>+E8+E15+E22+E30+E36+E47+E53+E58</f>
        <v>398704820</v>
      </c>
    </row>
    <row r="64" spans="1:5" s="533" customFormat="1" ht="12" customHeight="1" thickBot="1">
      <c r="A64" s="519" t="s">
        <v>544</v>
      </c>
      <c r="B64" s="368" t="s">
        <v>365</v>
      </c>
      <c r="C64" s="378">
        <f>SUM(C65:C67)</f>
        <v>0</v>
      </c>
      <c r="D64" s="378">
        <f>SUM(D65:D67)</f>
        <v>0</v>
      </c>
      <c r="E64" s="361">
        <f>SUM(E65:E67)</f>
        <v>0</v>
      </c>
    </row>
    <row r="65" spans="1:5" s="533" customFormat="1" ht="12" customHeight="1">
      <c r="A65" s="516" t="s">
        <v>366</v>
      </c>
      <c r="B65" s="389" t="s">
        <v>367</v>
      </c>
      <c r="C65" s="382"/>
      <c r="D65" s="382"/>
      <c r="E65" s="365"/>
    </row>
    <row r="66" spans="1:5" s="533" customFormat="1" ht="12" customHeight="1">
      <c r="A66" s="517" t="s">
        <v>368</v>
      </c>
      <c r="B66" s="390" t="s">
        <v>369</v>
      </c>
      <c r="C66" s="382"/>
      <c r="D66" s="382"/>
      <c r="E66" s="365"/>
    </row>
    <row r="67" spans="1:5" s="533" customFormat="1" ht="12" customHeight="1" thickBot="1">
      <c r="A67" s="518" t="s">
        <v>370</v>
      </c>
      <c r="B67" s="512" t="s">
        <v>371</v>
      </c>
      <c r="C67" s="382"/>
      <c r="D67" s="382"/>
      <c r="E67" s="365"/>
    </row>
    <row r="68" spans="1:5" s="533" customFormat="1" ht="12" customHeight="1" thickBot="1">
      <c r="A68" s="519" t="s">
        <v>372</v>
      </c>
      <c r="B68" s="368" t="s">
        <v>373</v>
      </c>
      <c r="C68" s="378">
        <f>SUM(C69:C72)</f>
        <v>0</v>
      </c>
      <c r="D68" s="378">
        <f>SUM(D69:D72)</f>
        <v>0</v>
      </c>
      <c r="E68" s="361">
        <f>SUM(E69:E72)</f>
        <v>0</v>
      </c>
    </row>
    <row r="69" spans="1:5" s="533" customFormat="1" ht="12" customHeight="1">
      <c r="A69" s="516" t="s">
        <v>106</v>
      </c>
      <c r="B69" s="389" t="s">
        <v>374</v>
      </c>
      <c r="C69" s="382"/>
      <c r="D69" s="382"/>
      <c r="E69" s="365"/>
    </row>
    <row r="70" spans="1:5" s="533" customFormat="1" ht="12" customHeight="1">
      <c r="A70" s="517" t="s">
        <v>107</v>
      </c>
      <c r="B70" s="390" t="s">
        <v>375</v>
      </c>
      <c r="C70" s="382"/>
      <c r="D70" s="382"/>
      <c r="E70" s="365"/>
    </row>
    <row r="71" spans="1:5" s="533" customFormat="1" ht="12" customHeight="1">
      <c r="A71" s="517" t="s">
        <v>376</v>
      </c>
      <c r="B71" s="390" t="s">
        <v>377</v>
      </c>
      <c r="C71" s="382"/>
      <c r="D71" s="382"/>
      <c r="E71" s="365"/>
    </row>
    <row r="72" spans="1:5" s="533" customFormat="1" ht="12" customHeight="1" thickBot="1">
      <c r="A72" s="518" t="s">
        <v>378</v>
      </c>
      <c r="B72" s="391" t="s">
        <v>379</v>
      </c>
      <c r="C72" s="382"/>
      <c r="D72" s="382"/>
      <c r="E72" s="365"/>
    </row>
    <row r="73" spans="1:5" s="533" customFormat="1" ht="12" customHeight="1" thickBot="1">
      <c r="A73" s="519" t="s">
        <v>380</v>
      </c>
      <c r="B73" s="368" t="s">
        <v>381</v>
      </c>
      <c r="C73" s="378">
        <f>SUM(C74:C75)</f>
        <v>235983330</v>
      </c>
      <c r="D73" s="378">
        <f>SUM(D74:D75)</f>
        <v>235983330</v>
      </c>
      <c r="E73" s="361">
        <f>SUM(E74:E75)</f>
        <v>199968983</v>
      </c>
    </row>
    <row r="74" spans="1:5" s="533" customFormat="1" ht="12" customHeight="1">
      <c r="A74" s="516" t="s">
        <v>382</v>
      </c>
      <c r="B74" s="389" t="s">
        <v>383</v>
      </c>
      <c r="C74" s="382">
        <v>235983330</v>
      </c>
      <c r="D74" s="382">
        <v>235983330</v>
      </c>
      <c r="E74" s="365">
        <v>199968983</v>
      </c>
    </row>
    <row r="75" spans="1:5" s="533" customFormat="1" ht="12" customHeight="1" thickBot="1">
      <c r="A75" s="518" t="s">
        <v>384</v>
      </c>
      <c r="B75" s="391" t="s">
        <v>385</v>
      </c>
      <c r="C75" s="382"/>
      <c r="D75" s="382"/>
      <c r="E75" s="365"/>
    </row>
    <row r="76" spans="1:5" s="533" customFormat="1" ht="12" customHeight="1" thickBot="1">
      <c r="A76" s="519" t="s">
        <v>386</v>
      </c>
      <c r="B76" s="368" t="s">
        <v>387</v>
      </c>
      <c r="C76" s="378">
        <f>SUM(C77:C79)</f>
        <v>0</v>
      </c>
      <c r="D76" s="378">
        <f>SUM(D77:D79)</f>
        <v>39884874</v>
      </c>
      <c r="E76" s="361">
        <f>SUM(E77:E79)</f>
        <v>39884874</v>
      </c>
    </row>
    <row r="77" spans="1:5" s="533" customFormat="1" ht="12" customHeight="1">
      <c r="A77" s="516" t="s">
        <v>388</v>
      </c>
      <c r="B77" s="389" t="s">
        <v>389</v>
      </c>
      <c r="C77" s="382"/>
      <c r="D77" s="382">
        <v>5718007</v>
      </c>
      <c r="E77" s="365">
        <v>5718007</v>
      </c>
    </row>
    <row r="78" spans="1:5" s="533" customFormat="1" ht="12" customHeight="1">
      <c r="A78" s="517" t="s">
        <v>390</v>
      </c>
      <c r="B78" s="390" t="s">
        <v>391</v>
      </c>
      <c r="C78" s="382"/>
      <c r="D78" s="382"/>
      <c r="E78" s="365"/>
    </row>
    <row r="79" spans="1:5" s="533" customFormat="1" ht="12" customHeight="1" thickBot="1">
      <c r="A79" s="518" t="s">
        <v>392</v>
      </c>
      <c r="B79" s="391" t="s">
        <v>393</v>
      </c>
      <c r="C79" s="382"/>
      <c r="D79" s="382">
        <v>34166867</v>
      </c>
      <c r="E79" s="365">
        <v>34166867</v>
      </c>
    </row>
    <row r="80" spans="1:5" s="533" customFormat="1" ht="12" customHeight="1" thickBot="1">
      <c r="A80" s="519" t="s">
        <v>394</v>
      </c>
      <c r="B80" s="368" t="s">
        <v>395</v>
      </c>
      <c r="C80" s="378">
        <f>SUM(C81:C84)</f>
        <v>0</v>
      </c>
      <c r="D80" s="378">
        <f>SUM(D81:D84)</f>
        <v>0</v>
      </c>
      <c r="E80" s="361">
        <f>SUM(E81:E84)</f>
        <v>0</v>
      </c>
    </row>
    <row r="81" spans="1:5" s="533" customFormat="1" ht="12" customHeight="1">
      <c r="A81" s="520" t="s">
        <v>396</v>
      </c>
      <c r="B81" s="389" t="s">
        <v>397</v>
      </c>
      <c r="C81" s="382"/>
      <c r="D81" s="382"/>
      <c r="E81" s="365"/>
    </row>
    <row r="82" spans="1:5" s="533" customFormat="1" ht="12" customHeight="1">
      <c r="A82" s="521" t="s">
        <v>398</v>
      </c>
      <c r="B82" s="390" t="s">
        <v>399</v>
      </c>
      <c r="C82" s="382"/>
      <c r="D82" s="382"/>
      <c r="E82" s="365"/>
    </row>
    <row r="83" spans="1:5" s="533" customFormat="1" ht="12" customHeight="1">
      <c r="A83" s="521" t="s">
        <v>400</v>
      </c>
      <c r="B83" s="390" t="s">
        <v>401</v>
      </c>
      <c r="C83" s="382"/>
      <c r="D83" s="382"/>
      <c r="E83" s="365"/>
    </row>
    <row r="84" spans="1:5" s="533" customFormat="1" ht="12" customHeight="1" thickBot="1">
      <c r="A84" s="522" t="s">
        <v>402</v>
      </c>
      <c r="B84" s="391" t="s">
        <v>403</v>
      </c>
      <c r="C84" s="382"/>
      <c r="D84" s="382"/>
      <c r="E84" s="365"/>
    </row>
    <row r="85" spans="1:5" s="533" customFormat="1" ht="12" customHeight="1" thickBot="1">
      <c r="A85" s="519" t="s">
        <v>404</v>
      </c>
      <c r="B85" s="368" t="s">
        <v>405</v>
      </c>
      <c r="C85" s="403"/>
      <c r="D85" s="403"/>
      <c r="E85" s="404"/>
    </row>
    <row r="86" spans="1:5" s="533" customFormat="1" ht="12" customHeight="1" thickBot="1">
      <c r="A86" s="519" t="s">
        <v>406</v>
      </c>
      <c r="B86" s="513" t="s">
        <v>407</v>
      </c>
      <c r="C86" s="384">
        <f>+C64+C68+C73+C76+C80+C85</f>
        <v>235983330</v>
      </c>
      <c r="D86" s="384">
        <f>+D64+D68+D73+D76+D80+D85</f>
        <v>275868204</v>
      </c>
      <c r="E86" s="397">
        <f>+E64+E68+E73+E76+E80+E85</f>
        <v>239853857</v>
      </c>
    </row>
    <row r="87" spans="1:5" s="533" customFormat="1" ht="12" customHeight="1" thickBot="1">
      <c r="A87" s="523" t="s">
        <v>408</v>
      </c>
      <c r="B87" s="514" t="s">
        <v>545</v>
      </c>
      <c r="C87" s="384">
        <f>+C63+C86</f>
        <v>577642725</v>
      </c>
      <c r="D87" s="384">
        <f>+D63+D86</f>
        <v>679634918</v>
      </c>
      <c r="E87" s="397">
        <f>+E63+E86</f>
        <v>638558677</v>
      </c>
    </row>
    <row r="88" spans="1:5" s="533" customFormat="1" ht="15" customHeight="1">
      <c r="A88" s="489"/>
      <c r="B88" s="490"/>
      <c r="C88" s="504"/>
      <c r="D88" s="504"/>
      <c r="E88" s="504"/>
    </row>
    <row r="89" spans="1:5" ht="13.5" thickBot="1">
      <c r="A89" s="491"/>
      <c r="B89" s="492"/>
      <c r="C89" s="505"/>
      <c r="D89" s="505"/>
      <c r="E89" s="505"/>
    </row>
    <row r="90" spans="1:5" s="532" customFormat="1" ht="16.5" customHeight="1" thickBot="1">
      <c r="A90" s="758" t="s">
        <v>43</v>
      </c>
      <c r="B90" s="759"/>
      <c r="C90" s="759"/>
      <c r="D90" s="759"/>
      <c r="E90" s="760"/>
    </row>
    <row r="91" spans="1:5" s="309" customFormat="1" ht="12" customHeight="1" thickBot="1">
      <c r="A91" s="511" t="s">
        <v>7</v>
      </c>
      <c r="B91" s="350" t="s">
        <v>416</v>
      </c>
      <c r="C91" s="495">
        <f>SUM(C92:C96)</f>
        <v>141098306</v>
      </c>
      <c r="D91" s="495">
        <f>SUM(D92:D96)</f>
        <v>207829529</v>
      </c>
      <c r="E91" s="495">
        <f>SUM(E92:E96)</f>
        <v>171789675</v>
      </c>
    </row>
    <row r="92" spans="1:5" ht="12" customHeight="1">
      <c r="A92" s="524" t="s">
        <v>69</v>
      </c>
      <c r="B92" s="336" t="s">
        <v>37</v>
      </c>
      <c r="C92" s="496">
        <v>55484050</v>
      </c>
      <c r="D92" s="496">
        <v>64420050</v>
      </c>
      <c r="E92" s="496">
        <v>60709860</v>
      </c>
    </row>
    <row r="93" spans="1:5" ht="12" customHeight="1">
      <c r="A93" s="517" t="s">
        <v>70</v>
      </c>
      <c r="B93" s="334" t="s">
        <v>131</v>
      </c>
      <c r="C93" s="497">
        <v>11396350</v>
      </c>
      <c r="D93" s="497">
        <v>11396350</v>
      </c>
      <c r="E93" s="497">
        <v>9499603</v>
      </c>
    </row>
    <row r="94" spans="1:5" ht="12" customHeight="1">
      <c r="A94" s="517" t="s">
        <v>71</v>
      </c>
      <c r="B94" s="334" t="s">
        <v>98</v>
      </c>
      <c r="C94" s="499">
        <v>42564000</v>
      </c>
      <c r="D94" s="499">
        <v>86835983</v>
      </c>
      <c r="E94" s="499">
        <v>72628940</v>
      </c>
    </row>
    <row r="95" spans="1:5" ht="12" customHeight="1">
      <c r="A95" s="517" t="s">
        <v>72</v>
      </c>
      <c r="B95" s="337" t="s">
        <v>132</v>
      </c>
      <c r="C95" s="499">
        <v>24362574</v>
      </c>
      <c r="D95" s="499">
        <v>27688954</v>
      </c>
      <c r="E95" s="499">
        <v>15609758</v>
      </c>
    </row>
    <row r="96" spans="1:5" ht="12" customHeight="1">
      <c r="A96" s="517" t="s">
        <v>81</v>
      </c>
      <c r="B96" s="345" t="s">
        <v>133</v>
      </c>
      <c r="C96" s="499">
        <v>7291332</v>
      </c>
      <c r="D96" s="499">
        <v>17488192</v>
      </c>
      <c r="E96" s="499">
        <v>13341514</v>
      </c>
    </row>
    <row r="97" spans="1:5" ht="12" customHeight="1">
      <c r="A97" s="517" t="s">
        <v>73</v>
      </c>
      <c r="B97" s="334" t="s">
        <v>417</v>
      </c>
      <c r="C97" s="499"/>
      <c r="D97" s="499"/>
      <c r="E97" s="499"/>
    </row>
    <row r="98" spans="1:5" ht="12" customHeight="1">
      <c r="A98" s="517" t="s">
        <v>74</v>
      </c>
      <c r="B98" s="357" t="s">
        <v>418</v>
      </c>
      <c r="C98" s="499"/>
      <c r="D98" s="499"/>
      <c r="E98" s="499"/>
    </row>
    <row r="99" spans="1:5" ht="12" customHeight="1">
      <c r="A99" s="517" t="s">
        <v>82</v>
      </c>
      <c r="B99" s="358" t="s">
        <v>419</v>
      </c>
      <c r="C99" s="499"/>
      <c r="D99" s="499"/>
      <c r="E99" s="499"/>
    </row>
    <row r="100" spans="1:5" ht="12" customHeight="1">
      <c r="A100" s="517" t="s">
        <v>83</v>
      </c>
      <c r="B100" s="358" t="s">
        <v>420</v>
      </c>
      <c r="C100" s="499"/>
      <c r="D100" s="499"/>
      <c r="E100" s="499"/>
    </row>
    <row r="101" spans="1:5" ht="12" customHeight="1">
      <c r="A101" s="517" t="s">
        <v>84</v>
      </c>
      <c r="B101" s="357" t="s">
        <v>421</v>
      </c>
      <c r="C101" s="499">
        <v>6691332</v>
      </c>
      <c r="D101" s="499">
        <v>6691332</v>
      </c>
      <c r="E101" s="499">
        <v>2544654</v>
      </c>
    </row>
    <row r="102" spans="1:5" ht="12" customHeight="1">
      <c r="A102" s="517" t="s">
        <v>85</v>
      </c>
      <c r="B102" s="357" t="s">
        <v>422</v>
      </c>
      <c r="C102" s="499"/>
      <c r="D102" s="499"/>
      <c r="E102" s="499"/>
    </row>
    <row r="103" spans="1:5" ht="12" customHeight="1">
      <c r="A103" s="517" t="s">
        <v>87</v>
      </c>
      <c r="B103" s="358" t="s">
        <v>423</v>
      </c>
      <c r="C103" s="499"/>
      <c r="D103" s="499"/>
      <c r="E103" s="499"/>
    </row>
    <row r="104" spans="1:5" ht="12" customHeight="1">
      <c r="A104" s="525" t="s">
        <v>134</v>
      </c>
      <c r="B104" s="359" t="s">
        <v>424</v>
      </c>
      <c r="C104" s="499"/>
      <c r="D104" s="499"/>
      <c r="E104" s="499"/>
    </row>
    <row r="105" spans="1:5" ht="12" customHeight="1">
      <c r="A105" s="517" t="s">
        <v>425</v>
      </c>
      <c r="B105" s="359" t="s">
        <v>426</v>
      </c>
      <c r="C105" s="499"/>
      <c r="D105" s="499"/>
      <c r="E105" s="499"/>
    </row>
    <row r="106" spans="1:5" s="309" customFormat="1" ht="12" customHeight="1" thickBot="1">
      <c r="A106" s="526" t="s">
        <v>427</v>
      </c>
      <c r="B106" s="360" t="s">
        <v>428</v>
      </c>
      <c r="C106" s="501">
        <v>600000</v>
      </c>
      <c r="D106" s="501">
        <v>10796860</v>
      </c>
      <c r="E106" s="501">
        <v>10796860</v>
      </c>
    </row>
    <row r="107" spans="1:5" ht="12" customHeight="1" thickBot="1">
      <c r="A107" s="351" t="s">
        <v>8</v>
      </c>
      <c r="B107" s="349" t="s">
        <v>429</v>
      </c>
      <c r="C107" s="372">
        <f>+C108+C110+C112</f>
        <v>312709794</v>
      </c>
      <c r="D107" s="372">
        <f>+D108+D110+D112</f>
        <v>315086710</v>
      </c>
      <c r="E107" s="372">
        <f>+E108+E110+E112</f>
        <v>145194622</v>
      </c>
    </row>
    <row r="108" spans="1:5" ht="12" customHeight="1">
      <c r="A108" s="516" t="s">
        <v>75</v>
      </c>
      <c r="B108" s="334" t="s">
        <v>155</v>
      </c>
      <c r="C108" s="498">
        <v>179712700</v>
      </c>
      <c r="D108" s="498">
        <v>182697036</v>
      </c>
      <c r="E108" s="498">
        <v>36070621</v>
      </c>
    </row>
    <row r="109" spans="1:5" ht="12" customHeight="1">
      <c r="A109" s="516" t="s">
        <v>76</v>
      </c>
      <c r="B109" s="338" t="s">
        <v>430</v>
      </c>
      <c r="C109" s="498"/>
      <c r="D109" s="498"/>
      <c r="E109" s="498"/>
    </row>
    <row r="110" spans="1:5" ht="12" customHeight="1">
      <c r="A110" s="516" t="s">
        <v>77</v>
      </c>
      <c r="B110" s="338" t="s">
        <v>135</v>
      </c>
      <c r="C110" s="497">
        <v>132997094</v>
      </c>
      <c r="D110" s="497">
        <v>132389674</v>
      </c>
      <c r="E110" s="497">
        <v>109124001</v>
      </c>
    </row>
    <row r="111" spans="1:5" ht="12" customHeight="1">
      <c r="A111" s="516" t="s">
        <v>78</v>
      </c>
      <c r="B111" s="338" t="s">
        <v>431</v>
      </c>
      <c r="C111" s="362"/>
      <c r="D111" s="362"/>
      <c r="E111" s="362"/>
    </row>
    <row r="112" spans="1:5" ht="12" customHeight="1">
      <c r="A112" s="516" t="s">
        <v>79</v>
      </c>
      <c r="B112" s="370" t="s">
        <v>157</v>
      </c>
      <c r="C112" s="362"/>
      <c r="D112" s="362"/>
      <c r="E112" s="362"/>
    </row>
    <row r="113" spans="1:5" ht="12" customHeight="1">
      <c r="A113" s="516" t="s">
        <v>86</v>
      </c>
      <c r="B113" s="369" t="s">
        <v>432</v>
      </c>
      <c r="C113" s="362"/>
      <c r="D113" s="362"/>
      <c r="E113" s="362"/>
    </row>
    <row r="114" spans="1:5" ht="12" customHeight="1">
      <c r="A114" s="516" t="s">
        <v>88</v>
      </c>
      <c r="B114" s="385" t="s">
        <v>433</v>
      </c>
      <c r="C114" s="362"/>
      <c r="D114" s="362"/>
      <c r="E114" s="362"/>
    </row>
    <row r="115" spans="1:5" ht="12" customHeight="1">
      <c r="A115" s="516" t="s">
        <v>136</v>
      </c>
      <c r="B115" s="358" t="s">
        <v>420</v>
      </c>
      <c r="C115" s="362"/>
      <c r="D115" s="362"/>
      <c r="E115" s="362"/>
    </row>
    <row r="116" spans="1:5" ht="12" customHeight="1">
      <c r="A116" s="516" t="s">
        <v>137</v>
      </c>
      <c r="B116" s="358" t="s">
        <v>434</v>
      </c>
      <c r="C116" s="362"/>
      <c r="D116" s="362"/>
      <c r="E116" s="362"/>
    </row>
    <row r="117" spans="1:5" ht="12" customHeight="1">
      <c r="A117" s="516" t="s">
        <v>138</v>
      </c>
      <c r="B117" s="358" t="s">
        <v>435</v>
      </c>
      <c r="C117" s="362"/>
      <c r="D117" s="362"/>
      <c r="E117" s="362"/>
    </row>
    <row r="118" spans="1:5" ht="12" customHeight="1">
      <c r="A118" s="516" t="s">
        <v>436</v>
      </c>
      <c r="B118" s="358" t="s">
        <v>423</v>
      </c>
      <c r="C118" s="362"/>
      <c r="D118" s="362"/>
      <c r="E118" s="362"/>
    </row>
    <row r="119" spans="1:5" ht="12" customHeight="1">
      <c r="A119" s="516" t="s">
        <v>437</v>
      </c>
      <c r="B119" s="358" t="s">
        <v>438</v>
      </c>
      <c r="C119" s="362"/>
      <c r="D119" s="362"/>
      <c r="E119" s="362"/>
    </row>
    <row r="120" spans="1:5" ht="12" customHeight="1" thickBot="1">
      <c r="A120" s="525" t="s">
        <v>439</v>
      </c>
      <c r="B120" s="358" t="s">
        <v>440</v>
      </c>
      <c r="C120" s="364"/>
      <c r="D120" s="364"/>
      <c r="E120" s="364"/>
    </row>
    <row r="121" spans="1:5" ht="12" customHeight="1" thickBot="1">
      <c r="A121" s="351" t="s">
        <v>9</v>
      </c>
      <c r="B121" s="354" t="s">
        <v>441</v>
      </c>
      <c r="C121" s="372">
        <f>+C122+C123</f>
        <v>0</v>
      </c>
      <c r="D121" s="372">
        <f>+D122+D123</f>
        <v>0</v>
      </c>
      <c r="E121" s="372">
        <f>+E122+E123</f>
        <v>0</v>
      </c>
    </row>
    <row r="122" spans="1:5" ht="12" customHeight="1">
      <c r="A122" s="516" t="s">
        <v>58</v>
      </c>
      <c r="B122" s="335" t="s">
        <v>45</v>
      </c>
      <c r="C122" s="498"/>
      <c r="D122" s="498"/>
      <c r="E122" s="498"/>
    </row>
    <row r="123" spans="1:5" ht="12" customHeight="1" thickBot="1">
      <c r="A123" s="518" t="s">
        <v>59</v>
      </c>
      <c r="B123" s="338" t="s">
        <v>46</v>
      </c>
      <c r="C123" s="499"/>
      <c r="D123" s="499"/>
      <c r="E123" s="499"/>
    </row>
    <row r="124" spans="1:5" ht="12" customHeight="1" thickBot="1">
      <c r="A124" s="351" t="s">
        <v>10</v>
      </c>
      <c r="B124" s="354" t="s">
        <v>442</v>
      </c>
      <c r="C124" s="372">
        <f>+C91+C107+C121</f>
        <v>453808100</v>
      </c>
      <c r="D124" s="372">
        <f>+D91+D107+D121</f>
        <v>522916239</v>
      </c>
      <c r="E124" s="372">
        <f>+E91+E107+E121</f>
        <v>316984297</v>
      </c>
    </row>
    <row r="125" spans="1:5" ht="12" customHeight="1" thickBot="1">
      <c r="A125" s="351" t="s">
        <v>11</v>
      </c>
      <c r="B125" s="354" t="s">
        <v>547</v>
      </c>
      <c r="C125" s="372">
        <f>+C126+C127+C128</f>
        <v>0</v>
      </c>
      <c r="D125" s="372">
        <f>+D126+D127+D128</f>
        <v>0</v>
      </c>
      <c r="E125" s="372">
        <f>+E126+E127+E128</f>
        <v>0</v>
      </c>
    </row>
    <row r="126" spans="1:5" ht="12" customHeight="1">
      <c r="A126" s="516" t="s">
        <v>62</v>
      </c>
      <c r="B126" s="335" t="s">
        <v>444</v>
      </c>
      <c r="C126" s="362"/>
      <c r="D126" s="362"/>
      <c r="E126" s="362"/>
    </row>
    <row r="127" spans="1:5" ht="12" customHeight="1">
      <c r="A127" s="516" t="s">
        <v>63</v>
      </c>
      <c r="B127" s="335" t="s">
        <v>445</v>
      </c>
      <c r="C127" s="362"/>
      <c r="D127" s="362"/>
      <c r="E127" s="362"/>
    </row>
    <row r="128" spans="1:5" ht="12" customHeight="1" thickBot="1">
      <c r="A128" s="525" t="s">
        <v>64</v>
      </c>
      <c r="B128" s="333" t="s">
        <v>446</v>
      </c>
      <c r="C128" s="362"/>
      <c r="D128" s="362"/>
      <c r="E128" s="362"/>
    </row>
    <row r="129" spans="1:5" ht="12" customHeight="1" thickBot="1">
      <c r="A129" s="351" t="s">
        <v>12</v>
      </c>
      <c r="B129" s="354" t="s">
        <v>447</v>
      </c>
      <c r="C129" s="372">
        <f>+C130+C131+C132+C133</f>
        <v>0</v>
      </c>
      <c r="D129" s="372">
        <f>+D130+D131+D132+D133</f>
        <v>0</v>
      </c>
      <c r="E129" s="372">
        <f>+E130+E131+E132+E133</f>
        <v>0</v>
      </c>
    </row>
    <row r="130" spans="1:5" ht="12" customHeight="1">
      <c r="A130" s="516" t="s">
        <v>65</v>
      </c>
      <c r="B130" s="335" t="s">
        <v>448</v>
      </c>
      <c r="C130" s="362"/>
      <c r="D130" s="362"/>
      <c r="E130" s="362"/>
    </row>
    <row r="131" spans="1:5" ht="12" customHeight="1">
      <c r="A131" s="516" t="s">
        <v>66</v>
      </c>
      <c r="B131" s="335" t="s">
        <v>449</v>
      </c>
      <c r="C131" s="362"/>
      <c r="D131" s="362"/>
      <c r="E131" s="362"/>
    </row>
    <row r="132" spans="1:5" ht="12" customHeight="1">
      <c r="A132" s="516" t="s">
        <v>344</v>
      </c>
      <c r="B132" s="335" t="s">
        <v>450</v>
      </c>
      <c r="C132" s="362"/>
      <c r="D132" s="362"/>
      <c r="E132" s="362"/>
    </row>
    <row r="133" spans="1:5" s="309" customFormat="1" ht="12" customHeight="1" thickBot="1">
      <c r="A133" s="525" t="s">
        <v>346</v>
      </c>
      <c r="B133" s="333" t="s">
        <v>451</v>
      </c>
      <c r="C133" s="362"/>
      <c r="D133" s="362"/>
      <c r="E133" s="362"/>
    </row>
    <row r="134" spans="1:11" ht="13.5" thickBot="1">
      <c r="A134" s="351" t="s">
        <v>13</v>
      </c>
      <c r="B134" s="354" t="s">
        <v>667</v>
      </c>
      <c r="C134" s="500">
        <f>+C135+C136+C137+C139+C138</f>
        <v>123834625</v>
      </c>
      <c r="D134" s="500">
        <f>+D135+D136+D137+D139+D138</f>
        <v>156718679</v>
      </c>
      <c r="E134" s="500">
        <f>+E135+E136+E137+E139+E138</f>
        <v>155562256</v>
      </c>
      <c r="K134" s="480"/>
    </row>
    <row r="135" spans="1:5" ht="12.75">
      <c r="A135" s="516" t="s">
        <v>67</v>
      </c>
      <c r="B135" s="335" t="s">
        <v>453</v>
      </c>
      <c r="C135" s="362"/>
      <c r="D135" s="362"/>
      <c r="E135" s="362"/>
    </row>
    <row r="136" spans="1:5" ht="12" customHeight="1">
      <c r="A136" s="516" t="s">
        <v>68</v>
      </c>
      <c r="B136" s="335" t="s">
        <v>454</v>
      </c>
      <c r="C136" s="362">
        <v>5167571</v>
      </c>
      <c r="D136" s="362">
        <v>5167571</v>
      </c>
      <c r="E136" s="362">
        <v>5167571</v>
      </c>
    </row>
    <row r="137" spans="1:5" s="309" customFormat="1" ht="12" customHeight="1">
      <c r="A137" s="516" t="s">
        <v>353</v>
      </c>
      <c r="B137" s="335" t="s">
        <v>666</v>
      </c>
      <c r="C137" s="362">
        <v>118667054</v>
      </c>
      <c r="D137" s="362">
        <v>120367742</v>
      </c>
      <c r="E137" s="362">
        <v>119211319</v>
      </c>
    </row>
    <row r="138" spans="1:5" s="309" customFormat="1" ht="12" customHeight="1">
      <c r="A138" s="516" t="s">
        <v>355</v>
      </c>
      <c r="B138" s="335" t="s">
        <v>455</v>
      </c>
      <c r="C138" s="362"/>
      <c r="D138" s="362">
        <v>31183366</v>
      </c>
      <c r="E138" s="362">
        <v>31183366</v>
      </c>
    </row>
    <row r="139" spans="1:5" s="309" customFormat="1" ht="12" customHeight="1" thickBot="1">
      <c r="A139" s="525" t="s">
        <v>665</v>
      </c>
      <c r="B139" s="333" t="s">
        <v>456</v>
      </c>
      <c r="C139" s="362"/>
      <c r="D139" s="362"/>
      <c r="E139" s="362"/>
    </row>
    <row r="140" spans="1:5" s="309" customFormat="1" ht="12" customHeight="1" thickBot="1">
      <c r="A140" s="351" t="s">
        <v>14</v>
      </c>
      <c r="B140" s="354" t="s">
        <v>548</v>
      </c>
      <c r="C140" s="502">
        <f>+C141+C142+C143+C144</f>
        <v>0</v>
      </c>
      <c r="D140" s="502">
        <f>+D141+D142+D143+D144</f>
        <v>0</v>
      </c>
      <c r="E140" s="502">
        <f>+E141+E142+E143+E144</f>
        <v>0</v>
      </c>
    </row>
    <row r="141" spans="1:5" s="309" customFormat="1" ht="12" customHeight="1">
      <c r="A141" s="516" t="s">
        <v>129</v>
      </c>
      <c r="B141" s="335" t="s">
        <v>458</v>
      </c>
      <c r="C141" s="362"/>
      <c r="D141" s="362"/>
      <c r="E141" s="362"/>
    </row>
    <row r="142" spans="1:5" s="309" customFormat="1" ht="12" customHeight="1">
      <c r="A142" s="516" t="s">
        <v>130</v>
      </c>
      <c r="B142" s="335" t="s">
        <v>459</v>
      </c>
      <c r="C142" s="362"/>
      <c r="D142" s="362"/>
      <c r="E142" s="362"/>
    </row>
    <row r="143" spans="1:5" s="309" customFormat="1" ht="12" customHeight="1">
      <c r="A143" s="516" t="s">
        <v>156</v>
      </c>
      <c r="B143" s="335" t="s">
        <v>460</v>
      </c>
      <c r="C143" s="362"/>
      <c r="D143" s="362"/>
      <c r="E143" s="362"/>
    </row>
    <row r="144" spans="1:5" ht="12.75" customHeight="1" thickBot="1">
      <c r="A144" s="516" t="s">
        <v>361</v>
      </c>
      <c r="B144" s="335" t="s">
        <v>461</v>
      </c>
      <c r="C144" s="362"/>
      <c r="D144" s="362"/>
      <c r="E144" s="362"/>
    </row>
    <row r="145" spans="1:5" ht="12" customHeight="1" thickBot="1">
      <c r="A145" s="351" t="s">
        <v>15</v>
      </c>
      <c r="B145" s="354" t="s">
        <v>462</v>
      </c>
      <c r="C145" s="515">
        <f>+C125+C129+C134+C140</f>
        <v>123834625</v>
      </c>
      <c r="D145" s="515">
        <f>+D125+D129+D134+D140</f>
        <v>156718679</v>
      </c>
      <c r="E145" s="515">
        <f>+E125+E129+E134+E140</f>
        <v>155562256</v>
      </c>
    </row>
    <row r="146" spans="1:5" ht="15" customHeight="1" thickBot="1">
      <c r="A146" s="527" t="s">
        <v>16</v>
      </c>
      <c r="B146" s="374" t="s">
        <v>463</v>
      </c>
      <c r="C146" s="515">
        <f>+C124+C145</f>
        <v>577642725</v>
      </c>
      <c r="D146" s="515">
        <f>+D124+D145</f>
        <v>679634918</v>
      </c>
      <c r="E146" s="515">
        <f>E145+E124</f>
        <v>472546553</v>
      </c>
    </row>
    <row r="147" spans="1:5" ht="13.5" thickBot="1">
      <c r="A147" s="43"/>
      <c r="B147" s="44"/>
      <c r="C147" s="45"/>
      <c r="D147" s="45"/>
      <c r="E147" s="45"/>
    </row>
    <row r="148" spans="1:5" ht="15" customHeight="1" thickBot="1">
      <c r="A148" s="493" t="s">
        <v>735</v>
      </c>
      <c r="B148" s="494"/>
      <c r="C148" s="91"/>
      <c r="D148" s="92"/>
      <c r="E148" s="89"/>
    </row>
    <row r="149" spans="1:5" ht="14.25" customHeight="1" thickBot="1">
      <c r="A149" s="493" t="s">
        <v>734</v>
      </c>
      <c r="B149" s="494"/>
      <c r="C149" s="91"/>
      <c r="D149" s="92"/>
      <c r="E149" s="89"/>
    </row>
  </sheetData>
  <sheetProtection formatCells="0"/>
  <mergeCells count="5">
    <mergeCell ref="A7:E7"/>
    <mergeCell ref="A90:E90"/>
    <mergeCell ref="B2:D2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72" r:id="rId1"/>
  <rowBreaks count="1" manualBreakCount="1">
    <brk id="8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149"/>
  <sheetViews>
    <sheetView zoomScaleSheetLayoutView="100" workbookViewId="0" topLeftCell="A1">
      <selection activeCell="C1" sqref="C1:E1"/>
    </sheetView>
  </sheetViews>
  <sheetFormatPr defaultColWidth="9.00390625" defaultRowHeight="12.75"/>
  <cols>
    <col min="1" max="1" width="14.875" style="507" customWidth="1"/>
    <col min="2" max="2" width="64.625" style="508" customWidth="1"/>
    <col min="3" max="5" width="17.00390625" style="509" customWidth="1"/>
    <col min="6" max="16384" width="9.375" style="33" customWidth="1"/>
  </cols>
  <sheetData>
    <row r="1" spans="1:5" s="484" customFormat="1" ht="16.5" customHeight="1" thickBot="1">
      <c r="A1" s="483"/>
      <c r="B1" s="485"/>
      <c r="C1" s="869" t="s">
        <v>780</v>
      </c>
      <c r="D1" s="868"/>
      <c r="E1" s="868"/>
    </row>
    <row r="2" spans="1:5" s="530" customFormat="1" ht="15.75" customHeight="1">
      <c r="A2" s="510" t="s">
        <v>50</v>
      </c>
      <c r="B2" s="761" t="s">
        <v>747</v>
      </c>
      <c r="C2" s="762"/>
      <c r="D2" s="763"/>
      <c r="E2" s="503" t="s">
        <v>41</v>
      </c>
    </row>
    <row r="3" spans="1:5" s="530" customFormat="1" ht="24.75" thickBot="1">
      <c r="A3" s="528" t="s">
        <v>543</v>
      </c>
      <c r="B3" s="764" t="s">
        <v>668</v>
      </c>
      <c r="C3" s="765"/>
      <c r="D3" s="766"/>
      <c r="E3" s="479" t="s">
        <v>47</v>
      </c>
    </row>
    <row r="4" spans="1:5" s="531" customFormat="1" ht="15.75" customHeight="1" thickBot="1">
      <c r="A4" s="486"/>
      <c r="B4" s="486"/>
      <c r="C4" s="487"/>
      <c r="D4" s="487"/>
      <c r="E4" s="487" t="str">
        <f>'6.1. sz. mell'!E4</f>
        <v>Forintban!</v>
      </c>
    </row>
    <row r="5" spans="1:5" ht="24.75" thickBot="1">
      <c r="A5" s="319" t="s">
        <v>146</v>
      </c>
      <c r="B5" s="320" t="s">
        <v>733</v>
      </c>
      <c r="C5" s="77" t="s">
        <v>174</v>
      </c>
      <c r="D5" s="77" t="s">
        <v>179</v>
      </c>
      <c r="E5" s="488" t="s">
        <v>180</v>
      </c>
    </row>
    <row r="6" spans="1:5" s="532" customFormat="1" ht="12.75" customHeight="1" thickBot="1">
      <c r="A6" s="481" t="s">
        <v>410</v>
      </c>
      <c r="B6" s="482" t="s">
        <v>411</v>
      </c>
      <c r="C6" s="482" t="s">
        <v>412</v>
      </c>
      <c r="D6" s="90" t="s">
        <v>413</v>
      </c>
      <c r="E6" s="88" t="s">
        <v>414</v>
      </c>
    </row>
    <row r="7" spans="1:5" s="532" customFormat="1" ht="15.75" customHeight="1" thickBot="1">
      <c r="A7" s="758" t="s">
        <v>42</v>
      </c>
      <c r="B7" s="759"/>
      <c r="C7" s="759"/>
      <c r="D7" s="759"/>
      <c r="E7" s="760"/>
    </row>
    <row r="8" spans="1:5" s="532" customFormat="1" ht="12" customHeight="1" thickBot="1">
      <c r="A8" s="351" t="s">
        <v>7</v>
      </c>
      <c r="B8" s="347" t="s">
        <v>302</v>
      </c>
      <c r="C8" s="378">
        <f>SUM(C9:C14)</f>
        <v>136620875</v>
      </c>
      <c r="D8" s="378">
        <f>SUM(D9:D14)</f>
        <v>169702262</v>
      </c>
      <c r="E8" s="361">
        <f>SUM(E9:E14)</f>
        <v>169702262</v>
      </c>
    </row>
    <row r="9" spans="1:5" s="506" customFormat="1" ht="12" customHeight="1">
      <c r="A9" s="516" t="s">
        <v>69</v>
      </c>
      <c r="B9" s="688" t="s">
        <v>303</v>
      </c>
      <c r="C9" s="380">
        <v>70039327</v>
      </c>
      <c r="D9" s="380">
        <v>73362954</v>
      </c>
      <c r="E9" s="363">
        <v>73362954</v>
      </c>
    </row>
    <row r="10" spans="1:5" s="533" customFormat="1" ht="12" customHeight="1">
      <c r="A10" s="517" t="s">
        <v>70</v>
      </c>
      <c r="B10" s="689" t="s">
        <v>304</v>
      </c>
      <c r="C10" s="379">
        <v>22294800</v>
      </c>
      <c r="D10" s="379">
        <v>22684800</v>
      </c>
      <c r="E10" s="362">
        <v>22684800</v>
      </c>
    </row>
    <row r="11" spans="1:5" s="533" customFormat="1" ht="12" customHeight="1">
      <c r="A11" s="517" t="s">
        <v>71</v>
      </c>
      <c r="B11" s="689" t="s">
        <v>305</v>
      </c>
      <c r="C11" s="379">
        <v>42486748</v>
      </c>
      <c r="D11" s="379">
        <v>45854846</v>
      </c>
      <c r="E11" s="362">
        <v>45854846</v>
      </c>
    </row>
    <row r="12" spans="1:5" s="533" customFormat="1" ht="12" customHeight="1">
      <c r="A12" s="517" t="s">
        <v>72</v>
      </c>
      <c r="B12" s="689" t="s">
        <v>306</v>
      </c>
      <c r="C12" s="379">
        <v>1800000</v>
      </c>
      <c r="D12" s="379">
        <v>1800000</v>
      </c>
      <c r="E12" s="362">
        <v>1800000</v>
      </c>
    </row>
    <row r="13" spans="1:5" s="533" customFormat="1" ht="12" customHeight="1">
      <c r="A13" s="517" t="s">
        <v>105</v>
      </c>
      <c r="B13" s="689" t="s">
        <v>757</v>
      </c>
      <c r="C13" s="379"/>
      <c r="D13" s="379">
        <v>196782</v>
      </c>
      <c r="E13" s="362">
        <v>196782</v>
      </c>
    </row>
    <row r="14" spans="1:5" s="506" customFormat="1" ht="12" customHeight="1" thickBot="1">
      <c r="A14" s="518" t="s">
        <v>73</v>
      </c>
      <c r="B14" s="690" t="s">
        <v>308</v>
      </c>
      <c r="C14" s="381"/>
      <c r="D14" s="381">
        <v>25802880</v>
      </c>
      <c r="E14" s="364">
        <v>25802880</v>
      </c>
    </row>
    <row r="15" spans="1:5" s="506" customFormat="1" ht="12" customHeight="1" thickBot="1">
      <c r="A15" s="351" t="s">
        <v>8</v>
      </c>
      <c r="B15" s="691" t="s">
        <v>309</v>
      </c>
      <c r="C15" s="378">
        <f>SUM(C16:C20)</f>
        <v>58793000</v>
      </c>
      <c r="D15" s="378">
        <f>SUM(D16:D20)</f>
        <v>50175688</v>
      </c>
      <c r="E15" s="361">
        <f>SUM(E16:E20)</f>
        <v>45714603</v>
      </c>
    </row>
    <row r="16" spans="1:5" s="506" customFormat="1" ht="12" customHeight="1">
      <c r="A16" s="516" t="s">
        <v>75</v>
      </c>
      <c r="B16" s="688" t="s">
        <v>310</v>
      </c>
      <c r="C16" s="380"/>
      <c r="D16" s="380"/>
      <c r="E16" s="363"/>
    </row>
    <row r="17" spans="1:5" s="506" customFormat="1" ht="12" customHeight="1">
      <c r="A17" s="517" t="s">
        <v>76</v>
      </c>
      <c r="B17" s="689" t="s">
        <v>311</v>
      </c>
      <c r="C17" s="379"/>
      <c r="D17" s="379"/>
      <c r="E17" s="362"/>
    </row>
    <row r="18" spans="1:5" s="506" customFormat="1" ht="12" customHeight="1">
      <c r="A18" s="517" t="s">
        <v>77</v>
      </c>
      <c r="B18" s="689" t="s">
        <v>312</v>
      </c>
      <c r="C18" s="379"/>
      <c r="D18" s="379"/>
      <c r="E18" s="362"/>
    </row>
    <row r="19" spans="1:5" s="506" customFormat="1" ht="12" customHeight="1">
      <c r="A19" s="517" t="s">
        <v>78</v>
      </c>
      <c r="B19" s="689" t="s">
        <v>313</v>
      </c>
      <c r="C19" s="379"/>
      <c r="D19" s="379"/>
      <c r="E19" s="362"/>
    </row>
    <row r="20" spans="1:5" s="506" customFormat="1" ht="12" customHeight="1">
      <c r="A20" s="517" t="s">
        <v>79</v>
      </c>
      <c r="B20" s="689" t="s">
        <v>314</v>
      </c>
      <c r="C20" s="379">
        <v>58793000</v>
      </c>
      <c r="D20" s="379">
        <v>50175688</v>
      </c>
      <c r="E20" s="362">
        <v>45714603</v>
      </c>
    </row>
    <row r="21" spans="1:5" s="533" customFormat="1" ht="12" customHeight="1" thickBot="1">
      <c r="A21" s="518" t="s">
        <v>86</v>
      </c>
      <c r="B21" s="690" t="s">
        <v>315</v>
      </c>
      <c r="C21" s="381"/>
      <c r="D21" s="381"/>
      <c r="E21" s="364"/>
    </row>
    <row r="22" spans="1:5" s="533" customFormat="1" ht="12" customHeight="1" thickBot="1">
      <c r="A22" s="351" t="s">
        <v>9</v>
      </c>
      <c r="B22" s="347" t="s">
        <v>316</v>
      </c>
      <c r="C22" s="378">
        <f>SUM(C23:C27)</f>
        <v>0</v>
      </c>
      <c r="D22" s="378">
        <f>SUM(D23:D27)</f>
        <v>0</v>
      </c>
      <c r="E22" s="361">
        <f>SUM(E23:E27)</f>
        <v>0</v>
      </c>
    </row>
    <row r="23" spans="1:5" s="533" customFormat="1" ht="12" customHeight="1">
      <c r="A23" s="516" t="s">
        <v>58</v>
      </c>
      <c r="B23" s="688" t="s">
        <v>317</v>
      </c>
      <c r="C23" s="380"/>
      <c r="D23" s="380"/>
      <c r="E23" s="363"/>
    </row>
    <row r="24" spans="1:5" s="506" customFormat="1" ht="12" customHeight="1">
      <c r="A24" s="517" t="s">
        <v>59</v>
      </c>
      <c r="B24" s="689" t="s">
        <v>318</v>
      </c>
      <c r="C24" s="379"/>
      <c r="D24" s="379"/>
      <c r="E24" s="362"/>
    </row>
    <row r="25" spans="1:5" s="533" customFormat="1" ht="12" customHeight="1">
      <c r="A25" s="517" t="s">
        <v>60</v>
      </c>
      <c r="B25" s="689" t="s">
        <v>319</v>
      </c>
      <c r="C25" s="379"/>
      <c r="D25" s="379"/>
      <c r="E25" s="362"/>
    </row>
    <row r="26" spans="1:5" s="533" customFormat="1" ht="12" customHeight="1">
      <c r="A26" s="517" t="s">
        <v>61</v>
      </c>
      <c r="B26" s="689" t="s">
        <v>320</v>
      </c>
      <c r="C26" s="379"/>
      <c r="D26" s="379"/>
      <c r="E26" s="362"/>
    </row>
    <row r="27" spans="1:5" s="533" customFormat="1" ht="12" customHeight="1">
      <c r="A27" s="517" t="s">
        <v>119</v>
      </c>
      <c r="B27" s="689" t="s">
        <v>321</v>
      </c>
      <c r="C27" s="379"/>
      <c r="D27" s="379"/>
      <c r="E27" s="362"/>
    </row>
    <row r="28" spans="1:5" s="533" customFormat="1" ht="12" customHeight="1" thickBot="1">
      <c r="A28" s="518" t="s">
        <v>120</v>
      </c>
      <c r="B28" s="690" t="s">
        <v>322</v>
      </c>
      <c r="C28" s="381"/>
      <c r="D28" s="381"/>
      <c r="E28" s="364"/>
    </row>
    <row r="29" spans="1:5" s="533" customFormat="1" ht="12" customHeight="1" thickBot="1">
      <c r="A29" s="351" t="s">
        <v>121</v>
      </c>
      <c r="B29" s="347" t="s">
        <v>724</v>
      </c>
      <c r="C29" s="384">
        <f>SUM(C30:C35)</f>
        <v>4200000</v>
      </c>
      <c r="D29" s="384">
        <f>SUM(D30:D35)</f>
        <v>4996285</v>
      </c>
      <c r="E29" s="397">
        <f>SUM(E30:E35)</f>
        <v>4996285</v>
      </c>
    </row>
    <row r="30" spans="1:5" s="533" customFormat="1" ht="12" customHeight="1">
      <c r="A30" s="516" t="s">
        <v>323</v>
      </c>
      <c r="B30" s="688" t="s">
        <v>728</v>
      </c>
      <c r="C30" s="380"/>
      <c r="D30" s="380"/>
      <c r="E30" s="363"/>
    </row>
    <row r="31" spans="1:5" s="533" customFormat="1" ht="12" customHeight="1">
      <c r="A31" s="517" t="s">
        <v>324</v>
      </c>
      <c r="B31" s="689" t="s">
        <v>746</v>
      </c>
      <c r="C31" s="379">
        <v>4200000</v>
      </c>
      <c r="D31" s="379">
        <v>4996285</v>
      </c>
      <c r="E31" s="362">
        <v>4996285</v>
      </c>
    </row>
    <row r="32" spans="1:5" s="533" customFormat="1" ht="12" customHeight="1">
      <c r="A32" s="517" t="s">
        <v>325</v>
      </c>
      <c r="B32" s="689" t="s">
        <v>730</v>
      </c>
      <c r="C32" s="379"/>
      <c r="D32" s="379"/>
      <c r="E32" s="362"/>
    </row>
    <row r="33" spans="1:5" s="533" customFormat="1" ht="12" customHeight="1">
      <c r="A33" s="517" t="s">
        <v>725</v>
      </c>
      <c r="B33" s="689" t="s">
        <v>731</v>
      </c>
      <c r="C33" s="379"/>
      <c r="D33" s="379"/>
      <c r="E33" s="362"/>
    </row>
    <row r="34" spans="1:5" s="533" customFormat="1" ht="12" customHeight="1">
      <c r="A34" s="517" t="s">
        <v>726</v>
      </c>
      <c r="B34" s="689" t="s">
        <v>326</v>
      </c>
      <c r="C34" s="379"/>
      <c r="D34" s="379"/>
      <c r="E34" s="362"/>
    </row>
    <row r="35" spans="1:5" s="533" customFormat="1" ht="12" customHeight="1" thickBot="1">
      <c r="A35" s="518" t="s">
        <v>727</v>
      </c>
      <c r="B35" s="692" t="s">
        <v>327</v>
      </c>
      <c r="C35" s="381"/>
      <c r="D35" s="381"/>
      <c r="E35" s="364"/>
    </row>
    <row r="36" spans="1:5" s="533" customFormat="1" ht="12" customHeight="1" thickBot="1">
      <c r="A36" s="351" t="s">
        <v>11</v>
      </c>
      <c r="B36" s="347" t="s">
        <v>328</v>
      </c>
      <c r="C36" s="378">
        <f>SUM(C37:C46)</f>
        <v>0</v>
      </c>
      <c r="D36" s="378">
        <f>SUM(D37:D46)</f>
        <v>0</v>
      </c>
      <c r="E36" s="361">
        <f>SUM(E37:E46)</f>
        <v>0</v>
      </c>
    </row>
    <row r="37" spans="1:5" s="533" customFormat="1" ht="12" customHeight="1">
      <c r="A37" s="516" t="s">
        <v>62</v>
      </c>
      <c r="B37" s="688" t="s">
        <v>329</v>
      </c>
      <c r="C37" s="380"/>
      <c r="D37" s="380"/>
      <c r="E37" s="363"/>
    </row>
    <row r="38" spans="1:5" s="533" customFormat="1" ht="12" customHeight="1">
      <c r="A38" s="517" t="s">
        <v>63</v>
      </c>
      <c r="B38" s="689" t="s">
        <v>330</v>
      </c>
      <c r="C38" s="379"/>
      <c r="D38" s="379"/>
      <c r="E38" s="362"/>
    </row>
    <row r="39" spans="1:5" s="533" customFormat="1" ht="12" customHeight="1">
      <c r="A39" s="517" t="s">
        <v>64</v>
      </c>
      <c r="B39" s="689" t="s">
        <v>331</v>
      </c>
      <c r="C39" s="379"/>
      <c r="D39" s="379"/>
      <c r="E39" s="362"/>
    </row>
    <row r="40" spans="1:5" s="533" customFormat="1" ht="12" customHeight="1">
      <c r="A40" s="517" t="s">
        <v>123</v>
      </c>
      <c r="B40" s="689" t="s">
        <v>332</v>
      </c>
      <c r="C40" s="379"/>
      <c r="D40" s="379"/>
      <c r="E40" s="362"/>
    </row>
    <row r="41" spans="1:5" s="533" customFormat="1" ht="12" customHeight="1">
      <c r="A41" s="517" t="s">
        <v>124</v>
      </c>
      <c r="B41" s="689" t="s">
        <v>333</v>
      </c>
      <c r="C41" s="379"/>
      <c r="D41" s="379"/>
      <c r="E41" s="362"/>
    </row>
    <row r="42" spans="1:5" s="533" customFormat="1" ht="12" customHeight="1">
      <c r="A42" s="517" t="s">
        <v>125</v>
      </c>
      <c r="B42" s="689" t="s">
        <v>334</v>
      </c>
      <c r="C42" s="379"/>
      <c r="D42" s="379"/>
      <c r="E42" s="362"/>
    </row>
    <row r="43" spans="1:5" s="533" customFormat="1" ht="12" customHeight="1">
      <c r="A43" s="517" t="s">
        <v>126</v>
      </c>
      <c r="B43" s="689" t="s">
        <v>335</v>
      </c>
      <c r="C43" s="379"/>
      <c r="D43" s="379"/>
      <c r="E43" s="362"/>
    </row>
    <row r="44" spans="1:5" s="533" customFormat="1" ht="12" customHeight="1">
      <c r="A44" s="517" t="s">
        <v>127</v>
      </c>
      <c r="B44" s="689" t="s">
        <v>336</v>
      </c>
      <c r="C44" s="379"/>
      <c r="D44" s="379"/>
      <c r="E44" s="362"/>
    </row>
    <row r="45" spans="1:5" s="533" customFormat="1" ht="12" customHeight="1">
      <c r="A45" s="517" t="s">
        <v>337</v>
      </c>
      <c r="B45" s="689" t="s">
        <v>338</v>
      </c>
      <c r="C45" s="382"/>
      <c r="D45" s="382"/>
      <c r="E45" s="365"/>
    </row>
    <row r="46" spans="1:5" s="506" customFormat="1" ht="12" customHeight="1" thickBot="1">
      <c r="A46" s="518" t="s">
        <v>339</v>
      </c>
      <c r="B46" s="690" t="s">
        <v>340</v>
      </c>
      <c r="C46" s="383"/>
      <c r="D46" s="383"/>
      <c r="E46" s="366"/>
    </row>
    <row r="47" spans="1:5" s="533" customFormat="1" ht="12" customHeight="1" thickBot="1">
      <c r="A47" s="351" t="s">
        <v>12</v>
      </c>
      <c r="B47" s="347" t="s">
        <v>341</v>
      </c>
      <c r="C47" s="378">
        <f>SUM(C48:C52)</f>
        <v>0</v>
      </c>
      <c r="D47" s="378">
        <f>SUM(D48:D52)</f>
        <v>0</v>
      </c>
      <c r="E47" s="361">
        <f>SUM(E48:E52)</f>
        <v>0</v>
      </c>
    </row>
    <row r="48" spans="1:5" s="533" customFormat="1" ht="12" customHeight="1">
      <c r="A48" s="516" t="s">
        <v>65</v>
      </c>
      <c r="B48" s="688" t="s">
        <v>342</v>
      </c>
      <c r="C48" s="399"/>
      <c r="D48" s="399"/>
      <c r="E48" s="367"/>
    </row>
    <row r="49" spans="1:5" s="533" customFormat="1" ht="12" customHeight="1">
      <c r="A49" s="517" t="s">
        <v>66</v>
      </c>
      <c r="B49" s="689" t="s">
        <v>343</v>
      </c>
      <c r="C49" s="382"/>
      <c r="D49" s="382"/>
      <c r="E49" s="365"/>
    </row>
    <row r="50" spans="1:5" s="533" customFormat="1" ht="12" customHeight="1">
      <c r="A50" s="517" t="s">
        <v>344</v>
      </c>
      <c r="B50" s="689" t="s">
        <v>345</v>
      </c>
      <c r="C50" s="382"/>
      <c r="D50" s="382"/>
      <c r="E50" s="365"/>
    </row>
    <row r="51" spans="1:5" s="533" customFormat="1" ht="12" customHeight="1">
      <c r="A51" s="517" t="s">
        <v>346</v>
      </c>
      <c r="B51" s="689" t="s">
        <v>347</v>
      </c>
      <c r="C51" s="382"/>
      <c r="D51" s="382"/>
      <c r="E51" s="365"/>
    </row>
    <row r="52" spans="1:5" s="533" customFormat="1" ht="12" customHeight="1" thickBot="1">
      <c r="A52" s="518" t="s">
        <v>348</v>
      </c>
      <c r="B52" s="690" t="s">
        <v>349</v>
      </c>
      <c r="C52" s="383"/>
      <c r="D52" s="383"/>
      <c r="E52" s="366"/>
    </row>
    <row r="53" spans="1:5" s="533" customFormat="1" ht="12" customHeight="1" thickBot="1">
      <c r="A53" s="351" t="s">
        <v>128</v>
      </c>
      <c r="B53" s="347" t="s">
        <v>350</v>
      </c>
      <c r="C53" s="378">
        <f>SUM(C54:C56)</f>
        <v>0</v>
      </c>
      <c r="D53" s="378">
        <f>SUM(D54:D56)</f>
        <v>0</v>
      </c>
      <c r="E53" s="361">
        <f>SUM(E54:E56)</f>
        <v>0</v>
      </c>
    </row>
    <row r="54" spans="1:5" s="506" customFormat="1" ht="12" customHeight="1">
      <c r="A54" s="516" t="s">
        <v>67</v>
      </c>
      <c r="B54" s="688" t="s">
        <v>351</v>
      </c>
      <c r="C54" s="380"/>
      <c r="D54" s="380"/>
      <c r="E54" s="363"/>
    </row>
    <row r="55" spans="1:5" s="506" customFormat="1" ht="12" customHeight="1">
      <c r="A55" s="517" t="s">
        <v>68</v>
      </c>
      <c r="B55" s="689" t="s">
        <v>352</v>
      </c>
      <c r="C55" s="379"/>
      <c r="D55" s="379"/>
      <c r="E55" s="362"/>
    </row>
    <row r="56" spans="1:5" s="506" customFormat="1" ht="12" customHeight="1">
      <c r="A56" s="517" t="s">
        <v>353</v>
      </c>
      <c r="B56" s="689" t="s">
        <v>354</v>
      </c>
      <c r="C56" s="379"/>
      <c r="D56" s="379"/>
      <c r="E56" s="362"/>
    </row>
    <row r="57" spans="1:5" s="506" customFormat="1" ht="12" customHeight="1" thickBot="1">
      <c r="A57" s="518" t="s">
        <v>355</v>
      </c>
      <c r="B57" s="690" t="s">
        <v>356</v>
      </c>
      <c r="C57" s="381"/>
      <c r="D57" s="381"/>
      <c r="E57" s="364"/>
    </row>
    <row r="58" spans="1:5" s="533" customFormat="1" ht="12" customHeight="1" thickBot="1">
      <c r="A58" s="351" t="s">
        <v>14</v>
      </c>
      <c r="B58" s="691" t="s">
        <v>357</v>
      </c>
      <c r="C58" s="378">
        <f>SUM(C59:C61)</f>
        <v>0</v>
      </c>
      <c r="D58" s="378">
        <f>SUM(D59:D61)</f>
        <v>0</v>
      </c>
      <c r="E58" s="361">
        <f>SUM(E59:E61)</f>
        <v>0</v>
      </c>
    </row>
    <row r="59" spans="1:5" s="533" customFormat="1" ht="12" customHeight="1">
      <c r="A59" s="516" t="s">
        <v>129</v>
      </c>
      <c r="B59" s="688" t="s">
        <v>358</v>
      </c>
      <c r="C59" s="382"/>
      <c r="D59" s="382"/>
      <c r="E59" s="365"/>
    </row>
    <row r="60" spans="1:5" s="533" customFormat="1" ht="12" customHeight="1">
      <c r="A60" s="517" t="s">
        <v>130</v>
      </c>
      <c r="B60" s="689" t="s">
        <v>546</v>
      </c>
      <c r="C60" s="382"/>
      <c r="D60" s="382"/>
      <c r="E60" s="365"/>
    </row>
    <row r="61" spans="1:5" s="533" customFormat="1" ht="12" customHeight="1">
      <c r="A61" s="517" t="s">
        <v>156</v>
      </c>
      <c r="B61" s="689" t="s">
        <v>360</v>
      </c>
      <c r="C61" s="382"/>
      <c r="D61" s="382"/>
      <c r="E61" s="365"/>
    </row>
    <row r="62" spans="1:5" s="533" customFormat="1" ht="12" customHeight="1" thickBot="1">
      <c r="A62" s="518" t="s">
        <v>361</v>
      </c>
      <c r="B62" s="690" t="s">
        <v>362</v>
      </c>
      <c r="C62" s="382"/>
      <c r="D62" s="382"/>
      <c r="E62" s="365"/>
    </row>
    <row r="63" spans="1:5" s="533" customFormat="1" ht="12" customHeight="1" thickBot="1">
      <c r="A63" s="351" t="s">
        <v>15</v>
      </c>
      <c r="B63" s="347" t="s">
        <v>363</v>
      </c>
      <c r="C63" s="384">
        <f>+C8+C15+C22+C29+C36+C47+C53+C58</f>
        <v>199613875</v>
      </c>
      <c r="D63" s="384">
        <f>+D8+D15+D22+D29+D36+D47+D53+D58</f>
        <v>224874235</v>
      </c>
      <c r="E63" s="397">
        <f>+E8+E15+E22+E29+E36+E47+E53+E58</f>
        <v>220413150</v>
      </c>
    </row>
    <row r="64" spans="1:5" s="533" customFormat="1" ht="12" customHeight="1" thickBot="1">
      <c r="A64" s="693" t="s">
        <v>544</v>
      </c>
      <c r="B64" s="691" t="s">
        <v>365</v>
      </c>
      <c r="C64" s="378">
        <f>SUM(C65:C67)</f>
        <v>0</v>
      </c>
      <c r="D64" s="378">
        <f>SUM(D65:D67)</f>
        <v>0</v>
      </c>
      <c r="E64" s="361">
        <f>SUM(E65:E67)</f>
        <v>0</v>
      </c>
    </row>
    <row r="65" spans="1:5" s="533" customFormat="1" ht="12" customHeight="1">
      <c r="A65" s="516" t="s">
        <v>366</v>
      </c>
      <c r="B65" s="688" t="s">
        <v>367</v>
      </c>
      <c r="C65" s="382"/>
      <c r="D65" s="382"/>
      <c r="E65" s="365"/>
    </row>
    <row r="66" spans="1:5" s="533" customFormat="1" ht="12" customHeight="1">
      <c r="A66" s="517" t="s">
        <v>368</v>
      </c>
      <c r="B66" s="689" t="s">
        <v>369</v>
      </c>
      <c r="C66" s="382"/>
      <c r="D66" s="382"/>
      <c r="E66" s="365"/>
    </row>
    <row r="67" spans="1:5" s="533" customFormat="1" ht="12" customHeight="1" thickBot="1">
      <c r="A67" s="518" t="s">
        <v>370</v>
      </c>
      <c r="B67" s="694" t="s">
        <v>371</v>
      </c>
      <c r="C67" s="382"/>
      <c r="D67" s="382"/>
      <c r="E67" s="365"/>
    </row>
    <row r="68" spans="1:5" s="533" customFormat="1" ht="12" customHeight="1" thickBot="1">
      <c r="A68" s="693" t="s">
        <v>372</v>
      </c>
      <c r="B68" s="691" t="s">
        <v>373</v>
      </c>
      <c r="C68" s="378">
        <f>SUM(C69:C72)</f>
        <v>0</v>
      </c>
      <c r="D68" s="378">
        <f>SUM(D69:D72)</f>
        <v>0</v>
      </c>
      <c r="E68" s="361">
        <f>SUM(E69:E72)</f>
        <v>0</v>
      </c>
    </row>
    <row r="69" spans="1:5" s="533" customFormat="1" ht="12" customHeight="1">
      <c r="A69" s="516" t="s">
        <v>106</v>
      </c>
      <c r="B69" s="688" t="s">
        <v>374</v>
      </c>
      <c r="C69" s="382"/>
      <c r="D69" s="382"/>
      <c r="E69" s="365"/>
    </row>
    <row r="70" spans="1:5" s="533" customFormat="1" ht="12" customHeight="1">
      <c r="A70" s="517" t="s">
        <v>107</v>
      </c>
      <c r="B70" s="689" t="s">
        <v>375</v>
      </c>
      <c r="C70" s="382"/>
      <c r="D70" s="382"/>
      <c r="E70" s="365"/>
    </row>
    <row r="71" spans="1:5" s="533" customFormat="1" ht="12" customHeight="1">
      <c r="A71" s="517" t="s">
        <v>376</v>
      </c>
      <c r="B71" s="689" t="s">
        <v>377</v>
      </c>
      <c r="C71" s="382"/>
      <c r="D71" s="382"/>
      <c r="E71" s="365"/>
    </row>
    <row r="72" spans="1:5" s="533" customFormat="1" ht="12" customHeight="1" thickBot="1">
      <c r="A72" s="518" t="s">
        <v>378</v>
      </c>
      <c r="B72" s="690" t="s">
        <v>379</v>
      </c>
      <c r="C72" s="382"/>
      <c r="D72" s="382"/>
      <c r="E72" s="365"/>
    </row>
    <row r="73" spans="1:5" s="533" customFormat="1" ht="12" customHeight="1" thickBot="1">
      <c r="A73" s="693" t="s">
        <v>380</v>
      </c>
      <c r="B73" s="691" t="s">
        <v>381</v>
      </c>
      <c r="C73" s="378">
        <f>SUM(C74:C75)</f>
        <v>235983330</v>
      </c>
      <c r="D73" s="378">
        <f>SUM(D74:D75)</f>
        <v>235983330</v>
      </c>
      <c r="E73" s="361">
        <f>SUM(E74:E75)</f>
        <v>199968983</v>
      </c>
    </row>
    <row r="74" spans="1:5" s="533" customFormat="1" ht="12" customHeight="1">
      <c r="A74" s="516" t="s">
        <v>382</v>
      </c>
      <c r="B74" s="688" t="s">
        <v>383</v>
      </c>
      <c r="C74" s="382">
        <v>235983330</v>
      </c>
      <c r="D74" s="382">
        <v>235983330</v>
      </c>
      <c r="E74" s="365">
        <v>199968983</v>
      </c>
    </row>
    <row r="75" spans="1:5" s="533" customFormat="1" ht="12" customHeight="1" thickBot="1">
      <c r="A75" s="518" t="s">
        <v>384</v>
      </c>
      <c r="B75" s="690" t="s">
        <v>385</v>
      </c>
      <c r="C75" s="382"/>
      <c r="D75" s="382"/>
      <c r="E75" s="365"/>
    </row>
    <row r="76" spans="1:5" s="533" customFormat="1" ht="12" customHeight="1" thickBot="1">
      <c r="A76" s="693" t="s">
        <v>386</v>
      </c>
      <c r="B76" s="691" t="s">
        <v>387</v>
      </c>
      <c r="C76" s="378">
        <f>SUM(C77:C79)</f>
        <v>0</v>
      </c>
      <c r="D76" s="378">
        <f>SUM(D77:D79)</f>
        <v>5718007</v>
      </c>
      <c r="E76" s="361">
        <f>SUM(E77:E79)</f>
        <v>5718007</v>
      </c>
    </row>
    <row r="77" spans="1:5" s="533" customFormat="1" ht="12" customHeight="1">
      <c r="A77" s="516" t="s">
        <v>388</v>
      </c>
      <c r="B77" s="688" t="s">
        <v>389</v>
      </c>
      <c r="C77" s="382"/>
      <c r="D77" s="382">
        <v>5718007</v>
      </c>
      <c r="E77" s="365">
        <v>5718007</v>
      </c>
    </row>
    <row r="78" spans="1:5" s="533" customFormat="1" ht="12" customHeight="1">
      <c r="A78" s="517" t="s">
        <v>390</v>
      </c>
      <c r="B78" s="689" t="s">
        <v>391</v>
      </c>
      <c r="C78" s="382"/>
      <c r="D78" s="382"/>
      <c r="E78" s="365"/>
    </row>
    <row r="79" spans="1:5" s="533" customFormat="1" ht="12" customHeight="1" thickBot="1">
      <c r="A79" s="518" t="s">
        <v>392</v>
      </c>
      <c r="B79" s="690" t="s">
        <v>393</v>
      </c>
      <c r="C79" s="382"/>
      <c r="D79" s="382"/>
      <c r="E79" s="365"/>
    </row>
    <row r="80" spans="1:5" s="533" customFormat="1" ht="12" customHeight="1" thickBot="1">
      <c r="A80" s="693" t="s">
        <v>394</v>
      </c>
      <c r="B80" s="691" t="s">
        <v>395</v>
      </c>
      <c r="C80" s="378">
        <f>SUM(C81:C84)</f>
        <v>0</v>
      </c>
      <c r="D80" s="378">
        <f>SUM(D81:D84)</f>
        <v>0</v>
      </c>
      <c r="E80" s="361">
        <f>SUM(E81:E84)</f>
        <v>0</v>
      </c>
    </row>
    <row r="81" spans="1:5" s="533" customFormat="1" ht="12" customHeight="1">
      <c r="A81" s="695" t="s">
        <v>396</v>
      </c>
      <c r="B81" s="688" t="s">
        <v>397</v>
      </c>
      <c r="C81" s="382"/>
      <c r="D81" s="382"/>
      <c r="E81" s="365"/>
    </row>
    <row r="82" spans="1:5" s="533" customFormat="1" ht="12" customHeight="1">
      <c r="A82" s="696" t="s">
        <v>398</v>
      </c>
      <c r="B82" s="689" t="s">
        <v>399</v>
      </c>
      <c r="C82" s="382"/>
      <c r="D82" s="382"/>
      <c r="E82" s="365"/>
    </row>
    <row r="83" spans="1:5" s="533" customFormat="1" ht="12" customHeight="1">
      <c r="A83" s="696" t="s">
        <v>400</v>
      </c>
      <c r="B83" s="689" t="s">
        <v>401</v>
      </c>
      <c r="C83" s="382"/>
      <c r="D83" s="382"/>
      <c r="E83" s="365"/>
    </row>
    <row r="84" spans="1:5" s="533" customFormat="1" ht="12" customHeight="1" thickBot="1">
      <c r="A84" s="697" t="s">
        <v>402</v>
      </c>
      <c r="B84" s="690" t="s">
        <v>403</v>
      </c>
      <c r="C84" s="382"/>
      <c r="D84" s="382"/>
      <c r="E84" s="365"/>
    </row>
    <row r="85" spans="1:5" s="533" customFormat="1" ht="12" customHeight="1" thickBot="1">
      <c r="A85" s="693" t="s">
        <v>404</v>
      </c>
      <c r="B85" s="691" t="s">
        <v>405</v>
      </c>
      <c r="C85" s="403"/>
      <c r="D85" s="403"/>
      <c r="E85" s="404"/>
    </row>
    <row r="86" spans="1:5" s="533" customFormat="1" ht="12" customHeight="1" thickBot="1">
      <c r="A86" s="693" t="s">
        <v>406</v>
      </c>
      <c r="B86" s="698" t="s">
        <v>407</v>
      </c>
      <c r="C86" s="384">
        <f>+C64+C68+C73+C76+C80+C85</f>
        <v>235983330</v>
      </c>
      <c r="D86" s="384">
        <f>+D64+D68+D73+D76+D80+D85</f>
        <v>241701337</v>
      </c>
      <c r="E86" s="397">
        <f>+E64+E68+E73+E76+E80+E85</f>
        <v>205686990</v>
      </c>
    </row>
    <row r="87" spans="1:5" s="533" customFormat="1" ht="12" customHeight="1" thickBot="1">
      <c r="A87" s="699" t="s">
        <v>408</v>
      </c>
      <c r="B87" s="700" t="s">
        <v>545</v>
      </c>
      <c r="C87" s="384">
        <f>+C63+C86</f>
        <v>435597205</v>
      </c>
      <c r="D87" s="384">
        <f>+D63+D86</f>
        <v>466575572</v>
      </c>
      <c r="E87" s="397">
        <f>+E63+E86</f>
        <v>426100140</v>
      </c>
    </row>
    <row r="88" spans="1:5" s="533" customFormat="1" ht="15" customHeight="1">
      <c r="A88" s="489"/>
      <c r="B88" s="490"/>
      <c r="C88" s="504"/>
      <c r="D88" s="504"/>
      <c r="E88" s="504"/>
    </row>
    <row r="89" spans="1:5" ht="13.5" thickBot="1">
      <c r="A89" s="491"/>
      <c r="B89" s="492"/>
      <c r="C89" s="505"/>
      <c r="D89" s="505"/>
      <c r="E89" s="505"/>
    </row>
    <row r="90" spans="1:5" s="532" customFormat="1" ht="16.5" customHeight="1" thickBot="1">
      <c r="A90" s="758" t="s">
        <v>43</v>
      </c>
      <c r="B90" s="759"/>
      <c r="C90" s="759"/>
      <c r="D90" s="759"/>
      <c r="E90" s="760"/>
    </row>
    <row r="91" spans="1:5" s="309" customFormat="1" ht="12" customHeight="1" thickBot="1">
      <c r="A91" s="511" t="s">
        <v>7</v>
      </c>
      <c r="B91" s="350" t="s">
        <v>416</v>
      </c>
      <c r="C91" s="495">
        <f>SUM(C92:C96)</f>
        <v>133806974</v>
      </c>
      <c r="D91" s="495">
        <f>SUM(D92:D96)</f>
        <v>190341337</v>
      </c>
      <c r="E91" s="495">
        <f>SUM(E92:E96)</f>
        <v>158448161</v>
      </c>
    </row>
    <row r="92" spans="1:5" ht="12" customHeight="1">
      <c r="A92" s="524" t="s">
        <v>69</v>
      </c>
      <c r="B92" s="336" t="s">
        <v>37</v>
      </c>
      <c r="C92" s="496">
        <v>55484050</v>
      </c>
      <c r="D92" s="496">
        <v>64420050</v>
      </c>
      <c r="E92" s="496">
        <v>60709860</v>
      </c>
    </row>
    <row r="93" spans="1:5" ht="12" customHeight="1">
      <c r="A93" s="517" t="s">
        <v>70</v>
      </c>
      <c r="B93" s="334" t="s">
        <v>131</v>
      </c>
      <c r="C93" s="497">
        <v>11396350</v>
      </c>
      <c r="D93" s="497">
        <v>11396350</v>
      </c>
      <c r="E93" s="497">
        <v>9499603</v>
      </c>
    </row>
    <row r="94" spans="1:5" ht="12" customHeight="1">
      <c r="A94" s="517" t="s">
        <v>71</v>
      </c>
      <c r="B94" s="334" t="s">
        <v>98</v>
      </c>
      <c r="C94" s="499">
        <v>42564000</v>
      </c>
      <c r="D94" s="499">
        <v>86835983</v>
      </c>
      <c r="E94" s="499">
        <v>72628940</v>
      </c>
    </row>
    <row r="95" spans="1:5" ht="12" customHeight="1">
      <c r="A95" s="517" t="s">
        <v>72</v>
      </c>
      <c r="B95" s="337" t="s">
        <v>132</v>
      </c>
      <c r="C95" s="499">
        <v>24362574</v>
      </c>
      <c r="D95" s="499">
        <v>27688954</v>
      </c>
      <c r="E95" s="499">
        <v>15609758</v>
      </c>
    </row>
    <row r="96" spans="1:5" ht="12" customHeight="1">
      <c r="A96" s="517" t="s">
        <v>81</v>
      </c>
      <c r="B96" s="345" t="s">
        <v>133</v>
      </c>
      <c r="C96" s="499"/>
      <c r="D96" s="499"/>
      <c r="E96" s="499"/>
    </row>
    <row r="97" spans="1:5" ht="12" customHeight="1">
      <c r="A97" s="517" t="s">
        <v>73</v>
      </c>
      <c r="B97" s="334" t="s">
        <v>417</v>
      </c>
      <c r="C97" s="499"/>
      <c r="D97" s="499"/>
      <c r="E97" s="499"/>
    </row>
    <row r="98" spans="1:5" ht="12" customHeight="1">
      <c r="A98" s="517" t="s">
        <v>74</v>
      </c>
      <c r="B98" s="357" t="s">
        <v>418</v>
      </c>
      <c r="C98" s="499"/>
      <c r="D98" s="499"/>
      <c r="E98" s="499"/>
    </row>
    <row r="99" spans="1:5" ht="12" customHeight="1">
      <c r="A99" s="517" t="s">
        <v>82</v>
      </c>
      <c r="B99" s="358" t="s">
        <v>419</v>
      </c>
      <c r="C99" s="499"/>
      <c r="D99" s="499"/>
      <c r="E99" s="499"/>
    </row>
    <row r="100" spans="1:5" ht="12" customHeight="1">
      <c r="A100" s="517" t="s">
        <v>83</v>
      </c>
      <c r="B100" s="358" t="s">
        <v>420</v>
      </c>
      <c r="C100" s="499"/>
      <c r="D100" s="499"/>
      <c r="E100" s="499"/>
    </row>
    <row r="101" spans="1:5" ht="12" customHeight="1">
      <c r="A101" s="517" t="s">
        <v>84</v>
      </c>
      <c r="B101" s="357" t="s">
        <v>421</v>
      </c>
      <c r="C101" s="499"/>
      <c r="D101" s="499"/>
      <c r="E101" s="499"/>
    </row>
    <row r="102" spans="1:5" ht="12" customHeight="1">
      <c r="A102" s="517" t="s">
        <v>85</v>
      </c>
      <c r="B102" s="357" t="s">
        <v>422</v>
      </c>
      <c r="C102" s="499"/>
      <c r="D102" s="499"/>
      <c r="E102" s="499"/>
    </row>
    <row r="103" spans="1:5" ht="12" customHeight="1">
      <c r="A103" s="517" t="s">
        <v>87</v>
      </c>
      <c r="B103" s="358" t="s">
        <v>423</v>
      </c>
      <c r="C103" s="499"/>
      <c r="D103" s="499"/>
      <c r="E103" s="499"/>
    </row>
    <row r="104" spans="1:5" ht="12" customHeight="1">
      <c r="A104" s="525" t="s">
        <v>134</v>
      </c>
      <c r="B104" s="359" t="s">
        <v>424</v>
      </c>
      <c r="C104" s="499"/>
      <c r="D104" s="499"/>
      <c r="E104" s="499"/>
    </row>
    <row r="105" spans="1:5" ht="12" customHeight="1">
      <c r="A105" s="517" t="s">
        <v>425</v>
      </c>
      <c r="B105" s="359" t="s">
        <v>426</v>
      </c>
      <c r="C105" s="499"/>
      <c r="D105" s="499"/>
      <c r="E105" s="499"/>
    </row>
    <row r="106" spans="1:5" s="309" customFormat="1" ht="12" customHeight="1" thickBot="1">
      <c r="A106" s="526" t="s">
        <v>427</v>
      </c>
      <c r="B106" s="360" t="s">
        <v>428</v>
      </c>
      <c r="C106" s="501"/>
      <c r="D106" s="501"/>
      <c r="E106" s="501"/>
    </row>
    <row r="107" spans="1:5" ht="12" customHeight="1" thickBot="1">
      <c r="A107" s="351" t="s">
        <v>8</v>
      </c>
      <c r="B107" s="349" t="s">
        <v>429</v>
      </c>
      <c r="C107" s="372">
        <f>+C108+C110+C112</f>
        <v>0</v>
      </c>
      <c r="D107" s="372">
        <f>+D108+D110+D112</f>
        <v>0</v>
      </c>
      <c r="E107" s="372">
        <f>+E108+E110+E112</f>
        <v>0</v>
      </c>
    </row>
    <row r="108" spans="1:5" ht="12" customHeight="1">
      <c r="A108" s="516" t="s">
        <v>75</v>
      </c>
      <c r="B108" s="334" t="s">
        <v>155</v>
      </c>
      <c r="C108" s="498"/>
      <c r="D108" s="498"/>
      <c r="E108" s="498"/>
    </row>
    <row r="109" spans="1:5" ht="12" customHeight="1">
      <c r="A109" s="516" t="s">
        <v>76</v>
      </c>
      <c r="B109" s="338" t="s">
        <v>430</v>
      </c>
      <c r="C109" s="498"/>
      <c r="D109" s="498"/>
      <c r="E109" s="498"/>
    </row>
    <row r="110" spans="1:5" ht="12" customHeight="1">
      <c r="A110" s="516" t="s">
        <v>77</v>
      </c>
      <c r="B110" s="338" t="s">
        <v>135</v>
      </c>
      <c r="C110" s="497"/>
      <c r="D110" s="497"/>
      <c r="E110" s="497"/>
    </row>
    <row r="111" spans="1:5" ht="12" customHeight="1">
      <c r="A111" s="516" t="s">
        <v>78</v>
      </c>
      <c r="B111" s="338" t="s">
        <v>431</v>
      </c>
      <c r="C111" s="362"/>
      <c r="D111" s="362"/>
      <c r="E111" s="362"/>
    </row>
    <row r="112" spans="1:5" ht="12" customHeight="1">
      <c r="A112" s="516" t="s">
        <v>79</v>
      </c>
      <c r="B112" s="692" t="s">
        <v>157</v>
      </c>
      <c r="C112" s="362"/>
      <c r="D112" s="362"/>
      <c r="E112" s="362"/>
    </row>
    <row r="113" spans="1:5" ht="12" customHeight="1">
      <c r="A113" s="516" t="s">
        <v>86</v>
      </c>
      <c r="B113" s="701" t="s">
        <v>432</v>
      </c>
      <c r="C113" s="362"/>
      <c r="D113" s="362"/>
      <c r="E113" s="362"/>
    </row>
    <row r="114" spans="1:5" ht="12" customHeight="1">
      <c r="A114" s="516" t="s">
        <v>88</v>
      </c>
      <c r="B114" s="385" t="s">
        <v>433</v>
      </c>
      <c r="C114" s="362"/>
      <c r="D114" s="362"/>
      <c r="E114" s="362"/>
    </row>
    <row r="115" spans="1:5" ht="12" customHeight="1">
      <c r="A115" s="516" t="s">
        <v>136</v>
      </c>
      <c r="B115" s="358" t="s">
        <v>420</v>
      </c>
      <c r="C115" s="362"/>
      <c r="D115" s="362"/>
      <c r="E115" s="362"/>
    </row>
    <row r="116" spans="1:5" ht="12" customHeight="1">
      <c r="A116" s="516" t="s">
        <v>137</v>
      </c>
      <c r="B116" s="358" t="s">
        <v>434</v>
      </c>
      <c r="C116" s="362"/>
      <c r="D116" s="362"/>
      <c r="E116" s="362"/>
    </row>
    <row r="117" spans="1:5" ht="12" customHeight="1">
      <c r="A117" s="516" t="s">
        <v>138</v>
      </c>
      <c r="B117" s="358" t="s">
        <v>435</v>
      </c>
      <c r="C117" s="362"/>
      <c r="D117" s="362"/>
      <c r="E117" s="362"/>
    </row>
    <row r="118" spans="1:5" ht="12" customHeight="1">
      <c r="A118" s="516" t="s">
        <v>436</v>
      </c>
      <c r="B118" s="358" t="s">
        <v>423</v>
      </c>
      <c r="C118" s="362"/>
      <c r="D118" s="362"/>
      <c r="E118" s="362"/>
    </row>
    <row r="119" spans="1:5" ht="12" customHeight="1">
      <c r="A119" s="516" t="s">
        <v>437</v>
      </c>
      <c r="B119" s="358" t="s">
        <v>438</v>
      </c>
      <c r="C119" s="362"/>
      <c r="D119" s="362"/>
      <c r="E119" s="362"/>
    </row>
    <row r="120" spans="1:5" ht="12" customHeight="1" thickBot="1">
      <c r="A120" s="525" t="s">
        <v>439</v>
      </c>
      <c r="B120" s="358" t="s">
        <v>440</v>
      </c>
      <c r="C120" s="364"/>
      <c r="D120" s="364"/>
      <c r="E120" s="364"/>
    </row>
    <row r="121" spans="1:5" ht="12" customHeight="1" thickBot="1">
      <c r="A121" s="351" t="s">
        <v>9</v>
      </c>
      <c r="B121" s="354" t="s">
        <v>441</v>
      </c>
      <c r="C121" s="372">
        <f>+C122+C123</f>
        <v>0</v>
      </c>
      <c r="D121" s="372">
        <f>+D122+D123</f>
        <v>0</v>
      </c>
      <c r="E121" s="372">
        <f>+E122+E123</f>
        <v>0</v>
      </c>
    </row>
    <row r="122" spans="1:5" ht="12" customHeight="1">
      <c r="A122" s="516" t="s">
        <v>58</v>
      </c>
      <c r="B122" s="335" t="s">
        <v>45</v>
      </c>
      <c r="C122" s="498"/>
      <c r="D122" s="498"/>
      <c r="E122" s="498"/>
    </row>
    <row r="123" spans="1:5" ht="12" customHeight="1" thickBot="1">
      <c r="A123" s="518" t="s">
        <v>59</v>
      </c>
      <c r="B123" s="338" t="s">
        <v>46</v>
      </c>
      <c r="C123" s="499"/>
      <c r="D123" s="499"/>
      <c r="E123" s="499"/>
    </row>
    <row r="124" spans="1:5" ht="12" customHeight="1" thickBot="1">
      <c r="A124" s="351" t="s">
        <v>10</v>
      </c>
      <c r="B124" s="354" t="s">
        <v>442</v>
      </c>
      <c r="C124" s="372">
        <f>+C91+C107+C121</f>
        <v>133806974</v>
      </c>
      <c r="D124" s="372">
        <f>+D91+D107+D121</f>
        <v>190341337</v>
      </c>
      <c r="E124" s="372">
        <f>+E91+E107+E121</f>
        <v>158448161</v>
      </c>
    </row>
    <row r="125" spans="1:5" ht="12" customHeight="1" thickBot="1">
      <c r="A125" s="351" t="s">
        <v>11</v>
      </c>
      <c r="B125" s="354" t="s">
        <v>547</v>
      </c>
      <c r="C125" s="372">
        <f>+C126+C127+C128</f>
        <v>0</v>
      </c>
      <c r="D125" s="372">
        <f>+D126+D127+D128</f>
        <v>0</v>
      </c>
      <c r="E125" s="372">
        <f>+E126+E127+E128</f>
        <v>0</v>
      </c>
    </row>
    <row r="126" spans="1:5" ht="12" customHeight="1">
      <c r="A126" s="516" t="s">
        <v>62</v>
      </c>
      <c r="B126" s="335" t="s">
        <v>444</v>
      </c>
      <c r="C126" s="362"/>
      <c r="D126" s="362"/>
      <c r="E126" s="362"/>
    </row>
    <row r="127" spans="1:5" ht="12" customHeight="1">
      <c r="A127" s="516" t="s">
        <v>63</v>
      </c>
      <c r="B127" s="335" t="s">
        <v>445</v>
      </c>
      <c r="C127" s="362"/>
      <c r="D127" s="362"/>
      <c r="E127" s="362"/>
    </row>
    <row r="128" spans="1:5" ht="12" customHeight="1" thickBot="1">
      <c r="A128" s="525" t="s">
        <v>64</v>
      </c>
      <c r="B128" s="333" t="s">
        <v>446</v>
      </c>
      <c r="C128" s="362"/>
      <c r="D128" s="362"/>
      <c r="E128" s="362"/>
    </row>
    <row r="129" spans="1:5" ht="12" customHeight="1" thickBot="1">
      <c r="A129" s="351" t="s">
        <v>12</v>
      </c>
      <c r="B129" s="354" t="s">
        <v>447</v>
      </c>
      <c r="C129" s="372">
        <f>+C130+C131+C132+C133</f>
        <v>0</v>
      </c>
      <c r="D129" s="372">
        <f>+D130+D131+D132+D133</f>
        <v>0</v>
      </c>
      <c r="E129" s="372">
        <f>+E130+E131+E132+E133</f>
        <v>0</v>
      </c>
    </row>
    <row r="130" spans="1:5" ht="12" customHeight="1">
      <c r="A130" s="516" t="s">
        <v>65</v>
      </c>
      <c r="B130" s="335" t="s">
        <v>448</v>
      </c>
      <c r="C130" s="362"/>
      <c r="D130" s="362"/>
      <c r="E130" s="362"/>
    </row>
    <row r="131" spans="1:5" ht="12" customHeight="1">
      <c r="A131" s="516" t="s">
        <v>66</v>
      </c>
      <c r="B131" s="335" t="s">
        <v>449</v>
      </c>
      <c r="C131" s="362"/>
      <c r="D131" s="362"/>
      <c r="E131" s="362"/>
    </row>
    <row r="132" spans="1:5" ht="12" customHeight="1">
      <c r="A132" s="516" t="s">
        <v>344</v>
      </c>
      <c r="B132" s="335" t="s">
        <v>450</v>
      </c>
      <c r="C132" s="362"/>
      <c r="D132" s="362"/>
      <c r="E132" s="362"/>
    </row>
    <row r="133" spans="1:5" s="309" customFormat="1" ht="12" customHeight="1" thickBot="1">
      <c r="A133" s="525" t="s">
        <v>346</v>
      </c>
      <c r="B133" s="333" t="s">
        <v>451</v>
      </c>
      <c r="C133" s="362"/>
      <c r="D133" s="362"/>
      <c r="E133" s="362"/>
    </row>
    <row r="134" spans="1:11" ht="13.5" thickBot="1">
      <c r="A134" s="351" t="s">
        <v>13</v>
      </c>
      <c r="B134" s="354" t="s">
        <v>667</v>
      </c>
      <c r="C134" s="500">
        <f>+C135+C136+C138+C139+C137</f>
        <v>5167571</v>
      </c>
      <c r="D134" s="500">
        <f>+D135+D136+D138+D139+D137</f>
        <v>5167571</v>
      </c>
      <c r="E134" s="500">
        <f>+E135+E136+E138+E139+E137</f>
        <v>5167571</v>
      </c>
      <c r="K134" s="480"/>
    </row>
    <row r="135" spans="1:5" ht="12.75">
      <c r="A135" s="516" t="s">
        <v>67</v>
      </c>
      <c r="B135" s="335" t="s">
        <v>453</v>
      </c>
      <c r="C135" s="362"/>
      <c r="D135" s="362"/>
      <c r="E135" s="362"/>
    </row>
    <row r="136" spans="1:5" ht="12" customHeight="1">
      <c r="A136" s="516" t="s">
        <v>68</v>
      </c>
      <c r="B136" s="335" t="s">
        <v>454</v>
      </c>
      <c r="C136" s="362">
        <v>5167571</v>
      </c>
      <c r="D136" s="362">
        <v>5167571</v>
      </c>
      <c r="E136" s="362">
        <v>5167571</v>
      </c>
    </row>
    <row r="137" spans="1:5" ht="12" customHeight="1">
      <c r="A137" s="516" t="s">
        <v>353</v>
      </c>
      <c r="B137" s="335" t="s">
        <v>666</v>
      </c>
      <c r="C137" s="362"/>
      <c r="D137" s="362"/>
      <c r="E137" s="362"/>
    </row>
    <row r="138" spans="1:5" s="309" customFormat="1" ht="12" customHeight="1">
      <c r="A138" s="516" t="s">
        <v>355</v>
      </c>
      <c r="B138" s="335" t="s">
        <v>455</v>
      </c>
      <c r="C138" s="362"/>
      <c r="D138" s="362"/>
      <c r="E138" s="362"/>
    </row>
    <row r="139" spans="1:5" s="309" customFormat="1" ht="12" customHeight="1" thickBot="1">
      <c r="A139" s="525" t="s">
        <v>665</v>
      </c>
      <c r="B139" s="333" t="s">
        <v>456</v>
      </c>
      <c r="C139" s="362"/>
      <c r="D139" s="362"/>
      <c r="E139" s="362"/>
    </row>
    <row r="140" spans="1:5" s="309" customFormat="1" ht="12" customHeight="1" thickBot="1">
      <c r="A140" s="351" t="s">
        <v>14</v>
      </c>
      <c r="B140" s="354" t="s">
        <v>548</v>
      </c>
      <c r="C140" s="702">
        <f>+C141+C142+C143+C144</f>
        <v>0</v>
      </c>
      <c r="D140" s="702">
        <f>+D141+D142+D143+D144</f>
        <v>0</v>
      </c>
      <c r="E140" s="702">
        <f>+E141+E142+E143+E144</f>
        <v>0</v>
      </c>
    </row>
    <row r="141" spans="1:5" s="309" customFormat="1" ht="12" customHeight="1">
      <c r="A141" s="516" t="s">
        <v>129</v>
      </c>
      <c r="B141" s="335" t="s">
        <v>458</v>
      </c>
      <c r="C141" s="362"/>
      <c r="D141" s="362"/>
      <c r="E141" s="362"/>
    </row>
    <row r="142" spans="1:5" s="309" customFormat="1" ht="12" customHeight="1">
      <c r="A142" s="516" t="s">
        <v>130</v>
      </c>
      <c r="B142" s="335" t="s">
        <v>459</v>
      </c>
      <c r="C142" s="362"/>
      <c r="D142" s="362"/>
      <c r="E142" s="362"/>
    </row>
    <row r="143" spans="1:5" s="309" customFormat="1" ht="12" customHeight="1">
      <c r="A143" s="516" t="s">
        <v>156</v>
      </c>
      <c r="B143" s="335" t="s">
        <v>460</v>
      </c>
      <c r="C143" s="362"/>
      <c r="D143" s="362"/>
      <c r="E143" s="362"/>
    </row>
    <row r="144" spans="1:5" ht="12.75" customHeight="1" thickBot="1">
      <c r="A144" s="516" t="s">
        <v>361</v>
      </c>
      <c r="B144" s="335" t="s">
        <v>461</v>
      </c>
      <c r="C144" s="362"/>
      <c r="D144" s="362"/>
      <c r="E144" s="362"/>
    </row>
    <row r="145" spans="1:5" ht="12" customHeight="1" thickBot="1">
      <c r="A145" s="351" t="s">
        <v>15</v>
      </c>
      <c r="B145" s="354" t="s">
        <v>462</v>
      </c>
      <c r="C145" s="703">
        <f>+C125+C129+C134+C140</f>
        <v>5167571</v>
      </c>
      <c r="D145" s="703">
        <f>+D125+D129+D134+D140</f>
        <v>5167571</v>
      </c>
      <c r="E145" s="703">
        <f>+E125+E129+E134+E140</f>
        <v>5167571</v>
      </c>
    </row>
    <row r="146" spans="1:5" ht="15" customHeight="1" thickBot="1">
      <c r="A146" s="704" t="s">
        <v>16</v>
      </c>
      <c r="B146" s="705" t="s">
        <v>463</v>
      </c>
      <c r="C146" s="703">
        <f>+C124+C145</f>
        <v>138974545</v>
      </c>
      <c r="D146" s="703">
        <f>+D124+D145</f>
        <v>195508908</v>
      </c>
      <c r="E146" s="703">
        <f>+E124+E145</f>
        <v>163615732</v>
      </c>
    </row>
    <row r="147" spans="1:5" ht="13.5" thickBot="1">
      <c r="A147" s="43"/>
      <c r="B147" s="44"/>
      <c r="C147" s="45"/>
      <c r="D147" s="45"/>
      <c r="E147" s="45"/>
    </row>
    <row r="148" spans="1:5" ht="15" customHeight="1" thickBot="1">
      <c r="A148" s="706" t="s">
        <v>735</v>
      </c>
      <c r="B148" s="707"/>
      <c r="C148" s="91"/>
      <c r="D148" s="92"/>
      <c r="E148" s="89"/>
    </row>
    <row r="149" spans="1:5" ht="14.25" customHeight="1" thickBot="1">
      <c r="A149" s="708" t="s">
        <v>734</v>
      </c>
      <c r="B149" s="709"/>
      <c r="C149" s="91"/>
      <c r="D149" s="92"/>
      <c r="E149" s="89"/>
    </row>
  </sheetData>
  <sheetProtection formatCells="0"/>
  <mergeCells count="5">
    <mergeCell ref="B2:D2"/>
    <mergeCell ref="B3:D3"/>
    <mergeCell ref="A7:E7"/>
    <mergeCell ref="A90:E90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73" r:id="rId1"/>
  <rowBreaks count="1" manualBreakCount="1">
    <brk id="8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149"/>
  <sheetViews>
    <sheetView zoomScaleSheetLayoutView="100" workbookViewId="0" topLeftCell="A1">
      <selection activeCell="C1" sqref="C1:E1"/>
    </sheetView>
  </sheetViews>
  <sheetFormatPr defaultColWidth="9.00390625" defaultRowHeight="12.75"/>
  <cols>
    <col min="1" max="1" width="14.875" style="507" customWidth="1"/>
    <col min="2" max="2" width="65.375" style="508" customWidth="1"/>
    <col min="3" max="5" width="17.00390625" style="509" customWidth="1"/>
    <col min="6" max="16384" width="9.375" style="33" customWidth="1"/>
  </cols>
  <sheetData>
    <row r="1" spans="1:5" s="484" customFormat="1" ht="16.5" customHeight="1" thickBot="1">
      <c r="A1" s="483"/>
      <c r="B1" s="485"/>
      <c r="C1" s="867" t="s">
        <v>781</v>
      </c>
      <c r="D1" s="868"/>
      <c r="E1" s="868"/>
    </row>
    <row r="2" spans="1:5" s="530" customFormat="1" ht="15.75" customHeight="1">
      <c r="A2" s="510" t="s">
        <v>50</v>
      </c>
      <c r="B2" s="761" t="s">
        <v>747</v>
      </c>
      <c r="C2" s="762"/>
      <c r="D2" s="763"/>
      <c r="E2" s="503" t="s">
        <v>41</v>
      </c>
    </row>
    <row r="3" spans="1:5" s="530" customFormat="1" ht="24.75" thickBot="1">
      <c r="A3" s="528" t="s">
        <v>543</v>
      </c>
      <c r="B3" s="764" t="s">
        <v>669</v>
      </c>
      <c r="C3" s="765"/>
      <c r="D3" s="766"/>
      <c r="E3" s="479" t="s">
        <v>48</v>
      </c>
    </row>
    <row r="4" spans="1:5" s="531" customFormat="1" ht="15.75" customHeight="1" thickBot="1">
      <c r="A4" s="486"/>
      <c r="B4" s="486"/>
      <c r="C4" s="487"/>
      <c r="D4" s="487"/>
      <c r="E4" s="487" t="str">
        <f>'6.2. sz. mell'!E4</f>
        <v>Forintban!</v>
      </c>
    </row>
    <row r="5" spans="1:5" ht="24.75" thickBot="1">
      <c r="A5" s="319" t="s">
        <v>146</v>
      </c>
      <c r="B5" s="320" t="s">
        <v>733</v>
      </c>
      <c r="C5" s="77" t="s">
        <v>174</v>
      </c>
      <c r="D5" s="77" t="s">
        <v>179</v>
      </c>
      <c r="E5" s="488" t="s">
        <v>180</v>
      </c>
    </row>
    <row r="6" spans="1:5" s="532" customFormat="1" ht="12.75" customHeight="1" thickBot="1">
      <c r="A6" s="481" t="s">
        <v>410</v>
      </c>
      <c r="B6" s="482" t="s">
        <v>411</v>
      </c>
      <c r="C6" s="482" t="s">
        <v>412</v>
      </c>
      <c r="D6" s="90" t="s">
        <v>413</v>
      </c>
      <c r="E6" s="88" t="s">
        <v>414</v>
      </c>
    </row>
    <row r="7" spans="1:5" s="532" customFormat="1" ht="15.75" customHeight="1" thickBot="1">
      <c r="A7" s="758" t="s">
        <v>42</v>
      </c>
      <c r="B7" s="759"/>
      <c r="C7" s="759"/>
      <c r="D7" s="759"/>
      <c r="E7" s="760"/>
    </row>
    <row r="8" spans="1:5" s="532" customFormat="1" ht="12" customHeight="1" thickBot="1">
      <c r="A8" s="351" t="s">
        <v>7</v>
      </c>
      <c r="B8" s="347" t="s">
        <v>302</v>
      </c>
      <c r="C8" s="378">
        <f>SUM(C9:C14)</f>
        <v>0</v>
      </c>
      <c r="D8" s="378">
        <f>SUM(D9:D14)</f>
        <v>0</v>
      </c>
      <c r="E8" s="361">
        <f>SUM(E9:E14)</f>
        <v>0</v>
      </c>
    </row>
    <row r="9" spans="1:5" s="506" customFormat="1" ht="12" customHeight="1">
      <c r="A9" s="516" t="s">
        <v>69</v>
      </c>
      <c r="B9" s="389" t="s">
        <v>303</v>
      </c>
      <c r="C9" s="380"/>
      <c r="D9" s="380"/>
      <c r="E9" s="363"/>
    </row>
    <row r="10" spans="1:5" s="533" customFormat="1" ht="12" customHeight="1">
      <c r="A10" s="517" t="s">
        <v>70</v>
      </c>
      <c r="B10" s="390" t="s">
        <v>304</v>
      </c>
      <c r="C10" s="379"/>
      <c r="D10" s="379"/>
      <c r="E10" s="362"/>
    </row>
    <row r="11" spans="1:5" s="533" customFormat="1" ht="12" customHeight="1">
      <c r="A11" s="517" t="s">
        <v>71</v>
      </c>
      <c r="B11" s="390" t="s">
        <v>305</v>
      </c>
      <c r="C11" s="379"/>
      <c r="D11" s="379"/>
      <c r="E11" s="362"/>
    </row>
    <row r="12" spans="1:5" s="533" customFormat="1" ht="12" customHeight="1">
      <c r="A12" s="517" t="s">
        <v>72</v>
      </c>
      <c r="B12" s="689" t="s">
        <v>306</v>
      </c>
      <c r="C12" s="379"/>
      <c r="D12" s="379"/>
      <c r="E12" s="362"/>
    </row>
    <row r="13" spans="1:5" s="533" customFormat="1" ht="12" customHeight="1">
      <c r="A13" s="517" t="s">
        <v>105</v>
      </c>
      <c r="B13" s="689" t="s">
        <v>307</v>
      </c>
      <c r="C13" s="379"/>
      <c r="D13" s="379"/>
      <c r="E13" s="362"/>
    </row>
    <row r="14" spans="1:5" s="506" customFormat="1" ht="12" customHeight="1" thickBot="1">
      <c r="A14" s="518" t="s">
        <v>73</v>
      </c>
      <c r="B14" s="690" t="s">
        <v>308</v>
      </c>
      <c r="C14" s="381"/>
      <c r="D14" s="381"/>
      <c r="E14" s="364"/>
    </row>
    <row r="15" spans="1:5" s="506" customFormat="1" ht="12" customHeight="1" thickBot="1">
      <c r="A15" s="351" t="s">
        <v>8</v>
      </c>
      <c r="B15" s="691" t="s">
        <v>309</v>
      </c>
      <c r="C15" s="378">
        <f>SUM(C16:C20)</f>
        <v>0</v>
      </c>
      <c r="D15" s="378">
        <f>SUM(D16:D20)</f>
        <v>0</v>
      </c>
      <c r="E15" s="361">
        <f>SUM(E16:E20)</f>
        <v>0</v>
      </c>
    </row>
    <row r="16" spans="1:5" s="506" customFormat="1" ht="12" customHeight="1">
      <c r="A16" s="516" t="s">
        <v>75</v>
      </c>
      <c r="B16" s="688" t="s">
        <v>310</v>
      </c>
      <c r="C16" s="380"/>
      <c r="D16" s="380"/>
      <c r="E16" s="363"/>
    </row>
    <row r="17" spans="1:5" s="506" customFormat="1" ht="12" customHeight="1">
      <c r="A17" s="517" t="s">
        <v>76</v>
      </c>
      <c r="B17" s="689" t="s">
        <v>311</v>
      </c>
      <c r="C17" s="379"/>
      <c r="D17" s="379"/>
      <c r="E17" s="362"/>
    </row>
    <row r="18" spans="1:5" s="506" customFormat="1" ht="12" customHeight="1">
      <c r="A18" s="517" t="s">
        <v>77</v>
      </c>
      <c r="B18" s="689" t="s">
        <v>312</v>
      </c>
      <c r="C18" s="379"/>
      <c r="D18" s="379"/>
      <c r="E18" s="362"/>
    </row>
    <row r="19" spans="1:5" s="506" customFormat="1" ht="12" customHeight="1">
      <c r="A19" s="517" t="s">
        <v>78</v>
      </c>
      <c r="B19" s="689" t="s">
        <v>313</v>
      </c>
      <c r="C19" s="379"/>
      <c r="D19" s="379"/>
      <c r="E19" s="362"/>
    </row>
    <row r="20" spans="1:5" s="506" customFormat="1" ht="12" customHeight="1">
      <c r="A20" s="517" t="s">
        <v>79</v>
      </c>
      <c r="B20" s="689" t="s">
        <v>314</v>
      </c>
      <c r="C20" s="379"/>
      <c r="D20" s="379"/>
      <c r="E20" s="362"/>
    </row>
    <row r="21" spans="1:5" s="533" customFormat="1" ht="12" customHeight="1" thickBot="1">
      <c r="A21" s="518" t="s">
        <v>86</v>
      </c>
      <c r="B21" s="690" t="s">
        <v>315</v>
      </c>
      <c r="C21" s="381"/>
      <c r="D21" s="381"/>
      <c r="E21" s="364"/>
    </row>
    <row r="22" spans="1:5" s="533" customFormat="1" ht="12" customHeight="1" thickBot="1">
      <c r="A22" s="351" t="s">
        <v>9</v>
      </c>
      <c r="B22" s="347" t="s">
        <v>316</v>
      </c>
      <c r="C22" s="378">
        <f>SUM(C23:C27)</f>
        <v>109415154</v>
      </c>
      <c r="D22" s="378">
        <f>SUM(D23:D27)</f>
        <v>114540185</v>
      </c>
      <c r="E22" s="361">
        <f>SUM(E23:E27)</f>
        <v>114540185</v>
      </c>
    </row>
    <row r="23" spans="1:5" s="533" customFormat="1" ht="12" customHeight="1">
      <c r="A23" s="516" t="s">
        <v>58</v>
      </c>
      <c r="B23" s="688" t="s">
        <v>317</v>
      </c>
      <c r="C23" s="380"/>
      <c r="D23" s="380"/>
      <c r="E23" s="363"/>
    </row>
    <row r="24" spans="1:5" s="506" customFormat="1" ht="12" customHeight="1">
      <c r="A24" s="517" t="s">
        <v>59</v>
      </c>
      <c r="B24" s="689" t="s">
        <v>318</v>
      </c>
      <c r="C24" s="379"/>
      <c r="D24" s="379"/>
      <c r="E24" s="362"/>
    </row>
    <row r="25" spans="1:5" s="533" customFormat="1" ht="12" customHeight="1">
      <c r="A25" s="517" t="s">
        <v>60</v>
      </c>
      <c r="B25" s="689" t="s">
        <v>319</v>
      </c>
      <c r="C25" s="379"/>
      <c r="D25" s="379"/>
      <c r="E25" s="362"/>
    </row>
    <row r="26" spans="1:5" s="533" customFormat="1" ht="12" customHeight="1">
      <c r="A26" s="517" t="s">
        <v>61</v>
      </c>
      <c r="B26" s="689" t="s">
        <v>320</v>
      </c>
      <c r="C26" s="379"/>
      <c r="D26" s="379"/>
      <c r="E26" s="362"/>
    </row>
    <row r="27" spans="1:5" s="533" customFormat="1" ht="12" customHeight="1">
      <c r="A27" s="517" t="s">
        <v>119</v>
      </c>
      <c r="B27" s="689" t="s">
        <v>321</v>
      </c>
      <c r="C27" s="379">
        <v>109415154</v>
      </c>
      <c r="D27" s="379">
        <v>114540185</v>
      </c>
      <c r="E27" s="362">
        <f>SUM(E28:E29)</f>
        <v>114540185</v>
      </c>
    </row>
    <row r="28" spans="1:5" s="533" customFormat="1" ht="12" customHeight="1">
      <c r="A28" s="517" t="s">
        <v>120</v>
      </c>
      <c r="B28" s="690" t="s">
        <v>759</v>
      </c>
      <c r="C28" s="381"/>
      <c r="D28" s="381"/>
      <c r="E28" s="364">
        <v>101396946</v>
      </c>
    </row>
    <row r="29" spans="1:5" s="533" customFormat="1" ht="12" customHeight="1" thickBot="1">
      <c r="A29" s="518" t="s">
        <v>758</v>
      </c>
      <c r="B29" s="690" t="s">
        <v>760</v>
      </c>
      <c r="C29" s="381"/>
      <c r="D29" s="381"/>
      <c r="E29" s="364">
        <v>13143239</v>
      </c>
    </row>
    <row r="30" spans="1:5" s="533" customFormat="1" ht="12" customHeight="1" thickBot="1">
      <c r="A30" s="351" t="s">
        <v>121</v>
      </c>
      <c r="B30" s="347" t="s">
        <v>724</v>
      </c>
      <c r="C30" s="384">
        <f>SUM(C31:C35)</f>
        <v>27150000</v>
      </c>
      <c r="D30" s="384">
        <f>SUM(D31:D35)</f>
        <v>45442319</v>
      </c>
      <c r="E30" s="397">
        <f>SUM(E31:E35)</f>
        <v>45343794</v>
      </c>
    </row>
    <row r="31" spans="1:5" s="533" customFormat="1" ht="12" customHeight="1">
      <c r="A31" s="516" t="s">
        <v>323</v>
      </c>
      <c r="B31" s="688" t="s">
        <v>743</v>
      </c>
      <c r="C31" s="380">
        <v>27000000</v>
      </c>
      <c r="D31" s="380">
        <v>45292319</v>
      </c>
      <c r="E31" s="363">
        <v>45292319</v>
      </c>
    </row>
    <row r="32" spans="1:5" s="533" customFormat="1" ht="12" customHeight="1">
      <c r="A32" s="517" t="s">
        <v>324</v>
      </c>
      <c r="B32" s="689" t="s">
        <v>744</v>
      </c>
      <c r="C32" s="379"/>
      <c r="D32" s="379"/>
      <c r="E32" s="362"/>
    </row>
    <row r="33" spans="1:5" s="533" customFormat="1" ht="12" customHeight="1">
      <c r="A33" s="517" t="s">
        <v>325</v>
      </c>
      <c r="B33" s="689" t="s">
        <v>731</v>
      </c>
      <c r="C33" s="379"/>
      <c r="D33" s="379"/>
      <c r="E33" s="362"/>
    </row>
    <row r="34" spans="1:5" s="533" customFormat="1" ht="12" customHeight="1">
      <c r="A34" s="517" t="s">
        <v>725</v>
      </c>
      <c r="B34" s="689" t="s">
        <v>326</v>
      </c>
      <c r="C34" s="379"/>
      <c r="D34" s="379"/>
      <c r="E34" s="362">
        <v>0</v>
      </c>
    </row>
    <row r="35" spans="1:5" s="533" customFormat="1" ht="12" customHeight="1" thickBot="1">
      <c r="A35" s="517" t="s">
        <v>726</v>
      </c>
      <c r="B35" s="692" t="s">
        <v>327</v>
      </c>
      <c r="C35" s="381">
        <v>150000</v>
      </c>
      <c r="D35" s="381">
        <v>150000</v>
      </c>
      <c r="E35" s="364">
        <v>51475</v>
      </c>
    </row>
    <row r="36" spans="1:5" s="533" customFormat="1" ht="12" customHeight="1" thickBot="1">
      <c r="A36" s="351" t="s">
        <v>11</v>
      </c>
      <c r="B36" s="347" t="s">
        <v>328</v>
      </c>
      <c r="C36" s="378">
        <f>SUM(C37:C46)</f>
        <v>5480366</v>
      </c>
      <c r="D36" s="378">
        <f>SUM(D37:D46)</f>
        <v>18909975</v>
      </c>
      <c r="E36" s="361">
        <f>SUM(E37:E46)</f>
        <v>18407691</v>
      </c>
    </row>
    <row r="37" spans="1:5" s="533" customFormat="1" ht="12" customHeight="1">
      <c r="A37" s="516" t="s">
        <v>62</v>
      </c>
      <c r="B37" s="688" t="s">
        <v>329</v>
      </c>
      <c r="C37" s="380"/>
      <c r="D37" s="380"/>
      <c r="E37" s="363"/>
    </row>
    <row r="38" spans="1:5" s="533" customFormat="1" ht="12" customHeight="1">
      <c r="A38" s="517" t="s">
        <v>63</v>
      </c>
      <c r="B38" s="689" t="s">
        <v>330</v>
      </c>
      <c r="C38" s="379">
        <v>5114166</v>
      </c>
      <c r="D38" s="379">
        <v>14037203</v>
      </c>
      <c r="E38" s="362">
        <v>13690651</v>
      </c>
    </row>
    <row r="39" spans="1:5" s="533" customFormat="1" ht="12" customHeight="1">
      <c r="A39" s="517" t="s">
        <v>64</v>
      </c>
      <c r="B39" s="689" t="s">
        <v>331</v>
      </c>
      <c r="C39" s="379"/>
      <c r="D39" s="379"/>
      <c r="E39" s="362"/>
    </row>
    <row r="40" spans="1:5" s="533" customFormat="1" ht="12" customHeight="1">
      <c r="A40" s="517" t="s">
        <v>123</v>
      </c>
      <c r="B40" s="689" t="s">
        <v>332</v>
      </c>
      <c r="C40" s="379"/>
      <c r="D40" s="379">
        <v>791569</v>
      </c>
      <c r="E40" s="362">
        <v>791569</v>
      </c>
    </row>
    <row r="41" spans="1:5" s="533" customFormat="1" ht="12" customHeight="1">
      <c r="A41" s="517" t="s">
        <v>124</v>
      </c>
      <c r="B41" s="689" t="s">
        <v>333</v>
      </c>
      <c r="C41" s="379">
        <v>150000</v>
      </c>
      <c r="D41" s="379">
        <v>186000</v>
      </c>
      <c r="E41" s="362">
        <v>186000</v>
      </c>
    </row>
    <row r="42" spans="1:5" s="533" customFormat="1" ht="12" customHeight="1">
      <c r="A42" s="517" t="s">
        <v>125</v>
      </c>
      <c r="B42" s="689" t="s">
        <v>334</v>
      </c>
      <c r="C42" s="379">
        <v>216200</v>
      </c>
      <c r="D42" s="379">
        <v>3851385</v>
      </c>
      <c r="E42" s="362">
        <v>3695653</v>
      </c>
    </row>
    <row r="43" spans="1:5" s="533" customFormat="1" ht="12" customHeight="1">
      <c r="A43" s="517" t="s">
        <v>126</v>
      </c>
      <c r="B43" s="689" t="s">
        <v>335</v>
      </c>
      <c r="C43" s="379"/>
      <c r="D43" s="379"/>
      <c r="E43" s="362"/>
    </row>
    <row r="44" spans="1:5" s="533" customFormat="1" ht="12" customHeight="1">
      <c r="A44" s="517" t="s">
        <v>127</v>
      </c>
      <c r="B44" s="689" t="s">
        <v>336</v>
      </c>
      <c r="C44" s="379"/>
      <c r="D44" s="379">
        <v>29548</v>
      </c>
      <c r="E44" s="362">
        <v>29548</v>
      </c>
    </row>
    <row r="45" spans="1:5" s="533" customFormat="1" ht="12" customHeight="1">
      <c r="A45" s="517" t="s">
        <v>337</v>
      </c>
      <c r="B45" s="689" t="s">
        <v>338</v>
      </c>
      <c r="C45" s="382"/>
      <c r="D45" s="382"/>
      <c r="E45" s="365"/>
    </row>
    <row r="46" spans="1:5" s="506" customFormat="1" ht="12" customHeight="1" thickBot="1">
      <c r="A46" s="518" t="s">
        <v>339</v>
      </c>
      <c r="B46" s="690" t="s">
        <v>340</v>
      </c>
      <c r="C46" s="383"/>
      <c r="D46" s="383">
        <v>14270</v>
      </c>
      <c r="E46" s="366">
        <v>14270</v>
      </c>
    </row>
    <row r="47" spans="1:5" s="533" customFormat="1" ht="12" customHeight="1" thickBot="1">
      <c r="A47" s="351" t="s">
        <v>12</v>
      </c>
      <c r="B47" s="347" t="s">
        <v>341</v>
      </c>
      <c r="C47" s="378">
        <f>SUM(C48:C52)</f>
        <v>0</v>
      </c>
      <c r="D47" s="378">
        <f>SUM(D48:D52)</f>
        <v>0</v>
      </c>
      <c r="E47" s="361">
        <f>SUM(E48:E52)</f>
        <v>0</v>
      </c>
    </row>
    <row r="48" spans="1:5" s="533" customFormat="1" ht="12" customHeight="1">
      <c r="A48" s="516" t="s">
        <v>65</v>
      </c>
      <c r="B48" s="688" t="s">
        <v>342</v>
      </c>
      <c r="C48" s="399"/>
      <c r="D48" s="399"/>
      <c r="E48" s="367"/>
    </row>
    <row r="49" spans="1:5" s="533" customFormat="1" ht="12" customHeight="1">
      <c r="A49" s="517" t="s">
        <v>66</v>
      </c>
      <c r="B49" s="689" t="s">
        <v>343</v>
      </c>
      <c r="C49" s="382"/>
      <c r="D49" s="382"/>
      <c r="E49" s="365"/>
    </row>
    <row r="50" spans="1:5" s="533" customFormat="1" ht="12" customHeight="1">
      <c r="A50" s="517" t="s">
        <v>344</v>
      </c>
      <c r="B50" s="689" t="s">
        <v>345</v>
      </c>
      <c r="C50" s="382"/>
      <c r="D50" s="382"/>
      <c r="E50" s="365"/>
    </row>
    <row r="51" spans="1:5" s="533" customFormat="1" ht="12" customHeight="1">
      <c r="A51" s="517" t="s">
        <v>346</v>
      </c>
      <c r="B51" s="689" t="s">
        <v>347</v>
      </c>
      <c r="C51" s="382"/>
      <c r="D51" s="382"/>
      <c r="E51" s="365"/>
    </row>
    <row r="52" spans="1:5" s="533" customFormat="1" ht="12" customHeight="1" thickBot="1">
      <c r="A52" s="518" t="s">
        <v>348</v>
      </c>
      <c r="B52" s="690" t="s">
        <v>349</v>
      </c>
      <c r="C52" s="383"/>
      <c r="D52" s="383"/>
      <c r="E52" s="366"/>
    </row>
    <row r="53" spans="1:5" s="533" customFormat="1" ht="12" customHeight="1" thickBot="1">
      <c r="A53" s="351" t="s">
        <v>128</v>
      </c>
      <c r="B53" s="347" t="s">
        <v>350</v>
      </c>
      <c r="C53" s="378">
        <f>SUM(C54:C56)</f>
        <v>0</v>
      </c>
      <c r="D53" s="378">
        <f>SUM(D54:D56)</f>
        <v>0</v>
      </c>
      <c r="E53" s="361">
        <f>SUM(E54:E56)</f>
        <v>0</v>
      </c>
    </row>
    <row r="54" spans="1:5" s="506" customFormat="1" ht="12" customHeight="1">
      <c r="A54" s="516" t="s">
        <v>67</v>
      </c>
      <c r="B54" s="688" t="s">
        <v>351</v>
      </c>
      <c r="C54" s="380"/>
      <c r="D54" s="380"/>
      <c r="E54" s="363"/>
    </row>
    <row r="55" spans="1:5" s="506" customFormat="1" ht="12" customHeight="1">
      <c r="A55" s="517" t="s">
        <v>68</v>
      </c>
      <c r="B55" s="689" t="s">
        <v>352</v>
      </c>
      <c r="C55" s="379"/>
      <c r="D55" s="379"/>
      <c r="E55" s="362"/>
    </row>
    <row r="56" spans="1:5" s="506" customFormat="1" ht="12" customHeight="1">
      <c r="A56" s="517" t="s">
        <v>353</v>
      </c>
      <c r="B56" s="689" t="s">
        <v>354</v>
      </c>
      <c r="C56" s="379"/>
      <c r="D56" s="379"/>
      <c r="E56" s="362"/>
    </row>
    <row r="57" spans="1:5" s="506" customFormat="1" ht="12" customHeight="1" thickBot="1">
      <c r="A57" s="518" t="s">
        <v>355</v>
      </c>
      <c r="B57" s="690" t="s">
        <v>356</v>
      </c>
      <c r="C57" s="381"/>
      <c r="D57" s="381"/>
      <c r="E57" s="364"/>
    </row>
    <row r="58" spans="1:5" s="533" customFormat="1" ht="12" customHeight="1" thickBot="1">
      <c r="A58" s="351" t="s">
        <v>14</v>
      </c>
      <c r="B58" s="691" t="s">
        <v>357</v>
      </c>
      <c r="C58" s="378">
        <f>SUM(C59:C61)</f>
        <v>0</v>
      </c>
      <c r="D58" s="378">
        <f>SUM(D59:D61)</f>
        <v>0</v>
      </c>
      <c r="E58" s="361">
        <f>SUM(E59:E61)</f>
        <v>0</v>
      </c>
    </row>
    <row r="59" spans="1:5" s="533" customFormat="1" ht="12" customHeight="1">
      <c r="A59" s="516" t="s">
        <v>129</v>
      </c>
      <c r="B59" s="688" t="s">
        <v>358</v>
      </c>
      <c r="C59" s="382"/>
      <c r="D59" s="382"/>
      <c r="E59" s="365"/>
    </row>
    <row r="60" spans="1:5" s="533" customFormat="1" ht="12" customHeight="1">
      <c r="A60" s="517" t="s">
        <v>130</v>
      </c>
      <c r="B60" s="689" t="s">
        <v>546</v>
      </c>
      <c r="C60" s="382"/>
      <c r="D60" s="382"/>
      <c r="E60" s="365"/>
    </row>
    <row r="61" spans="1:5" s="533" customFormat="1" ht="12" customHeight="1">
      <c r="A61" s="517" t="s">
        <v>156</v>
      </c>
      <c r="B61" s="689" t="s">
        <v>360</v>
      </c>
      <c r="C61" s="382"/>
      <c r="D61" s="382"/>
      <c r="E61" s="365"/>
    </row>
    <row r="62" spans="1:5" s="533" customFormat="1" ht="12" customHeight="1" thickBot="1">
      <c r="A62" s="518" t="s">
        <v>361</v>
      </c>
      <c r="B62" s="690" t="s">
        <v>362</v>
      </c>
      <c r="C62" s="382"/>
      <c r="D62" s="382"/>
      <c r="E62" s="365"/>
    </row>
    <row r="63" spans="1:5" s="533" customFormat="1" ht="12" customHeight="1" thickBot="1">
      <c r="A63" s="351" t="s">
        <v>15</v>
      </c>
      <c r="B63" s="347" t="s">
        <v>363</v>
      </c>
      <c r="C63" s="384">
        <f>+C8+C15+C22+C30+C36+C47+C53+C58</f>
        <v>142045520</v>
      </c>
      <c r="D63" s="384">
        <f>+D8+D15+D22+D30+D36+D47+D53+D58</f>
        <v>178892479</v>
      </c>
      <c r="E63" s="397">
        <f>+E8+E15+E22+E30+E36+E47+E53+E58</f>
        <v>178291670</v>
      </c>
    </row>
    <row r="64" spans="1:5" s="533" customFormat="1" ht="12" customHeight="1" thickBot="1">
      <c r="A64" s="693" t="s">
        <v>544</v>
      </c>
      <c r="B64" s="691" t="s">
        <v>365</v>
      </c>
      <c r="C64" s="378">
        <f>SUM(C65:C67)</f>
        <v>0</v>
      </c>
      <c r="D64" s="378">
        <f>SUM(D65:D67)</f>
        <v>0</v>
      </c>
      <c r="E64" s="361">
        <f>SUM(E65:E67)</f>
        <v>0</v>
      </c>
    </row>
    <row r="65" spans="1:5" s="533" customFormat="1" ht="12" customHeight="1">
      <c r="A65" s="516" t="s">
        <v>366</v>
      </c>
      <c r="B65" s="688" t="s">
        <v>367</v>
      </c>
      <c r="C65" s="382"/>
      <c r="D65" s="382"/>
      <c r="E65" s="365"/>
    </row>
    <row r="66" spans="1:5" s="533" customFormat="1" ht="12" customHeight="1">
      <c r="A66" s="517" t="s">
        <v>368</v>
      </c>
      <c r="B66" s="689" t="s">
        <v>369</v>
      </c>
      <c r="C66" s="382"/>
      <c r="D66" s="382"/>
      <c r="E66" s="365"/>
    </row>
    <row r="67" spans="1:5" s="533" customFormat="1" ht="12" customHeight="1" thickBot="1">
      <c r="A67" s="518" t="s">
        <v>370</v>
      </c>
      <c r="B67" s="694" t="s">
        <v>371</v>
      </c>
      <c r="C67" s="382"/>
      <c r="D67" s="382"/>
      <c r="E67" s="365"/>
    </row>
    <row r="68" spans="1:5" s="533" customFormat="1" ht="12" customHeight="1" thickBot="1">
      <c r="A68" s="693" t="s">
        <v>372</v>
      </c>
      <c r="B68" s="691" t="s">
        <v>373</v>
      </c>
      <c r="C68" s="378">
        <f>SUM(C69:C72)</f>
        <v>0</v>
      </c>
      <c r="D68" s="378">
        <f>SUM(D69:D72)</f>
        <v>0</v>
      </c>
      <c r="E68" s="361">
        <f>SUM(E69:E72)</f>
        <v>0</v>
      </c>
    </row>
    <row r="69" spans="1:5" s="533" customFormat="1" ht="12" customHeight="1">
      <c r="A69" s="516" t="s">
        <v>106</v>
      </c>
      <c r="B69" s="688" t="s">
        <v>374</v>
      </c>
      <c r="C69" s="382"/>
      <c r="D69" s="382"/>
      <c r="E69" s="365"/>
    </row>
    <row r="70" spans="1:5" s="533" customFormat="1" ht="12" customHeight="1">
      <c r="A70" s="517" t="s">
        <v>107</v>
      </c>
      <c r="B70" s="689" t="s">
        <v>375</v>
      </c>
      <c r="C70" s="382"/>
      <c r="D70" s="382"/>
      <c r="E70" s="365"/>
    </row>
    <row r="71" spans="1:5" s="533" customFormat="1" ht="12" customHeight="1">
      <c r="A71" s="517" t="s">
        <v>376</v>
      </c>
      <c r="B71" s="689" t="s">
        <v>377</v>
      </c>
      <c r="C71" s="382"/>
      <c r="D71" s="382"/>
      <c r="E71" s="365"/>
    </row>
    <row r="72" spans="1:5" s="533" customFormat="1" ht="12" customHeight="1" thickBot="1">
      <c r="A72" s="518" t="s">
        <v>378</v>
      </c>
      <c r="B72" s="690" t="s">
        <v>379</v>
      </c>
      <c r="C72" s="382"/>
      <c r="D72" s="382"/>
      <c r="E72" s="365"/>
    </row>
    <row r="73" spans="1:5" s="533" customFormat="1" ht="12" customHeight="1" thickBot="1">
      <c r="A73" s="693" t="s">
        <v>380</v>
      </c>
      <c r="B73" s="691" t="s">
        <v>381</v>
      </c>
      <c r="C73" s="378">
        <f>SUM(C74:C75)</f>
        <v>0</v>
      </c>
      <c r="D73" s="378">
        <f>SUM(D74:D75)</f>
        <v>0</v>
      </c>
      <c r="E73" s="361">
        <f>SUM(E74:E75)</f>
        <v>0</v>
      </c>
    </row>
    <row r="74" spans="1:5" s="533" customFormat="1" ht="12" customHeight="1">
      <c r="A74" s="516" t="s">
        <v>382</v>
      </c>
      <c r="B74" s="688" t="s">
        <v>383</v>
      </c>
      <c r="C74" s="382"/>
      <c r="D74" s="382"/>
      <c r="E74" s="365"/>
    </row>
    <row r="75" spans="1:5" s="533" customFormat="1" ht="12" customHeight="1" thickBot="1">
      <c r="A75" s="518" t="s">
        <v>384</v>
      </c>
      <c r="B75" s="690" t="s">
        <v>385</v>
      </c>
      <c r="C75" s="382"/>
      <c r="D75" s="382"/>
      <c r="E75" s="365"/>
    </row>
    <row r="76" spans="1:5" s="533" customFormat="1" ht="12" customHeight="1" thickBot="1">
      <c r="A76" s="693" t="s">
        <v>386</v>
      </c>
      <c r="B76" s="691" t="s">
        <v>387</v>
      </c>
      <c r="C76" s="378">
        <f>SUM(C77:C79)</f>
        <v>0</v>
      </c>
      <c r="D76" s="378">
        <f>SUM(D77:D79)</f>
        <v>34166867</v>
      </c>
      <c r="E76" s="361">
        <f>SUM(E77:E79)</f>
        <v>34166867</v>
      </c>
    </row>
    <row r="77" spans="1:5" s="533" customFormat="1" ht="12" customHeight="1">
      <c r="A77" s="516" t="s">
        <v>388</v>
      </c>
      <c r="B77" s="688" t="s">
        <v>389</v>
      </c>
      <c r="C77" s="382"/>
      <c r="D77" s="382"/>
      <c r="E77" s="365"/>
    </row>
    <row r="78" spans="1:5" s="533" customFormat="1" ht="12" customHeight="1">
      <c r="A78" s="517" t="s">
        <v>390</v>
      </c>
      <c r="B78" s="689" t="s">
        <v>391</v>
      </c>
      <c r="C78" s="382"/>
      <c r="D78" s="382"/>
      <c r="E78" s="365"/>
    </row>
    <row r="79" spans="1:5" s="533" customFormat="1" ht="12" customHeight="1" thickBot="1">
      <c r="A79" s="518" t="s">
        <v>392</v>
      </c>
      <c r="B79" s="690" t="s">
        <v>393</v>
      </c>
      <c r="C79" s="382"/>
      <c r="D79" s="382">
        <v>34166867</v>
      </c>
      <c r="E79" s="365">
        <v>34166867</v>
      </c>
    </row>
    <row r="80" spans="1:5" s="533" customFormat="1" ht="12" customHeight="1" thickBot="1">
      <c r="A80" s="693" t="s">
        <v>394</v>
      </c>
      <c r="B80" s="691" t="s">
        <v>395</v>
      </c>
      <c r="C80" s="378">
        <f>SUM(C81:C84)</f>
        <v>0</v>
      </c>
      <c r="D80" s="378">
        <f>SUM(D81:D84)</f>
        <v>0</v>
      </c>
      <c r="E80" s="361">
        <f>SUM(E81:E84)</f>
        <v>0</v>
      </c>
    </row>
    <row r="81" spans="1:5" s="533" customFormat="1" ht="12" customHeight="1">
      <c r="A81" s="695" t="s">
        <v>396</v>
      </c>
      <c r="B81" s="688" t="s">
        <v>397</v>
      </c>
      <c r="C81" s="382"/>
      <c r="D81" s="382"/>
      <c r="E81" s="365"/>
    </row>
    <row r="82" spans="1:5" s="533" customFormat="1" ht="12" customHeight="1">
      <c r="A82" s="696" t="s">
        <v>398</v>
      </c>
      <c r="B82" s="689" t="s">
        <v>399</v>
      </c>
      <c r="C82" s="382"/>
      <c r="D82" s="382"/>
      <c r="E82" s="365"/>
    </row>
    <row r="83" spans="1:5" s="533" customFormat="1" ht="12" customHeight="1">
      <c r="A83" s="696" t="s">
        <v>400</v>
      </c>
      <c r="B83" s="689" t="s">
        <v>401</v>
      </c>
      <c r="C83" s="382"/>
      <c r="D83" s="382"/>
      <c r="E83" s="365"/>
    </row>
    <row r="84" spans="1:5" s="533" customFormat="1" ht="12" customHeight="1" thickBot="1">
      <c r="A84" s="697" t="s">
        <v>402</v>
      </c>
      <c r="B84" s="690" t="s">
        <v>403</v>
      </c>
      <c r="C84" s="382"/>
      <c r="D84" s="382"/>
      <c r="E84" s="365"/>
    </row>
    <row r="85" spans="1:5" s="533" customFormat="1" ht="12" customHeight="1" thickBot="1">
      <c r="A85" s="693" t="s">
        <v>404</v>
      </c>
      <c r="B85" s="691" t="s">
        <v>405</v>
      </c>
      <c r="C85" s="403"/>
      <c r="D85" s="403"/>
      <c r="E85" s="404"/>
    </row>
    <row r="86" spans="1:5" s="533" customFormat="1" ht="12" customHeight="1" thickBot="1">
      <c r="A86" s="693" t="s">
        <v>406</v>
      </c>
      <c r="B86" s="698" t="s">
        <v>407</v>
      </c>
      <c r="C86" s="384">
        <f>+C64+C68+C73+C76+C80+C85</f>
        <v>0</v>
      </c>
      <c r="D86" s="384">
        <f>+D64+D68+D73+D76+D80+D85</f>
        <v>34166867</v>
      </c>
      <c r="E86" s="397">
        <f>+E64+E68+E73+E76+E80+E85</f>
        <v>34166867</v>
      </c>
    </row>
    <row r="87" spans="1:5" s="533" customFormat="1" ht="12" customHeight="1" thickBot="1">
      <c r="A87" s="699" t="s">
        <v>408</v>
      </c>
      <c r="B87" s="700" t="s">
        <v>545</v>
      </c>
      <c r="C87" s="384">
        <f>+C63+C86</f>
        <v>142045520</v>
      </c>
      <c r="D87" s="384">
        <f>+D63+D86</f>
        <v>213059346</v>
      </c>
      <c r="E87" s="397">
        <f>+E63+E86</f>
        <v>212458537</v>
      </c>
    </row>
    <row r="88" spans="1:5" s="533" customFormat="1" ht="15" customHeight="1">
      <c r="A88" s="489"/>
      <c r="B88" s="490"/>
      <c r="C88" s="504"/>
      <c r="D88" s="504"/>
      <c r="E88" s="504"/>
    </row>
    <row r="89" spans="1:5" ht="13.5" thickBot="1">
      <c r="A89" s="491"/>
      <c r="B89" s="492"/>
      <c r="C89" s="505"/>
      <c r="D89" s="505"/>
      <c r="E89" s="505"/>
    </row>
    <row r="90" spans="1:5" s="532" customFormat="1" ht="16.5" customHeight="1" thickBot="1">
      <c r="A90" s="758" t="s">
        <v>43</v>
      </c>
      <c r="B90" s="759"/>
      <c r="C90" s="759"/>
      <c r="D90" s="759"/>
      <c r="E90" s="760"/>
    </row>
    <row r="91" spans="1:5" s="309" customFormat="1" ht="12" customHeight="1" thickBot="1">
      <c r="A91" s="511" t="s">
        <v>7</v>
      </c>
      <c r="B91" s="350" t="s">
        <v>416</v>
      </c>
      <c r="C91" s="495">
        <f>SUM(C92:C96)</f>
        <v>7291332</v>
      </c>
      <c r="D91" s="495">
        <f>SUM(D92:D96)</f>
        <v>17488192</v>
      </c>
      <c r="E91" s="495">
        <f>SUM(E92:E96)</f>
        <v>13341514</v>
      </c>
    </row>
    <row r="92" spans="1:5" ht="12" customHeight="1">
      <c r="A92" s="524" t="s">
        <v>69</v>
      </c>
      <c r="B92" s="336" t="s">
        <v>37</v>
      </c>
      <c r="C92" s="496"/>
      <c r="D92" s="496"/>
      <c r="E92" s="496"/>
    </row>
    <row r="93" spans="1:5" ht="12" customHeight="1">
      <c r="A93" s="517" t="s">
        <v>70</v>
      </c>
      <c r="B93" s="334" t="s">
        <v>131</v>
      </c>
      <c r="C93" s="497"/>
      <c r="D93" s="497"/>
      <c r="E93" s="497"/>
    </row>
    <row r="94" spans="1:5" ht="12" customHeight="1">
      <c r="A94" s="517" t="s">
        <v>71</v>
      </c>
      <c r="B94" s="334" t="s">
        <v>98</v>
      </c>
      <c r="C94" s="499"/>
      <c r="D94" s="499"/>
      <c r="E94" s="499"/>
    </row>
    <row r="95" spans="1:5" ht="12" customHeight="1">
      <c r="A95" s="517" t="s">
        <v>72</v>
      </c>
      <c r="B95" s="337" t="s">
        <v>132</v>
      </c>
      <c r="C95" s="499"/>
      <c r="D95" s="499"/>
      <c r="E95" s="499"/>
    </row>
    <row r="96" spans="1:5" ht="12" customHeight="1">
      <c r="A96" s="517" t="s">
        <v>81</v>
      </c>
      <c r="B96" s="345" t="s">
        <v>133</v>
      </c>
      <c r="C96" s="499">
        <v>7291332</v>
      </c>
      <c r="D96" s="499">
        <v>17488192</v>
      </c>
      <c r="E96" s="499">
        <v>13341514</v>
      </c>
    </row>
    <row r="97" spans="1:5" ht="12" customHeight="1">
      <c r="A97" s="517" t="s">
        <v>73</v>
      </c>
      <c r="B97" s="334" t="s">
        <v>417</v>
      </c>
      <c r="C97" s="499"/>
      <c r="D97" s="499"/>
      <c r="E97" s="499"/>
    </row>
    <row r="98" spans="1:5" ht="12" customHeight="1">
      <c r="A98" s="517" t="s">
        <v>74</v>
      </c>
      <c r="B98" s="357" t="s">
        <v>418</v>
      </c>
      <c r="C98" s="499"/>
      <c r="D98" s="499"/>
      <c r="E98" s="499"/>
    </row>
    <row r="99" spans="1:5" ht="12" customHeight="1">
      <c r="A99" s="517" t="s">
        <v>82</v>
      </c>
      <c r="B99" s="358" t="s">
        <v>419</v>
      </c>
      <c r="C99" s="499"/>
      <c r="D99" s="499"/>
      <c r="E99" s="499"/>
    </row>
    <row r="100" spans="1:5" ht="12" customHeight="1">
      <c r="A100" s="517" t="s">
        <v>83</v>
      </c>
      <c r="B100" s="358" t="s">
        <v>420</v>
      </c>
      <c r="C100" s="499"/>
      <c r="D100" s="499"/>
      <c r="E100" s="499"/>
    </row>
    <row r="101" spans="1:5" ht="12" customHeight="1">
      <c r="A101" s="517" t="s">
        <v>84</v>
      </c>
      <c r="B101" s="357" t="s">
        <v>421</v>
      </c>
      <c r="C101" s="499">
        <v>6691332</v>
      </c>
      <c r="D101" s="499">
        <v>6691332</v>
      </c>
      <c r="E101" s="499">
        <v>2544654</v>
      </c>
    </row>
    <row r="102" spans="1:5" ht="12" customHeight="1">
      <c r="A102" s="517" t="s">
        <v>85</v>
      </c>
      <c r="B102" s="357" t="s">
        <v>422</v>
      </c>
      <c r="C102" s="499"/>
      <c r="D102" s="499"/>
      <c r="E102" s="499"/>
    </row>
    <row r="103" spans="1:5" ht="12" customHeight="1">
      <c r="A103" s="517" t="s">
        <v>87</v>
      </c>
      <c r="B103" s="358" t="s">
        <v>423</v>
      </c>
      <c r="C103" s="499"/>
      <c r="D103" s="499"/>
      <c r="E103" s="499"/>
    </row>
    <row r="104" spans="1:5" ht="12" customHeight="1">
      <c r="A104" s="525" t="s">
        <v>134</v>
      </c>
      <c r="B104" s="359" t="s">
        <v>424</v>
      </c>
      <c r="C104" s="499"/>
      <c r="D104" s="499"/>
      <c r="E104" s="499"/>
    </row>
    <row r="105" spans="1:5" ht="12" customHeight="1">
      <c r="A105" s="517" t="s">
        <v>425</v>
      </c>
      <c r="B105" s="359" t="s">
        <v>426</v>
      </c>
      <c r="C105" s="499"/>
      <c r="D105" s="499"/>
      <c r="E105" s="499"/>
    </row>
    <row r="106" spans="1:5" s="309" customFormat="1" ht="12" customHeight="1" thickBot="1">
      <c r="A106" s="526" t="s">
        <v>427</v>
      </c>
      <c r="B106" s="360" t="s">
        <v>428</v>
      </c>
      <c r="C106" s="501">
        <v>600000</v>
      </c>
      <c r="D106" s="501">
        <v>10796860</v>
      </c>
      <c r="E106" s="501">
        <v>10796860</v>
      </c>
    </row>
    <row r="107" spans="1:5" ht="12" customHeight="1" thickBot="1">
      <c r="A107" s="351" t="s">
        <v>8</v>
      </c>
      <c r="B107" s="349" t="s">
        <v>429</v>
      </c>
      <c r="C107" s="372">
        <f>+C108+C110+C112</f>
        <v>312709794</v>
      </c>
      <c r="D107" s="372">
        <f>+D108+D110+D112</f>
        <v>315086710</v>
      </c>
      <c r="E107" s="372">
        <f>+E108+E110+E112</f>
        <v>145194622</v>
      </c>
    </row>
    <row r="108" spans="1:5" ht="12" customHeight="1">
      <c r="A108" s="516" t="s">
        <v>75</v>
      </c>
      <c r="B108" s="334" t="s">
        <v>155</v>
      </c>
      <c r="C108" s="498">
        <v>179712700</v>
      </c>
      <c r="D108" s="498">
        <v>182697036</v>
      </c>
      <c r="E108" s="498">
        <v>36070621</v>
      </c>
    </row>
    <row r="109" spans="1:5" ht="12" customHeight="1">
      <c r="A109" s="516" t="s">
        <v>76</v>
      </c>
      <c r="B109" s="338" t="s">
        <v>430</v>
      </c>
      <c r="C109" s="498"/>
      <c r="D109" s="498"/>
      <c r="E109" s="498"/>
    </row>
    <row r="110" spans="1:5" ht="12" customHeight="1">
      <c r="A110" s="516" t="s">
        <v>77</v>
      </c>
      <c r="B110" s="338" t="s">
        <v>135</v>
      </c>
      <c r="C110" s="497">
        <v>132997094</v>
      </c>
      <c r="D110" s="497">
        <v>132389674</v>
      </c>
      <c r="E110" s="497">
        <v>109124001</v>
      </c>
    </row>
    <row r="111" spans="1:5" ht="12" customHeight="1">
      <c r="A111" s="516" t="s">
        <v>78</v>
      </c>
      <c r="B111" s="338" t="s">
        <v>431</v>
      </c>
      <c r="C111" s="362"/>
      <c r="D111" s="362"/>
      <c r="E111" s="362"/>
    </row>
    <row r="112" spans="1:5" ht="12" customHeight="1">
      <c r="A112" s="516" t="s">
        <v>79</v>
      </c>
      <c r="B112" s="692" t="s">
        <v>157</v>
      </c>
      <c r="C112" s="362"/>
      <c r="D112" s="362"/>
      <c r="E112" s="362"/>
    </row>
    <row r="113" spans="1:5" ht="12" customHeight="1">
      <c r="A113" s="516" t="s">
        <v>86</v>
      </c>
      <c r="B113" s="701" t="s">
        <v>432</v>
      </c>
      <c r="C113" s="362"/>
      <c r="D113" s="362"/>
      <c r="E113" s="362"/>
    </row>
    <row r="114" spans="1:5" ht="12" customHeight="1">
      <c r="A114" s="516" t="s">
        <v>88</v>
      </c>
      <c r="B114" s="385" t="s">
        <v>433</v>
      </c>
      <c r="C114" s="362"/>
      <c r="D114" s="362"/>
      <c r="E114" s="362"/>
    </row>
    <row r="115" spans="1:5" ht="12" customHeight="1">
      <c r="A115" s="516" t="s">
        <v>136</v>
      </c>
      <c r="B115" s="358" t="s">
        <v>420</v>
      </c>
      <c r="C115" s="362"/>
      <c r="D115" s="362"/>
      <c r="E115" s="362"/>
    </row>
    <row r="116" spans="1:5" ht="12" customHeight="1">
      <c r="A116" s="516" t="s">
        <v>137</v>
      </c>
      <c r="B116" s="358" t="s">
        <v>434</v>
      </c>
      <c r="C116" s="362"/>
      <c r="D116" s="362"/>
      <c r="E116" s="362"/>
    </row>
    <row r="117" spans="1:5" ht="12" customHeight="1">
      <c r="A117" s="516" t="s">
        <v>138</v>
      </c>
      <c r="B117" s="358" t="s">
        <v>435</v>
      </c>
      <c r="C117" s="362"/>
      <c r="D117" s="362"/>
      <c r="E117" s="362"/>
    </row>
    <row r="118" spans="1:5" ht="12" customHeight="1">
      <c r="A118" s="516" t="s">
        <v>436</v>
      </c>
      <c r="B118" s="358" t="s">
        <v>423</v>
      </c>
      <c r="C118" s="362"/>
      <c r="D118" s="362"/>
      <c r="E118" s="362"/>
    </row>
    <row r="119" spans="1:5" ht="12" customHeight="1">
      <c r="A119" s="516" t="s">
        <v>437</v>
      </c>
      <c r="B119" s="358" t="s">
        <v>438</v>
      </c>
      <c r="C119" s="362"/>
      <c r="D119" s="362"/>
      <c r="E119" s="362"/>
    </row>
    <row r="120" spans="1:5" ht="12" customHeight="1" thickBot="1">
      <c r="A120" s="525" t="s">
        <v>439</v>
      </c>
      <c r="B120" s="358" t="s">
        <v>440</v>
      </c>
      <c r="C120" s="364"/>
      <c r="D120" s="364"/>
      <c r="E120" s="364"/>
    </row>
    <row r="121" spans="1:5" ht="12" customHeight="1" thickBot="1">
      <c r="A121" s="351" t="s">
        <v>9</v>
      </c>
      <c r="B121" s="354" t="s">
        <v>441</v>
      </c>
      <c r="C121" s="372">
        <f>+C122+C123</f>
        <v>0</v>
      </c>
      <c r="D121" s="372">
        <f>+D122+D123</f>
        <v>0</v>
      </c>
      <c r="E121" s="372">
        <f>+E122+E123</f>
        <v>0</v>
      </c>
    </row>
    <row r="122" spans="1:5" ht="12" customHeight="1">
      <c r="A122" s="516" t="s">
        <v>58</v>
      </c>
      <c r="B122" s="335" t="s">
        <v>45</v>
      </c>
      <c r="C122" s="498"/>
      <c r="D122" s="498"/>
      <c r="E122" s="498"/>
    </row>
    <row r="123" spans="1:5" ht="12" customHeight="1" thickBot="1">
      <c r="A123" s="518" t="s">
        <v>59</v>
      </c>
      <c r="B123" s="338" t="s">
        <v>46</v>
      </c>
      <c r="C123" s="499"/>
      <c r="D123" s="499"/>
      <c r="E123" s="499"/>
    </row>
    <row r="124" spans="1:5" ht="12" customHeight="1" thickBot="1">
      <c r="A124" s="351" t="s">
        <v>10</v>
      </c>
      <c r="B124" s="354" t="s">
        <v>442</v>
      </c>
      <c r="C124" s="372">
        <f>+C91+C107+C121</f>
        <v>320001126</v>
      </c>
      <c r="D124" s="372">
        <f>+D91+D107+D121</f>
        <v>332574902</v>
      </c>
      <c r="E124" s="372">
        <f>+E91+E107+E121</f>
        <v>158536136</v>
      </c>
    </row>
    <row r="125" spans="1:5" ht="12" customHeight="1" thickBot="1">
      <c r="A125" s="351" t="s">
        <v>11</v>
      </c>
      <c r="B125" s="354" t="s">
        <v>547</v>
      </c>
      <c r="C125" s="372">
        <f>+C126+C127+C128</f>
        <v>0</v>
      </c>
      <c r="D125" s="372">
        <f>+D126+D127+D128</f>
        <v>0</v>
      </c>
      <c r="E125" s="372">
        <f>+E126+E127+E128</f>
        <v>0</v>
      </c>
    </row>
    <row r="126" spans="1:5" ht="12" customHeight="1">
      <c r="A126" s="516" t="s">
        <v>62</v>
      </c>
      <c r="B126" s="335" t="s">
        <v>444</v>
      </c>
      <c r="C126" s="362"/>
      <c r="D126" s="362"/>
      <c r="E126" s="362"/>
    </row>
    <row r="127" spans="1:5" ht="12" customHeight="1">
      <c r="A127" s="516" t="s">
        <v>63</v>
      </c>
      <c r="B127" s="335" t="s">
        <v>445</v>
      </c>
      <c r="C127" s="362"/>
      <c r="D127" s="362"/>
      <c r="E127" s="362"/>
    </row>
    <row r="128" spans="1:5" ht="12" customHeight="1" thickBot="1">
      <c r="A128" s="525" t="s">
        <v>64</v>
      </c>
      <c r="B128" s="333" t="s">
        <v>446</v>
      </c>
      <c r="C128" s="362"/>
      <c r="D128" s="362"/>
      <c r="E128" s="362"/>
    </row>
    <row r="129" spans="1:5" ht="12" customHeight="1" thickBot="1">
      <c r="A129" s="351" t="s">
        <v>12</v>
      </c>
      <c r="B129" s="354" t="s">
        <v>447</v>
      </c>
      <c r="C129" s="372">
        <f>+C130+C131+C132+C133</f>
        <v>0</v>
      </c>
      <c r="D129" s="372">
        <f>+D130+D131+D132+D133</f>
        <v>0</v>
      </c>
      <c r="E129" s="372">
        <f>+E130+E131+E132+E133</f>
        <v>0</v>
      </c>
    </row>
    <row r="130" spans="1:5" ht="12" customHeight="1">
      <c r="A130" s="516" t="s">
        <v>65</v>
      </c>
      <c r="B130" s="335" t="s">
        <v>448</v>
      </c>
      <c r="C130" s="362"/>
      <c r="D130" s="362"/>
      <c r="E130" s="362"/>
    </row>
    <row r="131" spans="1:5" ht="12" customHeight="1">
      <c r="A131" s="516" t="s">
        <v>66</v>
      </c>
      <c r="B131" s="335" t="s">
        <v>449</v>
      </c>
      <c r="C131" s="362"/>
      <c r="D131" s="362"/>
      <c r="E131" s="362"/>
    </row>
    <row r="132" spans="1:5" ht="12" customHeight="1">
      <c r="A132" s="516" t="s">
        <v>344</v>
      </c>
      <c r="B132" s="335" t="s">
        <v>450</v>
      </c>
      <c r="C132" s="362"/>
      <c r="D132" s="362"/>
      <c r="E132" s="362"/>
    </row>
    <row r="133" spans="1:5" s="309" customFormat="1" ht="12" customHeight="1" thickBot="1">
      <c r="A133" s="525" t="s">
        <v>346</v>
      </c>
      <c r="B133" s="333" t="s">
        <v>451</v>
      </c>
      <c r="C133" s="362"/>
      <c r="D133" s="362"/>
      <c r="E133" s="362"/>
    </row>
    <row r="134" spans="1:11" ht="13.5" thickBot="1">
      <c r="A134" s="351" t="s">
        <v>13</v>
      </c>
      <c r="B134" s="354" t="s">
        <v>667</v>
      </c>
      <c r="C134" s="500">
        <f>+C135+C136+C138+C139+C137</f>
        <v>118667054</v>
      </c>
      <c r="D134" s="500">
        <f>+D135+D136+D138+D139+D137</f>
        <v>151551108</v>
      </c>
      <c r="E134" s="500">
        <f>+E135+E136+E138+E139+E137</f>
        <v>150394685</v>
      </c>
      <c r="K134" s="480"/>
    </row>
    <row r="135" spans="1:5" ht="12.75">
      <c r="A135" s="516" t="s">
        <v>67</v>
      </c>
      <c r="B135" s="335" t="s">
        <v>453</v>
      </c>
      <c r="C135" s="362"/>
      <c r="D135" s="362"/>
      <c r="E135" s="362"/>
    </row>
    <row r="136" spans="1:5" ht="12" customHeight="1">
      <c r="A136" s="516" t="s">
        <v>68</v>
      </c>
      <c r="B136" s="335" t="s">
        <v>454</v>
      </c>
      <c r="C136" s="362"/>
      <c r="D136" s="362"/>
      <c r="E136" s="362"/>
    </row>
    <row r="137" spans="1:5" ht="12" customHeight="1">
      <c r="A137" s="516" t="s">
        <v>353</v>
      </c>
      <c r="B137" s="335" t="s">
        <v>666</v>
      </c>
      <c r="C137" s="362">
        <v>118667054</v>
      </c>
      <c r="D137" s="362">
        <v>120367742</v>
      </c>
      <c r="E137" s="362">
        <v>119211319</v>
      </c>
    </row>
    <row r="138" spans="1:5" s="309" customFormat="1" ht="12" customHeight="1">
      <c r="A138" s="516" t="s">
        <v>355</v>
      </c>
      <c r="B138" s="335" t="s">
        <v>455</v>
      </c>
      <c r="C138" s="362"/>
      <c r="D138" s="362">
        <v>31183366</v>
      </c>
      <c r="E138" s="362">
        <v>31183366</v>
      </c>
    </row>
    <row r="139" spans="1:5" s="309" customFormat="1" ht="12" customHeight="1" thickBot="1">
      <c r="A139" s="525" t="s">
        <v>665</v>
      </c>
      <c r="B139" s="333" t="s">
        <v>456</v>
      </c>
      <c r="C139" s="362"/>
      <c r="D139" s="362"/>
      <c r="E139" s="362"/>
    </row>
    <row r="140" spans="1:5" s="309" customFormat="1" ht="12" customHeight="1" thickBot="1">
      <c r="A140" s="351" t="s">
        <v>14</v>
      </c>
      <c r="B140" s="354" t="s">
        <v>548</v>
      </c>
      <c r="C140" s="702">
        <f>+C141+C142+C143+C144</f>
        <v>0</v>
      </c>
      <c r="D140" s="702">
        <f>+D141+D142+D143+D144</f>
        <v>0</v>
      </c>
      <c r="E140" s="702">
        <f>+E141+E142+E143+E144</f>
        <v>0</v>
      </c>
    </row>
    <row r="141" spans="1:5" s="309" customFormat="1" ht="12" customHeight="1">
      <c r="A141" s="516" t="s">
        <v>129</v>
      </c>
      <c r="B141" s="335" t="s">
        <v>458</v>
      </c>
      <c r="C141" s="362"/>
      <c r="D141" s="362"/>
      <c r="E141" s="362"/>
    </row>
    <row r="142" spans="1:5" s="309" customFormat="1" ht="12" customHeight="1">
      <c r="A142" s="516" t="s">
        <v>130</v>
      </c>
      <c r="B142" s="335" t="s">
        <v>459</v>
      </c>
      <c r="C142" s="362"/>
      <c r="D142" s="362"/>
      <c r="E142" s="362"/>
    </row>
    <row r="143" spans="1:5" s="309" customFormat="1" ht="12" customHeight="1">
      <c r="A143" s="516" t="s">
        <v>156</v>
      </c>
      <c r="B143" s="335" t="s">
        <v>460</v>
      </c>
      <c r="C143" s="362"/>
      <c r="D143" s="362"/>
      <c r="E143" s="362"/>
    </row>
    <row r="144" spans="1:5" ht="12.75" customHeight="1" thickBot="1">
      <c r="A144" s="516" t="s">
        <v>361</v>
      </c>
      <c r="B144" s="335" t="s">
        <v>461</v>
      </c>
      <c r="C144" s="362"/>
      <c r="D144" s="362"/>
      <c r="E144" s="362"/>
    </row>
    <row r="145" spans="1:5" ht="12" customHeight="1" thickBot="1">
      <c r="A145" s="351" t="s">
        <v>15</v>
      </c>
      <c r="B145" s="354" t="s">
        <v>462</v>
      </c>
      <c r="C145" s="703">
        <f>+C125+C129+C134+C140</f>
        <v>118667054</v>
      </c>
      <c r="D145" s="703">
        <f>+D125+D129+D134+D140</f>
        <v>151551108</v>
      </c>
      <c r="E145" s="703">
        <f>+E125+E129+E134+E140</f>
        <v>150394685</v>
      </c>
    </row>
    <row r="146" spans="1:5" ht="15" customHeight="1" thickBot="1">
      <c r="A146" s="704" t="s">
        <v>16</v>
      </c>
      <c r="B146" s="705" t="s">
        <v>463</v>
      </c>
      <c r="C146" s="703">
        <f>+C124+C145</f>
        <v>438668180</v>
      </c>
      <c r="D146" s="703">
        <f>+D124+D145</f>
        <v>484126010</v>
      </c>
      <c r="E146" s="703">
        <f>+E124+E145</f>
        <v>308930821</v>
      </c>
    </row>
    <row r="147" spans="1:5" ht="13.5" thickBot="1">
      <c r="A147" s="43"/>
      <c r="B147" s="44"/>
      <c r="C147" s="45"/>
      <c r="D147" s="45"/>
      <c r="E147" s="45"/>
    </row>
    <row r="148" spans="1:5" ht="15" customHeight="1" thickBot="1">
      <c r="A148" s="635" t="s">
        <v>735</v>
      </c>
      <c r="B148" s="636"/>
      <c r="C148" s="91"/>
      <c r="D148" s="92"/>
      <c r="E148" s="89"/>
    </row>
    <row r="149" spans="1:5" ht="14.25" customHeight="1" thickBot="1">
      <c r="A149" s="637" t="s">
        <v>734</v>
      </c>
      <c r="B149" s="638"/>
      <c r="C149" s="91"/>
      <c r="D149" s="92"/>
      <c r="E149" s="89"/>
    </row>
  </sheetData>
  <sheetProtection formatCells="0"/>
  <mergeCells count="5">
    <mergeCell ref="B2:D2"/>
    <mergeCell ref="B3:D3"/>
    <mergeCell ref="A7:E7"/>
    <mergeCell ref="A90:E90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72" r:id="rId1"/>
  <rowBreaks count="1" manualBreakCount="1"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149"/>
  <sheetViews>
    <sheetView zoomScaleSheetLayoutView="100" workbookViewId="0" topLeftCell="A1">
      <selection activeCell="C1" sqref="C1:E1"/>
    </sheetView>
  </sheetViews>
  <sheetFormatPr defaultColWidth="9.00390625" defaultRowHeight="12.75"/>
  <cols>
    <col min="1" max="1" width="14.875" style="507" customWidth="1"/>
    <col min="2" max="2" width="65.375" style="508" customWidth="1"/>
    <col min="3" max="5" width="17.00390625" style="509" customWidth="1"/>
    <col min="6" max="16384" width="9.375" style="33" customWidth="1"/>
  </cols>
  <sheetData>
    <row r="1" spans="1:5" s="484" customFormat="1" ht="16.5" customHeight="1" thickBot="1">
      <c r="A1" s="483"/>
      <c r="B1" s="485"/>
      <c r="C1" s="867" t="s">
        <v>782</v>
      </c>
      <c r="D1" s="868"/>
      <c r="E1" s="868"/>
    </row>
    <row r="2" spans="1:5" s="530" customFormat="1" ht="15.75" customHeight="1">
      <c r="A2" s="510" t="s">
        <v>50</v>
      </c>
      <c r="B2" s="761" t="s">
        <v>152</v>
      </c>
      <c r="C2" s="762"/>
      <c r="D2" s="763"/>
      <c r="E2" s="503" t="s">
        <v>41</v>
      </c>
    </row>
    <row r="3" spans="1:5" s="530" customFormat="1" ht="24.75" thickBot="1">
      <c r="A3" s="528" t="s">
        <v>543</v>
      </c>
      <c r="B3" s="764" t="s">
        <v>670</v>
      </c>
      <c r="C3" s="765"/>
      <c r="D3" s="766"/>
      <c r="E3" s="479" t="s">
        <v>49</v>
      </c>
    </row>
    <row r="4" spans="1:5" s="531" customFormat="1" ht="15.75" customHeight="1" thickBot="1">
      <c r="A4" s="486"/>
      <c r="B4" s="486"/>
      <c r="C4" s="487"/>
      <c r="D4" s="487"/>
      <c r="E4" s="487" t="str">
        <f>'6.3. sz. mell'!E4</f>
        <v>Forintban!</v>
      </c>
    </row>
    <row r="5" spans="1:5" ht="24.75" thickBot="1">
      <c r="A5" s="319" t="s">
        <v>146</v>
      </c>
      <c r="B5" s="320" t="s">
        <v>733</v>
      </c>
      <c r="C5" s="77" t="s">
        <v>174</v>
      </c>
      <c r="D5" s="77" t="s">
        <v>179</v>
      </c>
      <c r="E5" s="488" t="s">
        <v>180</v>
      </c>
    </row>
    <row r="6" spans="1:5" s="532" customFormat="1" ht="12.75" customHeight="1" thickBot="1">
      <c r="A6" s="481" t="s">
        <v>410</v>
      </c>
      <c r="B6" s="482" t="s">
        <v>411</v>
      </c>
      <c r="C6" s="482" t="s">
        <v>412</v>
      </c>
      <c r="D6" s="90" t="s">
        <v>413</v>
      </c>
      <c r="E6" s="88" t="s">
        <v>414</v>
      </c>
    </row>
    <row r="7" spans="1:5" s="532" customFormat="1" ht="15.75" customHeight="1" thickBot="1">
      <c r="A7" s="758" t="s">
        <v>42</v>
      </c>
      <c r="B7" s="759"/>
      <c r="C7" s="759"/>
      <c r="D7" s="759"/>
      <c r="E7" s="760"/>
    </row>
    <row r="8" spans="1:5" s="532" customFormat="1" ht="12" customHeight="1" thickBot="1">
      <c r="A8" s="351" t="s">
        <v>7</v>
      </c>
      <c r="B8" s="347" t="s">
        <v>302</v>
      </c>
      <c r="C8" s="378">
        <f>SUM(C9:C14)</f>
        <v>0</v>
      </c>
      <c r="D8" s="378">
        <f>SUM(D9:D14)</f>
        <v>0</v>
      </c>
      <c r="E8" s="361">
        <f>SUM(E9:E14)</f>
        <v>0</v>
      </c>
    </row>
    <row r="9" spans="1:5" s="506" customFormat="1" ht="12" customHeight="1">
      <c r="A9" s="516" t="s">
        <v>69</v>
      </c>
      <c r="B9" s="389" t="s">
        <v>303</v>
      </c>
      <c r="C9" s="380"/>
      <c r="D9" s="380"/>
      <c r="E9" s="363"/>
    </row>
    <row r="10" spans="1:5" s="533" customFormat="1" ht="12" customHeight="1">
      <c r="A10" s="517" t="s">
        <v>70</v>
      </c>
      <c r="B10" s="390" t="s">
        <v>304</v>
      </c>
      <c r="C10" s="379"/>
      <c r="D10" s="379"/>
      <c r="E10" s="362"/>
    </row>
    <row r="11" spans="1:5" s="533" customFormat="1" ht="12" customHeight="1">
      <c r="A11" s="517" t="s">
        <v>71</v>
      </c>
      <c r="B11" s="390" t="s">
        <v>305</v>
      </c>
      <c r="C11" s="379"/>
      <c r="D11" s="379"/>
      <c r="E11" s="362"/>
    </row>
    <row r="12" spans="1:5" s="533" customFormat="1" ht="12" customHeight="1">
      <c r="A12" s="517" t="s">
        <v>72</v>
      </c>
      <c r="B12" s="390" t="s">
        <v>306</v>
      </c>
      <c r="C12" s="379"/>
      <c r="D12" s="379"/>
      <c r="E12" s="362"/>
    </row>
    <row r="13" spans="1:5" s="533" customFormat="1" ht="12" customHeight="1">
      <c r="A13" s="517" t="s">
        <v>105</v>
      </c>
      <c r="B13" s="390" t="s">
        <v>307</v>
      </c>
      <c r="C13" s="379"/>
      <c r="D13" s="379"/>
      <c r="E13" s="362"/>
    </row>
    <row r="14" spans="1:5" s="506" customFormat="1" ht="12" customHeight="1" thickBot="1">
      <c r="A14" s="518" t="s">
        <v>73</v>
      </c>
      <c r="B14" s="391" t="s">
        <v>308</v>
      </c>
      <c r="C14" s="381"/>
      <c r="D14" s="381"/>
      <c r="E14" s="364"/>
    </row>
    <row r="15" spans="1:5" s="506" customFormat="1" ht="12" customHeight="1" thickBot="1">
      <c r="A15" s="351" t="s">
        <v>8</v>
      </c>
      <c r="B15" s="368" t="s">
        <v>309</v>
      </c>
      <c r="C15" s="378">
        <f>SUM(C16:C20)</f>
        <v>0</v>
      </c>
      <c r="D15" s="378">
        <f>SUM(D16:D20)</f>
        <v>0</v>
      </c>
      <c r="E15" s="361">
        <f>SUM(E16:E20)</f>
        <v>0</v>
      </c>
    </row>
    <row r="16" spans="1:5" s="506" customFormat="1" ht="12" customHeight="1">
      <c r="A16" s="516" t="s">
        <v>75</v>
      </c>
      <c r="B16" s="389" t="s">
        <v>310</v>
      </c>
      <c r="C16" s="380"/>
      <c r="D16" s="380"/>
      <c r="E16" s="363"/>
    </row>
    <row r="17" spans="1:5" s="506" customFormat="1" ht="12" customHeight="1">
      <c r="A17" s="517" t="s">
        <v>76</v>
      </c>
      <c r="B17" s="390" t="s">
        <v>311</v>
      </c>
      <c r="C17" s="379"/>
      <c r="D17" s="379"/>
      <c r="E17" s="362"/>
    </row>
    <row r="18" spans="1:5" s="506" customFormat="1" ht="12" customHeight="1">
      <c r="A18" s="517" t="s">
        <v>77</v>
      </c>
      <c r="B18" s="390" t="s">
        <v>312</v>
      </c>
      <c r="C18" s="379"/>
      <c r="D18" s="379"/>
      <c r="E18" s="362"/>
    </row>
    <row r="19" spans="1:5" s="506" customFormat="1" ht="12" customHeight="1">
      <c r="A19" s="517" t="s">
        <v>78</v>
      </c>
      <c r="B19" s="390" t="s">
        <v>313</v>
      </c>
      <c r="C19" s="379"/>
      <c r="D19" s="379"/>
      <c r="E19" s="362"/>
    </row>
    <row r="20" spans="1:5" s="506" customFormat="1" ht="12" customHeight="1">
      <c r="A20" s="517" t="s">
        <v>79</v>
      </c>
      <c r="B20" s="390" t="s">
        <v>314</v>
      </c>
      <c r="C20" s="379"/>
      <c r="D20" s="379"/>
      <c r="E20" s="362"/>
    </row>
    <row r="21" spans="1:5" s="533" customFormat="1" ht="12" customHeight="1" thickBot="1">
      <c r="A21" s="518" t="s">
        <v>86</v>
      </c>
      <c r="B21" s="391" t="s">
        <v>315</v>
      </c>
      <c r="C21" s="381"/>
      <c r="D21" s="381"/>
      <c r="E21" s="364"/>
    </row>
    <row r="22" spans="1:5" s="533" customFormat="1" ht="12" customHeight="1" thickBot="1">
      <c r="A22" s="351" t="s">
        <v>9</v>
      </c>
      <c r="B22" s="347" t="s">
        <v>316</v>
      </c>
      <c r="C22" s="378">
        <f>SUM(C23:C27)</f>
        <v>0</v>
      </c>
      <c r="D22" s="378">
        <f>SUM(D23:D27)</f>
        <v>0</v>
      </c>
      <c r="E22" s="361">
        <f>SUM(E23:E27)</f>
        <v>0</v>
      </c>
    </row>
    <row r="23" spans="1:5" s="533" customFormat="1" ht="12" customHeight="1">
      <c r="A23" s="516" t="s">
        <v>58</v>
      </c>
      <c r="B23" s="389" t="s">
        <v>317</v>
      </c>
      <c r="C23" s="380"/>
      <c r="D23" s="380"/>
      <c r="E23" s="363"/>
    </row>
    <row r="24" spans="1:5" s="506" customFormat="1" ht="12" customHeight="1">
      <c r="A24" s="517" t="s">
        <v>59</v>
      </c>
      <c r="B24" s="390" t="s">
        <v>318</v>
      </c>
      <c r="C24" s="379"/>
      <c r="D24" s="379"/>
      <c r="E24" s="362"/>
    </row>
    <row r="25" spans="1:5" s="533" customFormat="1" ht="12" customHeight="1">
      <c r="A25" s="517" t="s">
        <v>60</v>
      </c>
      <c r="B25" s="390" t="s">
        <v>319</v>
      </c>
      <c r="C25" s="379"/>
      <c r="D25" s="379"/>
      <c r="E25" s="362"/>
    </row>
    <row r="26" spans="1:5" s="533" customFormat="1" ht="12" customHeight="1">
      <c r="A26" s="517" t="s">
        <v>61</v>
      </c>
      <c r="B26" s="390" t="s">
        <v>320</v>
      </c>
      <c r="C26" s="379"/>
      <c r="D26" s="379"/>
      <c r="E26" s="362"/>
    </row>
    <row r="27" spans="1:5" s="533" customFormat="1" ht="12" customHeight="1">
      <c r="A27" s="517" t="s">
        <v>119</v>
      </c>
      <c r="B27" s="390" t="s">
        <v>321</v>
      </c>
      <c r="C27" s="379"/>
      <c r="D27" s="379"/>
      <c r="E27" s="362"/>
    </row>
    <row r="28" spans="1:5" s="533" customFormat="1" ht="12" customHeight="1" thickBot="1">
      <c r="A28" s="518" t="s">
        <v>120</v>
      </c>
      <c r="B28" s="391" t="s">
        <v>322</v>
      </c>
      <c r="C28" s="381"/>
      <c r="D28" s="381"/>
      <c r="E28" s="364"/>
    </row>
    <row r="29" spans="1:5" s="533" customFormat="1" ht="12" customHeight="1" thickBot="1">
      <c r="A29" s="351" t="s">
        <v>121</v>
      </c>
      <c r="B29" s="347" t="s">
        <v>724</v>
      </c>
      <c r="C29" s="384">
        <f>SUM(C30:C35)</f>
        <v>0</v>
      </c>
      <c r="D29" s="384">
        <f>SUM(D30:D35)</f>
        <v>0</v>
      </c>
      <c r="E29" s="397">
        <f>SUM(E30:E35)</f>
        <v>0</v>
      </c>
    </row>
    <row r="30" spans="1:5" s="533" customFormat="1" ht="12" customHeight="1">
      <c r="A30" s="516" t="s">
        <v>323</v>
      </c>
      <c r="B30" s="389" t="s">
        <v>728</v>
      </c>
      <c r="C30" s="380"/>
      <c r="D30" s="380">
        <f>+D31+D32</f>
        <v>0</v>
      </c>
      <c r="E30" s="363">
        <f>+E31+E32</f>
        <v>0</v>
      </c>
    </row>
    <row r="31" spans="1:5" s="533" customFormat="1" ht="12" customHeight="1">
      <c r="A31" s="517" t="s">
        <v>324</v>
      </c>
      <c r="B31" s="390" t="s">
        <v>729</v>
      </c>
      <c r="C31" s="379"/>
      <c r="D31" s="379"/>
      <c r="E31" s="362"/>
    </row>
    <row r="32" spans="1:5" s="533" customFormat="1" ht="12" customHeight="1">
      <c r="A32" s="517" t="s">
        <v>325</v>
      </c>
      <c r="B32" s="390" t="s">
        <v>730</v>
      </c>
      <c r="C32" s="379"/>
      <c r="D32" s="379"/>
      <c r="E32" s="362"/>
    </row>
    <row r="33" spans="1:5" s="533" customFormat="1" ht="12" customHeight="1">
      <c r="A33" s="517" t="s">
        <v>725</v>
      </c>
      <c r="B33" s="390" t="s">
        <v>731</v>
      </c>
      <c r="C33" s="379"/>
      <c r="D33" s="379"/>
      <c r="E33" s="362"/>
    </row>
    <row r="34" spans="1:5" s="533" customFormat="1" ht="12" customHeight="1">
      <c r="A34" s="517" t="s">
        <v>726</v>
      </c>
      <c r="B34" s="390" t="s">
        <v>326</v>
      </c>
      <c r="C34" s="379"/>
      <c r="D34" s="379"/>
      <c r="E34" s="362"/>
    </row>
    <row r="35" spans="1:5" s="533" customFormat="1" ht="12" customHeight="1" thickBot="1">
      <c r="A35" s="518" t="s">
        <v>727</v>
      </c>
      <c r="B35" s="370" t="s">
        <v>327</v>
      </c>
      <c r="C35" s="381"/>
      <c r="D35" s="381"/>
      <c r="E35" s="364"/>
    </row>
    <row r="36" spans="1:5" s="533" customFormat="1" ht="12" customHeight="1" thickBot="1">
      <c r="A36" s="351" t="s">
        <v>11</v>
      </c>
      <c r="B36" s="347" t="s">
        <v>328</v>
      </c>
      <c r="C36" s="378">
        <f>SUM(C37:C46)</f>
        <v>0</v>
      </c>
      <c r="D36" s="378">
        <f>SUM(D37:D46)</f>
        <v>0</v>
      </c>
      <c r="E36" s="361">
        <f>SUM(E37:E46)</f>
        <v>0</v>
      </c>
    </row>
    <row r="37" spans="1:5" s="533" customFormat="1" ht="12" customHeight="1">
      <c r="A37" s="516" t="s">
        <v>62</v>
      </c>
      <c r="B37" s="389" t="s">
        <v>329</v>
      </c>
      <c r="C37" s="380"/>
      <c r="D37" s="380"/>
      <c r="E37" s="363"/>
    </row>
    <row r="38" spans="1:5" s="533" customFormat="1" ht="12" customHeight="1">
      <c r="A38" s="517" t="s">
        <v>63</v>
      </c>
      <c r="B38" s="390" t="s">
        <v>330</v>
      </c>
      <c r="C38" s="379"/>
      <c r="D38" s="379"/>
      <c r="E38" s="362"/>
    </row>
    <row r="39" spans="1:5" s="533" customFormat="1" ht="12" customHeight="1">
      <c r="A39" s="517" t="s">
        <v>64</v>
      </c>
      <c r="B39" s="390" t="s">
        <v>331</v>
      </c>
      <c r="C39" s="379"/>
      <c r="D39" s="379"/>
      <c r="E39" s="362"/>
    </row>
    <row r="40" spans="1:5" s="533" customFormat="1" ht="12" customHeight="1">
      <c r="A40" s="517" t="s">
        <v>123</v>
      </c>
      <c r="B40" s="390" t="s">
        <v>332</v>
      </c>
      <c r="C40" s="379"/>
      <c r="D40" s="379"/>
      <c r="E40" s="362"/>
    </row>
    <row r="41" spans="1:5" s="533" customFormat="1" ht="12" customHeight="1">
      <c r="A41" s="517" t="s">
        <v>124</v>
      </c>
      <c r="B41" s="390" t="s">
        <v>333</v>
      </c>
      <c r="C41" s="379"/>
      <c r="D41" s="379"/>
      <c r="E41" s="362"/>
    </row>
    <row r="42" spans="1:5" s="533" customFormat="1" ht="12" customHeight="1">
      <c r="A42" s="517" t="s">
        <v>125</v>
      </c>
      <c r="B42" s="390" t="s">
        <v>334</v>
      </c>
      <c r="C42" s="379"/>
      <c r="D42" s="379"/>
      <c r="E42" s="362"/>
    </row>
    <row r="43" spans="1:5" s="533" customFormat="1" ht="12" customHeight="1">
      <c r="A43" s="517" t="s">
        <v>126</v>
      </c>
      <c r="B43" s="390" t="s">
        <v>335</v>
      </c>
      <c r="C43" s="379"/>
      <c r="D43" s="379"/>
      <c r="E43" s="362"/>
    </row>
    <row r="44" spans="1:5" s="533" customFormat="1" ht="12" customHeight="1">
      <c r="A44" s="517" t="s">
        <v>127</v>
      </c>
      <c r="B44" s="390" t="s">
        <v>336</v>
      </c>
      <c r="C44" s="379"/>
      <c r="D44" s="379"/>
      <c r="E44" s="362"/>
    </row>
    <row r="45" spans="1:5" s="533" customFormat="1" ht="12" customHeight="1">
      <c r="A45" s="517" t="s">
        <v>337</v>
      </c>
      <c r="B45" s="390" t="s">
        <v>338</v>
      </c>
      <c r="C45" s="382"/>
      <c r="D45" s="382"/>
      <c r="E45" s="365"/>
    </row>
    <row r="46" spans="1:5" s="506" customFormat="1" ht="12" customHeight="1" thickBot="1">
      <c r="A46" s="518" t="s">
        <v>339</v>
      </c>
      <c r="B46" s="391" t="s">
        <v>340</v>
      </c>
      <c r="C46" s="383"/>
      <c r="D46" s="383"/>
      <c r="E46" s="366"/>
    </row>
    <row r="47" spans="1:5" s="533" customFormat="1" ht="12" customHeight="1" thickBot="1">
      <c r="A47" s="351" t="s">
        <v>12</v>
      </c>
      <c r="B47" s="347" t="s">
        <v>341</v>
      </c>
      <c r="C47" s="378">
        <f>SUM(C48:C52)</f>
        <v>0</v>
      </c>
      <c r="D47" s="378">
        <f>SUM(D48:D52)</f>
        <v>0</v>
      </c>
      <c r="E47" s="361">
        <f>SUM(E48:E52)</f>
        <v>0</v>
      </c>
    </row>
    <row r="48" spans="1:5" s="533" customFormat="1" ht="12" customHeight="1">
      <c r="A48" s="516" t="s">
        <v>65</v>
      </c>
      <c r="B48" s="389" t="s">
        <v>342</v>
      </c>
      <c r="C48" s="399"/>
      <c r="D48" s="399"/>
      <c r="E48" s="367"/>
    </row>
    <row r="49" spans="1:5" s="533" customFormat="1" ht="12" customHeight="1">
      <c r="A49" s="517" t="s">
        <v>66</v>
      </c>
      <c r="B49" s="390" t="s">
        <v>343</v>
      </c>
      <c r="C49" s="382"/>
      <c r="D49" s="382"/>
      <c r="E49" s="365"/>
    </row>
    <row r="50" spans="1:5" s="533" customFormat="1" ht="12" customHeight="1">
      <c r="A50" s="517" t="s">
        <v>344</v>
      </c>
      <c r="B50" s="390" t="s">
        <v>345</v>
      </c>
      <c r="C50" s="382"/>
      <c r="D50" s="382"/>
      <c r="E50" s="365"/>
    </row>
    <row r="51" spans="1:5" s="533" customFormat="1" ht="12" customHeight="1">
      <c r="A51" s="517" t="s">
        <v>346</v>
      </c>
      <c r="B51" s="390" t="s">
        <v>347</v>
      </c>
      <c r="C51" s="382"/>
      <c r="D51" s="382"/>
      <c r="E51" s="365"/>
    </row>
    <row r="52" spans="1:5" s="533" customFormat="1" ht="12" customHeight="1" thickBot="1">
      <c r="A52" s="518" t="s">
        <v>348</v>
      </c>
      <c r="B52" s="391" t="s">
        <v>349</v>
      </c>
      <c r="C52" s="383"/>
      <c r="D52" s="383"/>
      <c r="E52" s="366"/>
    </row>
    <row r="53" spans="1:5" s="533" customFormat="1" ht="12" customHeight="1" thickBot="1">
      <c r="A53" s="351" t="s">
        <v>128</v>
      </c>
      <c r="B53" s="347" t="s">
        <v>350</v>
      </c>
      <c r="C53" s="378">
        <f>SUM(C54:C56)</f>
        <v>0</v>
      </c>
      <c r="D53" s="378">
        <f>SUM(D54:D56)</f>
        <v>0</v>
      </c>
      <c r="E53" s="361">
        <f>SUM(E54:E56)</f>
        <v>0</v>
      </c>
    </row>
    <row r="54" spans="1:5" s="506" customFormat="1" ht="12" customHeight="1">
      <c r="A54" s="516" t="s">
        <v>67</v>
      </c>
      <c r="B54" s="389" t="s">
        <v>351</v>
      </c>
      <c r="C54" s="380"/>
      <c r="D54" s="380"/>
      <c r="E54" s="363"/>
    </row>
    <row r="55" spans="1:5" s="506" customFormat="1" ht="12" customHeight="1">
      <c r="A55" s="517" t="s">
        <v>68</v>
      </c>
      <c r="B55" s="390" t="s">
        <v>352</v>
      </c>
      <c r="C55" s="379"/>
      <c r="D55" s="379"/>
      <c r="E55" s="362"/>
    </row>
    <row r="56" spans="1:5" s="506" customFormat="1" ht="12" customHeight="1">
      <c r="A56" s="517" t="s">
        <v>353</v>
      </c>
      <c r="B56" s="390" t="s">
        <v>354</v>
      </c>
      <c r="C56" s="379"/>
      <c r="D56" s="379"/>
      <c r="E56" s="362"/>
    </row>
    <row r="57" spans="1:5" s="506" customFormat="1" ht="12" customHeight="1" thickBot="1">
      <c r="A57" s="518" t="s">
        <v>355</v>
      </c>
      <c r="B57" s="391" t="s">
        <v>356</v>
      </c>
      <c r="C57" s="381"/>
      <c r="D57" s="381"/>
      <c r="E57" s="364"/>
    </row>
    <row r="58" spans="1:5" s="533" customFormat="1" ht="12" customHeight="1" thickBot="1">
      <c r="A58" s="351" t="s">
        <v>14</v>
      </c>
      <c r="B58" s="368" t="s">
        <v>357</v>
      </c>
      <c r="C58" s="378">
        <f>SUM(C59:C61)</f>
        <v>0</v>
      </c>
      <c r="D58" s="378">
        <f>SUM(D59:D61)</f>
        <v>0</v>
      </c>
      <c r="E58" s="361">
        <f>SUM(E59:E61)</f>
        <v>0</v>
      </c>
    </row>
    <row r="59" spans="1:5" s="533" customFormat="1" ht="12" customHeight="1">
      <c r="A59" s="516" t="s">
        <v>129</v>
      </c>
      <c r="B59" s="389" t="s">
        <v>358</v>
      </c>
      <c r="C59" s="382"/>
      <c r="D59" s="382"/>
      <c r="E59" s="365"/>
    </row>
    <row r="60" spans="1:5" s="533" customFormat="1" ht="12" customHeight="1">
      <c r="A60" s="517" t="s">
        <v>130</v>
      </c>
      <c r="B60" s="390" t="s">
        <v>546</v>
      </c>
      <c r="C60" s="382"/>
      <c r="D60" s="382"/>
      <c r="E60" s="365"/>
    </row>
    <row r="61" spans="1:5" s="533" customFormat="1" ht="12" customHeight="1">
      <c r="A61" s="517" t="s">
        <v>156</v>
      </c>
      <c r="B61" s="390" t="s">
        <v>360</v>
      </c>
      <c r="C61" s="382"/>
      <c r="D61" s="382"/>
      <c r="E61" s="365"/>
    </row>
    <row r="62" spans="1:5" s="533" customFormat="1" ht="12" customHeight="1" thickBot="1">
      <c r="A62" s="518" t="s">
        <v>361</v>
      </c>
      <c r="B62" s="391" t="s">
        <v>362</v>
      </c>
      <c r="C62" s="382"/>
      <c r="D62" s="382"/>
      <c r="E62" s="365"/>
    </row>
    <row r="63" spans="1:5" s="533" customFormat="1" ht="12" customHeight="1" thickBot="1">
      <c r="A63" s="351" t="s">
        <v>15</v>
      </c>
      <c r="B63" s="347" t="s">
        <v>363</v>
      </c>
      <c r="C63" s="384">
        <f>+C8+C15+C22+C29+C36+C47+C53+C58</f>
        <v>0</v>
      </c>
      <c r="D63" s="384">
        <f>+D8+D15+D22+D29+D36+D47+D53+D58</f>
        <v>0</v>
      </c>
      <c r="E63" s="397">
        <f>+E8+E15+E22+E29+E36+E47+E53+E58</f>
        <v>0</v>
      </c>
    </row>
    <row r="64" spans="1:5" s="533" customFormat="1" ht="12" customHeight="1" thickBot="1">
      <c r="A64" s="519" t="s">
        <v>544</v>
      </c>
      <c r="B64" s="368" t="s">
        <v>365</v>
      </c>
      <c r="C64" s="378">
        <f>SUM(C65:C67)</f>
        <v>0</v>
      </c>
      <c r="D64" s="378">
        <f>SUM(D65:D67)</f>
        <v>0</v>
      </c>
      <c r="E64" s="361">
        <f>SUM(E65:E67)</f>
        <v>0</v>
      </c>
    </row>
    <row r="65" spans="1:5" s="533" customFormat="1" ht="12" customHeight="1">
      <c r="A65" s="516" t="s">
        <v>366</v>
      </c>
      <c r="B65" s="389" t="s">
        <v>367</v>
      </c>
      <c r="C65" s="382"/>
      <c r="D65" s="382"/>
      <c r="E65" s="365"/>
    </row>
    <row r="66" spans="1:5" s="533" customFormat="1" ht="12" customHeight="1">
      <c r="A66" s="517" t="s">
        <v>368</v>
      </c>
      <c r="B66" s="390" t="s">
        <v>369</v>
      </c>
      <c r="C66" s="382"/>
      <c r="D66" s="382"/>
      <c r="E66" s="365"/>
    </row>
    <row r="67" spans="1:5" s="533" customFormat="1" ht="12" customHeight="1" thickBot="1">
      <c r="A67" s="518" t="s">
        <v>370</v>
      </c>
      <c r="B67" s="512" t="s">
        <v>371</v>
      </c>
      <c r="C67" s="382"/>
      <c r="D67" s="382"/>
      <c r="E67" s="365"/>
    </row>
    <row r="68" spans="1:5" s="533" customFormat="1" ht="12" customHeight="1" thickBot="1">
      <c r="A68" s="519" t="s">
        <v>372</v>
      </c>
      <c r="B68" s="368" t="s">
        <v>373</v>
      </c>
      <c r="C68" s="378">
        <f>SUM(C69:C72)</f>
        <v>0</v>
      </c>
      <c r="D68" s="378">
        <f>SUM(D69:D72)</f>
        <v>0</v>
      </c>
      <c r="E68" s="361">
        <f>SUM(E69:E72)</f>
        <v>0</v>
      </c>
    </row>
    <row r="69" spans="1:5" s="533" customFormat="1" ht="12" customHeight="1">
      <c r="A69" s="516" t="s">
        <v>106</v>
      </c>
      <c r="B69" s="389" t="s">
        <v>374</v>
      </c>
      <c r="C69" s="382"/>
      <c r="D69" s="382"/>
      <c r="E69" s="365"/>
    </row>
    <row r="70" spans="1:5" s="533" customFormat="1" ht="12" customHeight="1">
      <c r="A70" s="517" t="s">
        <v>107</v>
      </c>
      <c r="B70" s="390" t="s">
        <v>375</v>
      </c>
      <c r="C70" s="382"/>
      <c r="D70" s="382"/>
      <c r="E70" s="365"/>
    </row>
    <row r="71" spans="1:5" s="533" customFormat="1" ht="12" customHeight="1">
      <c r="A71" s="517" t="s">
        <v>376</v>
      </c>
      <c r="B71" s="390" t="s">
        <v>377</v>
      </c>
      <c r="C71" s="382"/>
      <c r="D71" s="382"/>
      <c r="E71" s="365"/>
    </row>
    <row r="72" spans="1:5" s="533" customFormat="1" ht="12" customHeight="1" thickBot="1">
      <c r="A72" s="518" t="s">
        <v>378</v>
      </c>
      <c r="B72" s="391" t="s">
        <v>379</v>
      </c>
      <c r="C72" s="382"/>
      <c r="D72" s="382"/>
      <c r="E72" s="365"/>
    </row>
    <row r="73" spans="1:5" s="533" customFormat="1" ht="12" customHeight="1" thickBot="1">
      <c r="A73" s="519" t="s">
        <v>380</v>
      </c>
      <c r="B73" s="368" t="s">
        <v>381</v>
      </c>
      <c r="C73" s="378">
        <f>SUM(C74:C75)</f>
        <v>0</v>
      </c>
      <c r="D73" s="378">
        <f>SUM(D74:D75)</f>
        <v>0</v>
      </c>
      <c r="E73" s="361">
        <f>SUM(E74:E75)</f>
        <v>0</v>
      </c>
    </row>
    <row r="74" spans="1:5" s="533" customFormat="1" ht="12" customHeight="1">
      <c r="A74" s="516" t="s">
        <v>382</v>
      </c>
      <c r="B74" s="389" t="s">
        <v>383</v>
      </c>
      <c r="C74" s="382"/>
      <c r="D74" s="382"/>
      <c r="E74" s="365"/>
    </row>
    <row r="75" spans="1:5" s="533" customFormat="1" ht="12" customHeight="1" thickBot="1">
      <c r="A75" s="518" t="s">
        <v>384</v>
      </c>
      <c r="B75" s="391" t="s">
        <v>385</v>
      </c>
      <c r="C75" s="382"/>
      <c r="D75" s="382"/>
      <c r="E75" s="365"/>
    </row>
    <row r="76" spans="1:5" s="533" customFormat="1" ht="12" customHeight="1" thickBot="1">
      <c r="A76" s="519" t="s">
        <v>386</v>
      </c>
      <c r="B76" s="368" t="s">
        <v>387</v>
      </c>
      <c r="C76" s="378">
        <f>SUM(C77:C79)</f>
        <v>0</v>
      </c>
      <c r="D76" s="378">
        <f>SUM(D77:D79)</f>
        <v>0</v>
      </c>
      <c r="E76" s="361">
        <f>SUM(E77:E79)</f>
        <v>0</v>
      </c>
    </row>
    <row r="77" spans="1:5" s="533" customFormat="1" ht="12" customHeight="1">
      <c r="A77" s="516" t="s">
        <v>388</v>
      </c>
      <c r="B77" s="389" t="s">
        <v>389</v>
      </c>
      <c r="C77" s="382"/>
      <c r="D77" s="382"/>
      <c r="E77" s="365"/>
    </row>
    <row r="78" spans="1:5" s="533" customFormat="1" ht="12" customHeight="1">
      <c r="A78" s="517" t="s">
        <v>390</v>
      </c>
      <c r="B78" s="390" t="s">
        <v>391</v>
      </c>
      <c r="C78" s="382"/>
      <c r="D78" s="382"/>
      <c r="E78" s="365"/>
    </row>
    <row r="79" spans="1:5" s="533" customFormat="1" ht="12" customHeight="1" thickBot="1">
      <c r="A79" s="518" t="s">
        <v>392</v>
      </c>
      <c r="B79" s="391" t="s">
        <v>393</v>
      </c>
      <c r="C79" s="382"/>
      <c r="D79" s="382"/>
      <c r="E79" s="365"/>
    </row>
    <row r="80" spans="1:5" s="533" customFormat="1" ht="12" customHeight="1" thickBot="1">
      <c r="A80" s="519" t="s">
        <v>394</v>
      </c>
      <c r="B80" s="368" t="s">
        <v>395</v>
      </c>
      <c r="C80" s="378">
        <f>SUM(C81:C84)</f>
        <v>0</v>
      </c>
      <c r="D80" s="378">
        <f>SUM(D81:D84)</f>
        <v>0</v>
      </c>
      <c r="E80" s="361">
        <f>SUM(E81:E84)</f>
        <v>0</v>
      </c>
    </row>
    <row r="81" spans="1:5" s="533" customFormat="1" ht="12" customHeight="1">
      <c r="A81" s="520" t="s">
        <v>396</v>
      </c>
      <c r="B81" s="389" t="s">
        <v>397</v>
      </c>
      <c r="C81" s="382"/>
      <c r="D81" s="382"/>
      <c r="E81" s="365"/>
    </row>
    <row r="82" spans="1:5" s="533" customFormat="1" ht="12" customHeight="1">
      <c r="A82" s="521" t="s">
        <v>398</v>
      </c>
      <c r="B82" s="390" t="s">
        <v>399</v>
      </c>
      <c r="C82" s="382"/>
      <c r="D82" s="382"/>
      <c r="E82" s="365"/>
    </row>
    <row r="83" spans="1:5" s="533" customFormat="1" ht="12" customHeight="1">
      <c r="A83" s="521" t="s">
        <v>400</v>
      </c>
      <c r="B83" s="390" t="s">
        <v>401</v>
      </c>
      <c r="C83" s="382"/>
      <c r="D83" s="382"/>
      <c r="E83" s="365"/>
    </row>
    <row r="84" spans="1:5" s="533" customFormat="1" ht="12" customHeight="1" thickBot="1">
      <c r="A84" s="522" t="s">
        <v>402</v>
      </c>
      <c r="B84" s="391" t="s">
        <v>403</v>
      </c>
      <c r="C84" s="382"/>
      <c r="D84" s="382"/>
      <c r="E84" s="365"/>
    </row>
    <row r="85" spans="1:5" s="533" customFormat="1" ht="12" customHeight="1" thickBot="1">
      <c r="A85" s="519" t="s">
        <v>404</v>
      </c>
      <c r="B85" s="368" t="s">
        <v>405</v>
      </c>
      <c r="C85" s="403"/>
      <c r="D85" s="403"/>
      <c r="E85" s="404"/>
    </row>
    <row r="86" spans="1:5" s="533" customFormat="1" ht="12" customHeight="1" thickBot="1">
      <c r="A86" s="519" t="s">
        <v>406</v>
      </c>
      <c r="B86" s="513" t="s">
        <v>407</v>
      </c>
      <c r="C86" s="384">
        <f>+C64+C68+C73+C76+C80+C85</f>
        <v>0</v>
      </c>
      <c r="D86" s="384">
        <f>+D64+D68+D73+D76+D80+D85</f>
        <v>0</v>
      </c>
      <c r="E86" s="397">
        <f>+E64+E68+E73+E76+E80+E85</f>
        <v>0</v>
      </c>
    </row>
    <row r="87" spans="1:5" s="533" customFormat="1" ht="12" customHeight="1" thickBot="1">
      <c r="A87" s="523" t="s">
        <v>408</v>
      </c>
      <c r="B87" s="514" t="s">
        <v>545</v>
      </c>
      <c r="C87" s="384">
        <f>+C63+C86</f>
        <v>0</v>
      </c>
      <c r="D87" s="384">
        <f>+D63+D86</f>
        <v>0</v>
      </c>
      <c r="E87" s="397">
        <f>+E63+E86</f>
        <v>0</v>
      </c>
    </row>
    <row r="88" spans="1:5" s="533" customFormat="1" ht="15" customHeight="1">
      <c r="A88" s="489"/>
      <c r="B88" s="490"/>
      <c r="C88" s="504"/>
      <c r="D88" s="504"/>
      <c r="E88" s="504"/>
    </row>
    <row r="89" spans="1:5" ht="13.5" thickBot="1">
      <c r="A89" s="491"/>
      <c r="B89" s="492"/>
      <c r="C89" s="505"/>
      <c r="D89" s="505"/>
      <c r="E89" s="505"/>
    </row>
    <row r="90" spans="1:5" s="532" customFormat="1" ht="16.5" customHeight="1" thickBot="1">
      <c r="A90" s="758" t="s">
        <v>43</v>
      </c>
      <c r="B90" s="759"/>
      <c r="C90" s="759"/>
      <c r="D90" s="759"/>
      <c r="E90" s="760"/>
    </row>
    <row r="91" spans="1:5" s="309" customFormat="1" ht="12" customHeight="1" thickBot="1">
      <c r="A91" s="511" t="s">
        <v>7</v>
      </c>
      <c r="B91" s="350" t="s">
        <v>416</v>
      </c>
      <c r="C91" s="377">
        <f>SUM(C92:C96)</f>
        <v>0</v>
      </c>
      <c r="D91" s="377">
        <f>SUM(D92:D96)</f>
        <v>0</v>
      </c>
      <c r="E91" s="332">
        <f>SUM(E92:E96)</f>
        <v>0</v>
      </c>
    </row>
    <row r="92" spans="1:5" ht="12" customHeight="1">
      <c r="A92" s="524" t="s">
        <v>69</v>
      </c>
      <c r="B92" s="336" t="s">
        <v>37</v>
      </c>
      <c r="C92" s="78"/>
      <c r="D92" s="78"/>
      <c r="E92" s="331"/>
    </row>
    <row r="93" spans="1:5" ht="12" customHeight="1">
      <c r="A93" s="517" t="s">
        <v>70</v>
      </c>
      <c r="B93" s="334" t="s">
        <v>131</v>
      </c>
      <c r="C93" s="379"/>
      <c r="D93" s="379"/>
      <c r="E93" s="362"/>
    </row>
    <row r="94" spans="1:5" ht="12" customHeight="1">
      <c r="A94" s="517" t="s">
        <v>71</v>
      </c>
      <c r="B94" s="334" t="s">
        <v>98</v>
      </c>
      <c r="C94" s="381"/>
      <c r="D94" s="381"/>
      <c r="E94" s="364"/>
    </row>
    <row r="95" spans="1:5" ht="12" customHeight="1">
      <c r="A95" s="517" t="s">
        <v>72</v>
      </c>
      <c r="B95" s="337" t="s">
        <v>132</v>
      </c>
      <c r="C95" s="381"/>
      <c r="D95" s="381"/>
      <c r="E95" s="364"/>
    </row>
    <row r="96" spans="1:5" ht="12" customHeight="1">
      <c r="A96" s="517" t="s">
        <v>81</v>
      </c>
      <c r="B96" s="345" t="s">
        <v>133</v>
      </c>
      <c r="C96" s="381"/>
      <c r="D96" s="381"/>
      <c r="E96" s="364"/>
    </row>
    <row r="97" spans="1:5" ht="12" customHeight="1">
      <c r="A97" s="517" t="s">
        <v>73</v>
      </c>
      <c r="B97" s="334" t="s">
        <v>417</v>
      </c>
      <c r="C97" s="381"/>
      <c r="D97" s="381"/>
      <c r="E97" s="364"/>
    </row>
    <row r="98" spans="1:5" ht="12" customHeight="1">
      <c r="A98" s="517" t="s">
        <v>74</v>
      </c>
      <c r="B98" s="357" t="s">
        <v>418</v>
      </c>
      <c r="C98" s="381"/>
      <c r="D98" s="381"/>
      <c r="E98" s="364"/>
    </row>
    <row r="99" spans="1:5" ht="12" customHeight="1">
      <c r="A99" s="517" t="s">
        <v>82</v>
      </c>
      <c r="B99" s="358" t="s">
        <v>419</v>
      </c>
      <c r="C99" s="381"/>
      <c r="D99" s="381"/>
      <c r="E99" s="364"/>
    </row>
    <row r="100" spans="1:5" ht="12" customHeight="1">
      <c r="A100" s="517" t="s">
        <v>83</v>
      </c>
      <c r="B100" s="358" t="s">
        <v>420</v>
      </c>
      <c r="C100" s="381"/>
      <c r="D100" s="381"/>
      <c r="E100" s="364"/>
    </row>
    <row r="101" spans="1:5" ht="12" customHeight="1">
      <c r="A101" s="517" t="s">
        <v>84</v>
      </c>
      <c r="B101" s="357" t="s">
        <v>421</v>
      </c>
      <c r="C101" s="381"/>
      <c r="D101" s="381"/>
      <c r="E101" s="364"/>
    </row>
    <row r="102" spans="1:5" ht="12" customHeight="1">
      <c r="A102" s="517" t="s">
        <v>85</v>
      </c>
      <c r="B102" s="357" t="s">
        <v>422</v>
      </c>
      <c r="C102" s="381"/>
      <c r="D102" s="381"/>
      <c r="E102" s="364"/>
    </row>
    <row r="103" spans="1:5" ht="12" customHeight="1">
      <c r="A103" s="517" t="s">
        <v>87</v>
      </c>
      <c r="B103" s="358" t="s">
        <v>423</v>
      </c>
      <c r="C103" s="381"/>
      <c r="D103" s="381"/>
      <c r="E103" s="364"/>
    </row>
    <row r="104" spans="1:5" ht="12" customHeight="1">
      <c r="A104" s="525" t="s">
        <v>134</v>
      </c>
      <c r="B104" s="359" t="s">
        <v>424</v>
      </c>
      <c r="C104" s="381"/>
      <c r="D104" s="381"/>
      <c r="E104" s="364"/>
    </row>
    <row r="105" spans="1:5" ht="12" customHeight="1">
      <c r="A105" s="517" t="s">
        <v>425</v>
      </c>
      <c r="B105" s="359" t="s">
        <v>426</v>
      </c>
      <c r="C105" s="381"/>
      <c r="D105" s="381"/>
      <c r="E105" s="364"/>
    </row>
    <row r="106" spans="1:5" s="309" customFormat="1" ht="12" customHeight="1" thickBot="1">
      <c r="A106" s="526" t="s">
        <v>427</v>
      </c>
      <c r="B106" s="360" t="s">
        <v>428</v>
      </c>
      <c r="C106" s="79"/>
      <c r="D106" s="79"/>
      <c r="E106" s="325"/>
    </row>
    <row r="107" spans="1:5" ht="12" customHeight="1" thickBot="1">
      <c r="A107" s="351" t="s">
        <v>8</v>
      </c>
      <c r="B107" s="349" t="s">
        <v>429</v>
      </c>
      <c r="C107" s="378">
        <f>+C108+C110+C112</f>
        <v>0</v>
      </c>
      <c r="D107" s="378">
        <f>+D108+D110+D112</f>
        <v>0</v>
      </c>
      <c r="E107" s="361">
        <f>+E108+E110+E112</f>
        <v>0</v>
      </c>
    </row>
    <row r="108" spans="1:5" ht="12" customHeight="1">
      <c r="A108" s="516" t="s">
        <v>75</v>
      </c>
      <c r="B108" s="334" t="s">
        <v>155</v>
      </c>
      <c r="C108" s="380"/>
      <c r="D108" s="380"/>
      <c r="E108" s="363"/>
    </row>
    <row r="109" spans="1:5" ht="12" customHeight="1">
      <c r="A109" s="516" t="s">
        <v>76</v>
      </c>
      <c r="B109" s="338" t="s">
        <v>430</v>
      </c>
      <c r="C109" s="380"/>
      <c r="D109" s="380"/>
      <c r="E109" s="363"/>
    </row>
    <row r="110" spans="1:5" ht="12" customHeight="1">
      <c r="A110" s="516" t="s">
        <v>77</v>
      </c>
      <c r="B110" s="338" t="s">
        <v>135</v>
      </c>
      <c r="C110" s="379"/>
      <c r="D110" s="379"/>
      <c r="E110" s="362"/>
    </row>
    <row r="111" spans="1:5" ht="12" customHeight="1">
      <c r="A111" s="516" t="s">
        <v>78</v>
      </c>
      <c r="B111" s="338" t="s">
        <v>431</v>
      </c>
      <c r="C111" s="379"/>
      <c r="D111" s="379"/>
      <c r="E111" s="362"/>
    </row>
    <row r="112" spans="1:5" ht="12" customHeight="1">
      <c r="A112" s="516" t="s">
        <v>79</v>
      </c>
      <c r="B112" s="370" t="s">
        <v>157</v>
      </c>
      <c r="C112" s="379"/>
      <c r="D112" s="379"/>
      <c r="E112" s="362"/>
    </row>
    <row r="113" spans="1:5" ht="12" customHeight="1">
      <c r="A113" s="516" t="s">
        <v>86</v>
      </c>
      <c r="B113" s="369" t="s">
        <v>432</v>
      </c>
      <c r="C113" s="379"/>
      <c r="D113" s="379"/>
      <c r="E113" s="362"/>
    </row>
    <row r="114" spans="1:5" ht="12" customHeight="1">
      <c r="A114" s="516" t="s">
        <v>88</v>
      </c>
      <c r="B114" s="385" t="s">
        <v>433</v>
      </c>
      <c r="C114" s="379"/>
      <c r="D114" s="379"/>
      <c r="E114" s="362"/>
    </row>
    <row r="115" spans="1:5" ht="12" customHeight="1">
      <c r="A115" s="516" t="s">
        <v>136</v>
      </c>
      <c r="B115" s="358" t="s">
        <v>420</v>
      </c>
      <c r="C115" s="379"/>
      <c r="D115" s="379"/>
      <c r="E115" s="362"/>
    </row>
    <row r="116" spans="1:5" ht="12" customHeight="1">
      <c r="A116" s="516" t="s">
        <v>137</v>
      </c>
      <c r="B116" s="358" t="s">
        <v>434</v>
      </c>
      <c r="C116" s="379"/>
      <c r="D116" s="379"/>
      <c r="E116" s="362"/>
    </row>
    <row r="117" spans="1:5" ht="12" customHeight="1">
      <c r="A117" s="516" t="s">
        <v>138</v>
      </c>
      <c r="B117" s="358" t="s">
        <v>435</v>
      </c>
      <c r="C117" s="379"/>
      <c r="D117" s="379"/>
      <c r="E117" s="362"/>
    </row>
    <row r="118" spans="1:5" ht="12" customHeight="1">
      <c r="A118" s="516" t="s">
        <v>436</v>
      </c>
      <c r="B118" s="358" t="s">
        <v>423</v>
      </c>
      <c r="C118" s="379"/>
      <c r="D118" s="379"/>
      <c r="E118" s="362"/>
    </row>
    <row r="119" spans="1:5" ht="12" customHeight="1">
      <c r="A119" s="516" t="s">
        <v>437</v>
      </c>
      <c r="B119" s="358" t="s">
        <v>438</v>
      </c>
      <c r="C119" s="379"/>
      <c r="D119" s="379"/>
      <c r="E119" s="362"/>
    </row>
    <row r="120" spans="1:5" ht="12" customHeight="1" thickBot="1">
      <c r="A120" s="525" t="s">
        <v>439</v>
      </c>
      <c r="B120" s="358" t="s">
        <v>440</v>
      </c>
      <c r="C120" s="381"/>
      <c r="D120" s="381"/>
      <c r="E120" s="364"/>
    </row>
    <row r="121" spans="1:5" ht="12" customHeight="1" thickBot="1">
      <c r="A121" s="351" t="s">
        <v>9</v>
      </c>
      <c r="B121" s="354" t="s">
        <v>441</v>
      </c>
      <c r="C121" s="378">
        <f>+C122+C123</f>
        <v>0</v>
      </c>
      <c r="D121" s="378">
        <f>+D122+D123</f>
        <v>0</v>
      </c>
      <c r="E121" s="361">
        <f>+E122+E123</f>
        <v>0</v>
      </c>
    </row>
    <row r="122" spans="1:5" ht="12" customHeight="1">
      <c r="A122" s="516" t="s">
        <v>58</v>
      </c>
      <c r="B122" s="335" t="s">
        <v>45</v>
      </c>
      <c r="C122" s="380"/>
      <c r="D122" s="380"/>
      <c r="E122" s="363"/>
    </row>
    <row r="123" spans="1:5" ht="12" customHeight="1" thickBot="1">
      <c r="A123" s="518" t="s">
        <v>59</v>
      </c>
      <c r="B123" s="338" t="s">
        <v>46</v>
      </c>
      <c r="C123" s="381"/>
      <c r="D123" s="381"/>
      <c r="E123" s="364"/>
    </row>
    <row r="124" spans="1:5" ht="12" customHeight="1" thickBot="1">
      <c r="A124" s="351" t="s">
        <v>10</v>
      </c>
      <c r="B124" s="354" t="s">
        <v>442</v>
      </c>
      <c r="C124" s="378">
        <f>+C91+C107+C121</f>
        <v>0</v>
      </c>
      <c r="D124" s="378">
        <f>+D91+D107+D121</f>
        <v>0</v>
      </c>
      <c r="E124" s="361">
        <f>+E91+E107+E121</f>
        <v>0</v>
      </c>
    </row>
    <row r="125" spans="1:5" ht="12" customHeight="1" thickBot="1">
      <c r="A125" s="351" t="s">
        <v>11</v>
      </c>
      <c r="B125" s="354" t="s">
        <v>547</v>
      </c>
      <c r="C125" s="378">
        <f>+C126+C127+C128</f>
        <v>0</v>
      </c>
      <c r="D125" s="378">
        <f>+D126+D127+D128</f>
        <v>0</v>
      </c>
      <c r="E125" s="361">
        <f>+E126+E127+E128</f>
        <v>0</v>
      </c>
    </row>
    <row r="126" spans="1:5" ht="12" customHeight="1">
      <c r="A126" s="516" t="s">
        <v>62</v>
      </c>
      <c r="B126" s="335" t="s">
        <v>444</v>
      </c>
      <c r="C126" s="379"/>
      <c r="D126" s="379"/>
      <c r="E126" s="362"/>
    </row>
    <row r="127" spans="1:5" ht="12" customHeight="1">
      <c r="A127" s="516" t="s">
        <v>63</v>
      </c>
      <c r="B127" s="335" t="s">
        <v>445</v>
      </c>
      <c r="C127" s="379"/>
      <c r="D127" s="379"/>
      <c r="E127" s="362"/>
    </row>
    <row r="128" spans="1:5" ht="12" customHeight="1" thickBot="1">
      <c r="A128" s="525" t="s">
        <v>64</v>
      </c>
      <c r="B128" s="333" t="s">
        <v>446</v>
      </c>
      <c r="C128" s="379"/>
      <c r="D128" s="379"/>
      <c r="E128" s="362"/>
    </row>
    <row r="129" spans="1:5" ht="12" customHeight="1" thickBot="1">
      <c r="A129" s="351" t="s">
        <v>12</v>
      </c>
      <c r="B129" s="354" t="s">
        <v>447</v>
      </c>
      <c r="C129" s="378">
        <f>+C130+C131+C132+C133</f>
        <v>0</v>
      </c>
      <c r="D129" s="378">
        <f>+D130+D131+D132+D133</f>
        <v>0</v>
      </c>
      <c r="E129" s="361">
        <f>+E130+E131+E132+E133</f>
        <v>0</v>
      </c>
    </row>
    <row r="130" spans="1:5" ht="12" customHeight="1">
      <c r="A130" s="516" t="s">
        <v>65</v>
      </c>
      <c r="B130" s="335" t="s">
        <v>448</v>
      </c>
      <c r="C130" s="379"/>
      <c r="D130" s="379"/>
      <c r="E130" s="362"/>
    </row>
    <row r="131" spans="1:5" ht="12" customHeight="1">
      <c r="A131" s="516" t="s">
        <v>66</v>
      </c>
      <c r="B131" s="335" t="s">
        <v>449</v>
      </c>
      <c r="C131" s="379"/>
      <c r="D131" s="379"/>
      <c r="E131" s="362"/>
    </row>
    <row r="132" spans="1:5" ht="12" customHeight="1">
      <c r="A132" s="516" t="s">
        <v>344</v>
      </c>
      <c r="B132" s="335" t="s">
        <v>450</v>
      </c>
      <c r="C132" s="379"/>
      <c r="D132" s="379"/>
      <c r="E132" s="362"/>
    </row>
    <row r="133" spans="1:5" s="309" customFormat="1" ht="12" customHeight="1" thickBot="1">
      <c r="A133" s="525" t="s">
        <v>346</v>
      </c>
      <c r="B133" s="333" t="s">
        <v>451</v>
      </c>
      <c r="C133" s="379"/>
      <c r="D133" s="379"/>
      <c r="E133" s="362"/>
    </row>
    <row r="134" spans="1:11" ht="13.5" thickBot="1">
      <c r="A134" s="351" t="s">
        <v>13</v>
      </c>
      <c r="B134" s="354" t="s">
        <v>667</v>
      </c>
      <c r="C134" s="384">
        <f>+C135+C136+C138+C139+C137</f>
        <v>0</v>
      </c>
      <c r="D134" s="384">
        <f>+D135+D136+D138+D139+D137</f>
        <v>0</v>
      </c>
      <c r="E134" s="397">
        <f>+E135+E136+E138+E139+E137</f>
        <v>0</v>
      </c>
      <c r="K134" s="480"/>
    </row>
    <row r="135" spans="1:5" ht="12.75">
      <c r="A135" s="516" t="s">
        <v>67</v>
      </c>
      <c r="B135" s="335" t="s">
        <v>453</v>
      </c>
      <c r="C135" s="379"/>
      <c r="D135" s="379"/>
      <c r="E135" s="362"/>
    </row>
    <row r="136" spans="1:5" ht="12" customHeight="1">
      <c r="A136" s="516" t="s">
        <v>68</v>
      </c>
      <c r="B136" s="335" t="s">
        <v>454</v>
      </c>
      <c r="C136" s="379"/>
      <c r="D136" s="379"/>
      <c r="E136" s="362"/>
    </row>
    <row r="137" spans="1:5" ht="12" customHeight="1">
      <c r="A137" s="516" t="s">
        <v>353</v>
      </c>
      <c r="B137" s="335" t="s">
        <v>666</v>
      </c>
      <c r="C137" s="379"/>
      <c r="D137" s="379"/>
      <c r="E137" s="362"/>
    </row>
    <row r="138" spans="1:5" s="309" customFormat="1" ht="12" customHeight="1">
      <c r="A138" s="516" t="s">
        <v>355</v>
      </c>
      <c r="B138" s="335" t="s">
        <v>455</v>
      </c>
      <c r="C138" s="379"/>
      <c r="D138" s="379"/>
      <c r="E138" s="362"/>
    </row>
    <row r="139" spans="1:5" s="309" customFormat="1" ht="12" customHeight="1" thickBot="1">
      <c r="A139" s="525" t="s">
        <v>665</v>
      </c>
      <c r="B139" s="333" t="s">
        <v>456</v>
      </c>
      <c r="C139" s="379"/>
      <c r="D139" s="379"/>
      <c r="E139" s="362"/>
    </row>
    <row r="140" spans="1:5" s="309" customFormat="1" ht="12" customHeight="1" thickBot="1">
      <c r="A140" s="351" t="s">
        <v>14</v>
      </c>
      <c r="B140" s="354" t="s">
        <v>548</v>
      </c>
      <c r="C140" s="80">
        <f>+C141+C142+C143+C144</f>
        <v>0</v>
      </c>
      <c r="D140" s="80">
        <f>+D141+D142+D143+D144</f>
        <v>0</v>
      </c>
      <c r="E140" s="330">
        <f>+E141+E142+E143+E144</f>
        <v>0</v>
      </c>
    </row>
    <row r="141" spans="1:5" s="309" customFormat="1" ht="12" customHeight="1">
      <c r="A141" s="516" t="s">
        <v>129</v>
      </c>
      <c r="B141" s="335" t="s">
        <v>458</v>
      </c>
      <c r="C141" s="379"/>
      <c r="D141" s="379"/>
      <c r="E141" s="362"/>
    </row>
    <row r="142" spans="1:5" s="309" customFormat="1" ht="12" customHeight="1">
      <c r="A142" s="516" t="s">
        <v>130</v>
      </c>
      <c r="B142" s="335" t="s">
        <v>459</v>
      </c>
      <c r="C142" s="379"/>
      <c r="D142" s="379"/>
      <c r="E142" s="362"/>
    </row>
    <row r="143" spans="1:5" s="309" customFormat="1" ht="12" customHeight="1">
      <c r="A143" s="516" t="s">
        <v>156</v>
      </c>
      <c r="B143" s="335" t="s">
        <v>460</v>
      </c>
      <c r="C143" s="379"/>
      <c r="D143" s="379"/>
      <c r="E143" s="362"/>
    </row>
    <row r="144" spans="1:5" ht="12.75" customHeight="1" thickBot="1">
      <c r="A144" s="516" t="s">
        <v>361</v>
      </c>
      <c r="B144" s="335" t="s">
        <v>461</v>
      </c>
      <c r="C144" s="379"/>
      <c r="D144" s="379"/>
      <c r="E144" s="362"/>
    </row>
    <row r="145" spans="1:5" ht="12" customHeight="1" thickBot="1">
      <c r="A145" s="351" t="s">
        <v>15</v>
      </c>
      <c r="B145" s="354" t="s">
        <v>462</v>
      </c>
      <c r="C145" s="328">
        <f>+C125+C129+C134+C140</f>
        <v>0</v>
      </c>
      <c r="D145" s="328">
        <f>+D125+D129+D134+D140</f>
        <v>0</v>
      </c>
      <c r="E145" s="329">
        <f>+E125+E129+E134+E140</f>
        <v>0</v>
      </c>
    </row>
    <row r="146" spans="1:5" ht="15" customHeight="1" thickBot="1">
      <c r="A146" s="527" t="s">
        <v>16</v>
      </c>
      <c r="B146" s="374" t="s">
        <v>463</v>
      </c>
      <c r="C146" s="328">
        <f>+C124+C145</f>
        <v>0</v>
      </c>
      <c r="D146" s="328">
        <f>+D124+D145</f>
        <v>0</v>
      </c>
      <c r="E146" s="329">
        <f>+E124+E145</f>
        <v>0</v>
      </c>
    </row>
    <row r="147" spans="1:5" ht="13.5" thickBot="1">
      <c r="A147" s="43"/>
      <c r="B147" s="44"/>
      <c r="C147" s="45"/>
      <c r="D147" s="45"/>
      <c r="E147" s="45"/>
    </row>
    <row r="148" spans="1:5" ht="15" customHeight="1" thickBot="1">
      <c r="A148" s="635" t="s">
        <v>735</v>
      </c>
      <c r="B148" s="636"/>
      <c r="C148" s="91"/>
      <c r="D148" s="92"/>
      <c r="E148" s="89"/>
    </row>
    <row r="149" spans="1:5" ht="14.25" customHeight="1" thickBot="1">
      <c r="A149" s="637" t="s">
        <v>734</v>
      </c>
      <c r="B149" s="638"/>
      <c r="C149" s="91"/>
      <c r="D149" s="92"/>
      <c r="E149" s="89"/>
    </row>
  </sheetData>
  <sheetProtection formatCells="0"/>
  <mergeCells count="5">
    <mergeCell ref="B2:D2"/>
    <mergeCell ref="B3:D3"/>
    <mergeCell ref="A7:E7"/>
    <mergeCell ref="A90:E90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58"/>
  <sheetViews>
    <sheetView zoomScaleSheetLayoutView="115" workbookViewId="0" topLeftCell="A1">
      <selection activeCell="C1" sqref="C1:E1"/>
    </sheetView>
  </sheetViews>
  <sheetFormatPr defaultColWidth="9.00390625" defaultRowHeight="12.75"/>
  <cols>
    <col min="1" max="1" width="16.00390625" style="548" customWidth="1"/>
    <col min="2" max="2" width="59.375" style="33" customWidth="1"/>
    <col min="3" max="5" width="15.875" style="33" customWidth="1"/>
    <col min="6" max="16384" width="9.375" style="33" customWidth="1"/>
  </cols>
  <sheetData>
    <row r="1" spans="1:5" s="484" customFormat="1" ht="21" customHeight="1" thickBot="1">
      <c r="A1" s="483"/>
      <c r="B1" s="485"/>
      <c r="C1" s="870" t="s">
        <v>783</v>
      </c>
      <c r="D1" s="868"/>
      <c r="E1" s="868"/>
    </row>
    <row r="2" spans="1:5" s="530" customFormat="1" ht="36">
      <c r="A2" s="510" t="s">
        <v>145</v>
      </c>
      <c r="B2" s="761" t="s">
        <v>549</v>
      </c>
      <c r="C2" s="762"/>
      <c r="D2" s="763"/>
      <c r="E2" s="553" t="s">
        <v>47</v>
      </c>
    </row>
    <row r="3" spans="1:5" s="530" customFormat="1" ht="24.75" thickBot="1">
      <c r="A3" s="528" t="s">
        <v>550</v>
      </c>
      <c r="B3" s="764" t="s">
        <v>542</v>
      </c>
      <c r="C3" s="767"/>
      <c r="D3" s="768"/>
      <c r="E3" s="554" t="s">
        <v>41</v>
      </c>
    </row>
    <row r="4" spans="1:5" s="531" customFormat="1" ht="15.75" customHeight="1" thickBot="1">
      <c r="A4" s="486"/>
      <c r="B4" s="486"/>
      <c r="C4" s="487"/>
      <c r="D4" s="487"/>
      <c r="E4" s="487" t="str">
        <f>'6.4. sz. mell'!E4</f>
        <v>Forintban!</v>
      </c>
    </row>
    <row r="5" spans="1:5" ht="24.75" thickBot="1">
      <c r="A5" s="319" t="s">
        <v>146</v>
      </c>
      <c r="B5" s="320" t="s">
        <v>733</v>
      </c>
      <c r="C5" s="77" t="s">
        <v>174</v>
      </c>
      <c r="D5" s="77" t="s">
        <v>179</v>
      </c>
      <c r="E5" s="488" t="s">
        <v>180</v>
      </c>
    </row>
    <row r="6" spans="1:5" s="532" customFormat="1" ht="12.75" customHeight="1" thickBot="1">
      <c r="A6" s="481" t="s">
        <v>410</v>
      </c>
      <c r="B6" s="482" t="s">
        <v>411</v>
      </c>
      <c r="C6" s="482" t="s">
        <v>412</v>
      </c>
      <c r="D6" s="90" t="s">
        <v>413</v>
      </c>
      <c r="E6" s="88" t="s">
        <v>414</v>
      </c>
    </row>
    <row r="7" spans="1:5" s="532" customFormat="1" ht="15.75" customHeight="1" thickBot="1">
      <c r="A7" s="758" t="s">
        <v>42</v>
      </c>
      <c r="B7" s="759"/>
      <c r="C7" s="759"/>
      <c r="D7" s="759"/>
      <c r="E7" s="760"/>
    </row>
    <row r="8" spans="1:5" s="506" customFormat="1" ht="12" customHeight="1" thickBot="1">
      <c r="A8" s="481" t="s">
        <v>7</v>
      </c>
      <c r="B8" s="544" t="s">
        <v>551</v>
      </c>
      <c r="C8" s="413">
        <f>SUM(C9:C18)</f>
        <v>0</v>
      </c>
      <c r="D8" s="413">
        <f>SUM(D9:D18)</f>
        <v>140971</v>
      </c>
      <c r="E8" s="550">
        <f>SUM(E9:E18)</f>
        <v>140971</v>
      </c>
    </row>
    <row r="9" spans="1:5" s="506" customFormat="1" ht="12" customHeight="1">
      <c r="A9" s="555" t="s">
        <v>69</v>
      </c>
      <c r="B9" s="336" t="s">
        <v>329</v>
      </c>
      <c r="C9" s="84"/>
      <c r="D9" s="84"/>
      <c r="E9" s="539"/>
    </row>
    <row r="10" spans="1:5" s="506" customFormat="1" ht="12" customHeight="1">
      <c r="A10" s="556" t="s">
        <v>70</v>
      </c>
      <c r="B10" s="334" t="s">
        <v>330</v>
      </c>
      <c r="C10" s="410"/>
      <c r="D10" s="410">
        <v>140000</v>
      </c>
      <c r="E10" s="93">
        <v>140000</v>
      </c>
    </row>
    <row r="11" spans="1:5" s="506" customFormat="1" ht="12" customHeight="1">
      <c r="A11" s="556" t="s">
        <v>71</v>
      </c>
      <c r="B11" s="334" t="s">
        <v>331</v>
      </c>
      <c r="C11" s="410"/>
      <c r="D11" s="410"/>
      <c r="E11" s="93"/>
    </row>
    <row r="12" spans="1:5" s="506" customFormat="1" ht="12" customHeight="1">
      <c r="A12" s="556" t="s">
        <v>72</v>
      </c>
      <c r="B12" s="334" t="s">
        <v>332</v>
      </c>
      <c r="C12" s="410"/>
      <c r="D12" s="410"/>
      <c r="E12" s="93"/>
    </row>
    <row r="13" spans="1:5" s="506" customFormat="1" ht="12" customHeight="1">
      <c r="A13" s="556" t="s">
        <v>105</v>
      </c>
      <c r="B13" s="334" t="s">
        <v>333</v>
      </c>
      <c r="C13" s="410"/>
      <c r="D13" s="410"/>
      <c r="E13" s="93"/>
    </row>
    <row r="14" spans="1:5" s="506" customFormat="1" ht="12" customHeight="1">
      <c r="A14" s="556" t="s">
        <v>73</v>
      </c>
      <c r="B14" s="334" t="s">
        <v>552</v>
      </c>
      <c r="C14" s="410"/>
      <c r="D14" s="410"/>
      <c r="E14" s="93"/>
    </row>
    <row r="15" spans="1:5" s="533" customFormat="1" ht="12" customHeight="1">
      <c r="A15" s="556" t="s">
        <v>74</v>
      </c>
      <c r="B15" s="333" t="s">
        <v>553</v>
      </c>
      <c r="C15" s="410"/>
      <c r="D15" s="410"/>
      <c r="E15" s="93"/>
    </row>
    <row r="16" spans="1:5" s="533" customFormat="1" ht="12" customHeight="1">
      <c r="A16" s="556" t="s">
        <v>82</v>
      </c>
      <c r="B16" s="334" t="s">
        <v>336</v>
      </c>
      <c r="C16" s="85"/>
      <c r="D16" s="85">
        <v>971</v>
      </c>
      <c r="E16" s="538">
        <v>971</v>
      </c>
    </row>
    <row r="17" spans="1:5" s="506" customFormat="1" ht="12" customHeight="1">
      <c r="A17" s="556" t="s">
        <v>83</v>
      </c>
      <c r="B17" s="334" t="s">
        <v>338</v>
      </c>
      <c r="C17" s="410"/>
      <c r="D17" s="410"/>
      <c r="E17" s="93"/>
    </row>
    <row r="18" spans="1:5" s="533" customFormat="1" ht="12" customHeight="1" thickBot="1">
      <c r="A18" s="556" t="s">
        <v>84</v>
      </c>
      <c r="B18" s="333" t="s">
        <v>340</v>
      </c>
      <c r="C18" s="412"/>
      <c r="D18" s="412"/>
      <c r="E18" s="534"/>
    </row>
    <row r="19" spans="1:5" s="533" customFormat="1" ht="21.75" thickBot="1">
      <c r="A19" s="481" t="s">
        <v>8</v>
      </c>
      <c r="B19" s="544" t="s">
        <v>554</v>
      </c>
      <c r="C19" s="413">
        <f>SUM(C20:C22)</f>
        <v>11853484</v>
      </c>
      <c r="D19" s="413">
        <f>SUM(D20:D22)</f>
        <v>20510449</v>
      </c>
      <c r="E19" s="550">
        <f>SUM(E20:E22)</f>
        <v>12710815</v>
      </c>
    </row>
    <row r="20" spans="1:5" s="533" customFormat="1" ht="12" customHeight="1">
      <c r="A20" s="556" t="s">
        <v>75</v>
      </c>
      <c r="B20" s="335" t="s">
        <v>310</v>
      </c>
      <c r="C20" s="410"/>
      <c r="D20" s="410"/>
      <c r="E20" s="93"/>
    </row>
    <row r="21" spans="1:5" s="533" customFormat="1" ht="12" customHeight="1">
      <c r="A21" s="556" t="s">
        <v>76</v>
      </c>
      <c r="B21" s="334" t="s">
        <v>555</v>
      </c>
      <c r="C21" s="410"/>
      <c r="D21" s="410"/>
      <c r="E21" s="93"/>
    </row>
    <row r="22" spans="1:5" s="533" customFormat="1" ht="12" customHeight="1">
      <c r="A22" s="556" t="s">
        <v>77</v>
      </c>
      <c r="B22" s="334" t="s">
        <v>556</v>
      </c>
      <c r="C22" s="410">
        <v>11853484</v>
      </c>
      <c r="D22" s="410">
        <v>20510449</v>
      </c>
      <c r="E22" s="93">
        <v>12710815</v>
      </c>
    </row>
    <row r="23" spans="1:5" s="533" customFormat="1" ht="12" customHeight="1" thickBot="1">
      <c r="A23" s="556" t="s">
        <v>78</v>
      </c>
      <c r="B23" s="334" t="s">
        <v>671</v>
      </c>
      <c r="C23" s="410"/>
      <c r="D23" s="410"/>
      <c r="E23" s="93"/>
    </row>
    <row r="24" spans="1:5" s="533" customFormat="1" ht="12" customHeight="1" thickBot="1">
      <c r="A24" s="543" t="s">
        <v>9</v>
      </c>
      <c r="B24" s="354" t="s">
        <v>122</v>
      </c>
      <c r="C24" s="42"/>
      <c r="D24" s="42"/>
      <c r="E24" s="549"/>
    </row>
    <row r="25" spans="1:5" s="533" customFormat="1" ht="21.75" thickBot="1">
      <c r="A25" s="543" t="s">
        <v>10</v>
      </c>
      <c r="B25" s="354" t="s">
        <v>557</v>
      </c>
      <c r="C25" s="413">
        <f>SUM(C26:C27)</f>
        <v>0</v>
      </c>
      <c r="D25" s="413">
        <f>SUM(D26:D27)</f>
        <v>0</v>
      </c>
      <c r="E25" s="550">
        <f>SUM(E26:E27)</f>
        <v>0</v>
      </c>
    </row>
    <row r="26" spans="1:5" s="533" customFormat="1" ht="12" customHeight="1">
      <c r="A26" s="557" t="s">
        <v>323</v>
      </c>
      <c r="B26" s="558" t="s">
        <v>555</v>
      </c>
      <c r="C26" s="81"/>
      <c r="D26" s="81"/>
      <c r="E26" s="537"/>
    </row>
    <row r="27" spans="1:5" s="533" customFormat="1" ht="12" customHeight="1">
      <c r="A27" s="557" t="s">
        <v>324</v>
      </c>
      <c r="B27" s="559" t="s">
        <v>558</v>
      </c>
      <c r="C27" s="414"/>
      <c r="D27" s="414"/>
      <c r="E27" s="536"/>
    </row>
    <row r="28" spans="1:5" s="533" customFormat="1" ht="12" customHeight="1" thickBot="1">
      <c r="A28" s="556" t="s">
        <v>325</v>
      </c>
      <c r="B28" s="560" t="s">
        <v>672</v>
      </c>
      <c r="C28" s="540"/>
      <c r="D28" s="540"/>
      <c r="E28" s="535"/>
    </row>
    <row r="29" spans="1:5" s="533" customFormat="1" ht="12" customHeight="1" thickBot="1">
      <c r="A29" s="543" t="s">
        <v>11</v>
      </c>
      <c r="B29" s="354" t="s">
        <v>559</v>
      </c>
      <c r="C29" s="413">
        <f>SUM(C30:C32)</f>
        <v>0</v>
      </c>
      <c r="D29" s="413">
        <f>SUM(D30:D32)</f>
        <v>0</v>
      </c>
      <c r="E29" s="550">
        <f>SUM(E30:E32)</f>
        <v>0</v>
      </c>
    </row>
    <row r="30" spans="1:5" s="533" customFormat="1" ht="12" customHeight="1">
      <c r="A30" s="557" t="s">
        <v>62</v>
      </c>
      <c r="B30" s="558" t="s">
        <v>342</v>
      </c>
      <c r="C30" s="81"/>
      <c r="D30" s="81"/>
      <c r="E30" s="537"/>
    </row>
    <row r="31" spans="1:5" s="533" customFormat="1" ht="12" customHeight="1">
      <c r="A31" s="557" t="s">
        <v>63</v>
      </c>
      <c r="B31" s="559" t="s">
        <v>343</v>
      </c>
      <c r="C31" s="414"/>
      <c r="D31" s="414"/>
      <c r="E31" s="536"/>
    </row>
    <row r="32" spans="1:5" s="533" customFormat="1" ht="12" customHeight="1" thickBot="1">
      <c r="A32" s="556" t="s">
        <v>64</v>
      </c>
      <c r="B32" s="542" t="s">
        <v>345</v>
      </c>
      <c r="C32" s="540"/>
      <c r="D32" s="540"/>
      <c r="E32" s="535"/>
    </row>
    <row r="33" spans="1:5" s="533" customFormat="1" ht="12" customHeight="1" thickBot="1">
      <c r="A33" s="543" t="s">
        <v>12</v>
      </c>
      <c r="B33" s="354" t="s">
        <v>470</v>
      </c>
      <c r="C33" s="42"/>
      <c r="D33" s="42"/>
      <c r="E33" s="549"/>
    </row>
    <row r="34" spans="1:5" s="506" customFormat="1" ht="12" customHeight="1" thickBot="1">
      <c r="A34" s="543" t="s">
        <v>13</v>
      </c>
      <c r="B34" s="354" t="s">
        <v>560</v>
      </c>
      <c r="C34" s="42"/>
      <c r="D34" s="42"/>
      <c r="E34" s="549"/>
    </row>
    <row r="35" spans="1:5" s="506" customFormat="1" ht="12" customHeight="1" thickBot="1">
      <c r="A35" s="481" t="s">
        <v>14</v>
      </c>
      <c r="B35" s="354" t="s">
        <v>673</v>
      </c>
      <c r="C35" s="413">
        <f>+C8+C19+C24+C25+C29+C33+C34</f>
        <v>11853484</v>
      </c>
      <c r="D35" s="413">
        <f>+D8+D19+D24+D25+D29+D33+D34</f>
        <v>20651420</v>
      </c>
      <c r="E35" s="550">
        <f>+E8+E19+E24+E25+E29+E33+E34</f>
        <v>12851786</v>
      </c>
    </row>
    <row r="36" spans="1:5" s="506" customFormat="1" ht="12" customHeight="1" thickBot="1">
      <c r="A36" s="545" t="s">
        <v>15</v>
      </c>
      <c r="B36" s="354" t="s">
        <v>562</v>
      </c>
      <c r="C36" s="413">
        <f>+C37+C38+C39</f>
        <v>72211165</v>
      </c>
      <c r="D36" s="413">
        <f>+D37+D38+D39</f>
        <v>74928653</v>
      </c>
      <c r="E36" s="550">
        <f>+E37+E38+E39</f>
        <v>74928653</v>
      </c>
    </row>
    <row r="37" spans="1:5" s="506" customFormat="1" ht="12" customHeight="1">
      <c r="A37" s="557" t="s">
        <v>563</v>
      </c>
      <c r="B37" s="558" t="s">
        <v>161</v>
      </c>
      <c r="C37" s="81">
        <v>226765</v>
      </c>
      <c r="D37" s="81">
        <v>1243565</v>
      </c>
      <c r="E37" s="537">
        <v>1243565</v>
      </c>
    </row>
    <row r="38" spans="1:5" s="533" customFormat="1" ht="12" customHeight="1">
      <c r="A38" s="557" t="s">
        <v>564</v>
      </c>
      <c r="B38" s="559" t="s">
        <v>3</v>
      </c>
      <c r="C38" s="414"/>
      <c r="D38" s="414"/>
      <c r="E38" s="536"/>
    </row>
    <row r="39" spans="1:5" s="533" customFormat="1" ht="12" customHeight="1" thickBot="1">
      <c r="A39" s="556" t="s">
        <v>565</v>
      </c>
      <c r="B39" s="542" t="s">
        <v>566</v>
      </c>
      <c r="C39" s="540">
        <v>71984400</v>
      </c>
      <c r="D39" s="540">
        <v>73685088</v>
      </c>
      <c r="E39" s="535">
        <v>73685088</v>
      </c>
    </row>
    <row r="40" spans="1:5" s="533" customFormat="1" ht="15" customHeight="1" thickBot="1">
      <c r="A40" s="545" t="s">
        <v>16</v>
      </c>
      <c r="B40" s="546" t="s">
        <v>567</v>
      </c>
      <c r="C40" s="87">
        <f>+C35+C36</f>
        <v>84064649</v>
      </c>
      <c r="D40" s="87">
        <f>+D35+D36</f>
        <v>95580073</v>
      </c>
      <c r="E40" s="551">
        <f>+E35+E36</f>
        <v>87780439</v>
      </c>
    </row>
    <row r="41" spans="1:5" s="533" customFormat="1" ht="15" customHeight="1">
      <c r="A41" s="489"/>
      <c r="B41" s="490"/>
      <c r="C41" s="504"/>
      <c r="D41" s="504"/>
      <c r="E41" s="504"/>
    </row>
    <row r="42" spans="1:5" ht="13.5" thickBot="1">
      <c r="A42" s="491"/>
      <c r="B42" s="492"/>
      <c r="C42" s="505"/>
      <c r="D42" s="505"/>
      <c r="E42" s="505"/>
    </row>
    <row r="43" spans="1:5" s="532" customFormat="1" ht="16.5" customHeight="1" thickBot="1">
      <c r="A43" s="758" t="s">
        <v>43</v>
      </c>
      <c r="B43" s="759"/>
      <c r="C43" s="759"/>
      <c r="D43" s="759"/>
      <c r="E43" s="760"/>
    </row>
    <row r="44" spans="1:5" s="309" customFormat="1" ht="12" customHeight="1" thickBot="1">
      <c r="A44" s="543" t="s">
        <v>7</v>
      </c>
      <c r="B44" s="354" t="s">
        <v>568</v>
      </c>
      <c r="C44" s="413">
        <f>SUM(C45:C49)</f>
        <v>84064649</v>
      </c>
      <c r="D44" s="413">
        <f>SUM(D45:D49)</f>
        <v>95580073</v>
      </c>
      <c r="E44" s="444">
        <f>SUM(E45:E49)</f>
        <v>85592767</v>
      </c>
    </row>
    <row r="45" spans="1:5" ht="12" customHeight="1">
      <c r="A45" s="556" t="s">
        <v>69</v>
      </c>
      <c r="B45" s="335" t="s">
        <v>37</v>
      </c>
      <c r="C45" s="81">
        <v>63721400</v>
      </c>
      <c r="D45" s="81">
        <v>73203634</v>
      </c>
      <c r="E45" s="439">
        <v>65287071</v>
      </c>
    </row>
    <row r="46" spans="1:5" ht="12" customHeight="1">
      <c r="A46" s="556" t="s">
        <v>70</v>
      </c>
      <c r="B46" s="334" t="s">
        <v>131</v>
      </c>
      <c r="C46" s="407">
        <v>12640000</v>
      </c>
      <c r="D46" s="407">
        <v>13530163</v>
      </c>
      <c r="E46" s="440">
        <v>13424747</v>
      </c>
    </row>
    <row r="47" spans="1:5" ht="12" customHeight="1">
      <c r="A47" s="556" t="s">
        <v>71</v>
      </c>
      <c r="B47" s="334" t="s">
        <v>98</v>
      </c>
      <c r="C47" s="407">
        <v>7703249</v>
      </c>
      <c r="D47" s="407">
        <v>8846276</v>
      </c>
      <c r="E47" s="440">
        <v>6880949</v>
      </c>
    </row>
    <row r="48" spans="1:5" ht="12" customHeight="1">
      <c r="A48" s="556" t="s">
        <v>72</v>
      </c>
      <c r="B48" s="334" t="s">
        <v>132</v>
      </c>
      <c r="C48" s="407"/>
      <c r="D48" s="407"/>
      <c r="E48" s="440"/>
    </row>
    <row r="49" spans="1:5" ht="12" customHeight="1" thickBot="1">
      <c r="A49" s="556" t="s">
        <v>105</v>
      </c>
      <c r="B49" s="334" t="s">
        <v>133</v>
      </c>
      <c r="C49" s="407"/>
      <c r="D49" s="407"/>
      <c r="E49" s="440"/>
    </row>
    <row r="50" spans="1:5" ht="12" customHeight="1" thickBot="1">
      <c r="A50" s="543" t="s">
        <v>8</v>
      </c>
      <c r="B50" s="354" t="s">
        <v>569</v>
      </c>
      <c r="C50" s="413">
        <f>SUM(C51:C53)</f>
        <v>0</v>
      </c>
      <c r="D50" s="413">
        <f>SUM(D51:D53)</f>
        <v>0</v>
      </c>
      <c r="E50" s="444">
        <f>SUM(E51:E53)</f>
        <v>0</v>
      </c>
    </row>
    <row r="51" spans="1:5" s="309" customFormat="1" ht="12" customHeight="1">
      <c r="A51" s="556" t="s">
        <v>75</v>
      </c>
      <c r="B51" s="335" t="s">
        <v>155</v>
      </c>
      <c r="C51" s="81"/>
      <c r="D51" s="81"/>
      <c r="E51" s="439"/>
    </row>
    <row r="52" spans="1:5" ht="12" customHeight="1">
      <c r="A52" s="556" t="s">
        <v>76</v>
      </c>
      <c r="B52" s="334" t="s">
        <v>135</v>
      </c>
      <c r="C52" s="407"/>
      <c r="D52" s="407"/>
      <c r="E52" s="440"/>
    </row>
    <row r="53" spans="1:5" ht="12" customHeight="1">
      <c r="A53" s="556" t="s">
        <v>77</v>
      </c>
      <c r="B53" s="334" t="s">
        <v>44</v>
      </c>
      <c r="C53" s="407"/>
      <c r="D53" s="407"/>
      <c r="E53" s="440"/>
    </row>
    <row r="54" spans="1:5" ht="12" customHeight="1" thickBot="1">
      <c r="A54" s="556" t="s">
        <v>78</v>
      </c>
      <c r="B54" s="334" t="s">
        <v>674</v>
      </c>
      <c r="C54" s="407"/>
      <c r="D54" s="407"/>
      <c r="E54" s="440"/>
    </row>
    <row r="55" spans="1:5" ht="12" customHeight="1" thickBot="1">
      <c r="A55" s="543" t="s">
        <v>9</v>
      </c>
      <c r="B55" s="547" t="s">
        <v>570</v>
      </c>
      <c r="C55" s="413">
        <f>+C44+C50</f>
        <v>84064649</v>
      </c>
      <c r="D55" s="413">
        <f>+D44+D50</f>
        <v>95580073</v>
      </c>
      <c r="E55" s="444">
        <f>+E44+E50</f>
        <v>85592767</v>
      </c>
    </row>
    <row r="56" spans="3:5" ht="13.5" thickBot="1">
      <c r="C56" s="552"/>
      <c r="D56" s="552"/>
      <c r="E56" s="552"/>
    </row>
    <row r="57" spans="1:5" ht="15" customHeight="1" thickBot="1">
      <c r="A57" s="635" t="s">
        <v>735</v>
      </c>
      <c r="B57" s="636"/>
      <c r="C57" s="91"/>
      <c r="D57" s="91"/>
      <c r="E57" s="541"/>
    </row>
    <row r="58" spans="1:5" ht="14.25" customHeight="1" thickBot="1">
      <c r="A58" s="637" t="s">
        <v>734</v>
      </c>
      <c r="B58" s="638"/>
      <c r="C58" s="91"/>
      <c r="D58" s="91"/>
      <c r="E58" s="541"/>
    </row>
  </sheetData>
  <sheetProtection formatCells="0"/>
  <mergeCells count="5">
    <mergeCell ref="A7:E7"/>
    <mergeCell ref="A43:E43"/>
    <mergeCell ref="B2:D2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58"/>
  <sheetViews>
    <sheetView zoomScaleSheetLayoutView="115" workbookViewId="0" topLeftCell="A1">
      <selection activeCell="C1" sqref="C1:E1"/>
    </sheetView>
  </sheetViews>
  <sheetFormatPr defaultColWidth="9.00390625" defaultRowHeight="12.75"/>
  <cols>
    <col min="1" max="1" width="16.00390625" style="548" customWidth="1"/>
    <col min="2" max="2" width="59.375" style="33" customWidth="1"/>
    <col min="3" max="5" width="15.875" style="33" customWidth="1"/>
    <col min="6" max="16384" width="9.375" style="33" customWidth="1"/>
  </cols>
  <sheetData>
    <row r="1" spans="1:5" s="484" customFormat="1" ht="21" customHeight="1" thickBot="1">
      <c r="A1" s="483"/>
      <c r="B1" s="485"/>
      <c r="C1" s="870" t="s">
        <v>784</v>
      </c>
      <c r="D1" s="868"/>
      <c r="E1" s="868"/>
    </row>
    <row r="2" spans="1:5" s="530" customFormat="1" ht="25.5" customHeight="1">
      <c r="A2" s="510" t="s">
        <v>145</v>
      </c>
      <c r="B2" s="761" t="s">
        <v>549</v>
      </c>
      <c r="C2" s="762"/>
      <c r="D2" s="763"/>
      <c r="E2" s="553" t="s">
        <v>47</v>
      </c>
    </row>
    <row r="3" spans="1:5" s="530" customFormat="1" ht="24.75" thickBot="1">
      <c r="A3" s="528" t="s">
        <v>550</v>
      </c>
      <c r="B3" s="764" t="s">
        <v>668</v>
      </c>
      <c r="C3" s="767"/>
      <c r="D3" s="768"/>
      <c r="E3" s="554" t="s">
        <v>47</v>
      </c>
    </row>
    <row r="4" spans="1:5" s="531" customFormat="1" ht="15.75" customHeight="1" thickBot="1">
      <c r="A4" s="486"/>
      <c r="B4" s="486"/>
      <c r="C4" s="487"/>
      <c r="D4" s="487"/>
      <c r="E4" s="487" t="str">
        <f>'7.1. sz. mell'!E4</f>
        <v>Forintban!</v>
      </c>
    </row>
    <row r="5" spans="1:5" ht="24.75" thickBot="1">
      <c r="A5" s="319" t="s">
        <v>146</v>
      </c>
      <c r="B5" s="320" t="s">
        <v>733</v>
      </c>
      <c r="C5" s="77" t="s">
        <v>174</v>
      </c>
      <c r="D5" s="77" t="s">
        <v>179</v>
      </c>
      <c r="E5" s="488" t="s">
        <v>180</v>
      </c>
    </row>
    <row r="6" spans="1:5" s="532" customFormat="1" ht="12.75" customHeight="1" thickBot="1">
      <c r="A6" s="481" t="s">
        <v>410</v>
      </c>
      <c r="B6" s="482" t="s">
        <v>411</v>
      </c>
      <c r="C6" s="482" t="s">
        <v>412</v>
      </c>
      <c r="D6" s="90" t="s">
        <v>413</v>
      </c>
      <c r="E6" s="88" t="s">
        <v>414</v>
      </c>
    </row>
    <row r="7" spans="1:5" s="532" customFormat="1" ht="15.75" customHeight="1" thickBot="1">
      <c r="A7" s="758" t="s">
        <v>42</v>
      </c>
      <c r="B7" s="759"/>
      <c r="C7" s="759"/>
      <c r="D7" s="759"/>
      <c r="E7" s="760"/>
    </row>
    <row r="8" spans="1:5" s="506" customFormat="1" ht="12" customHeight="1" thickBot="1">
      <c r="A8" s="481" t="s">
        <v>7</v>
      </c>
      <c r="B8" s="544" t="s">
        <v>551</v>
      </c>
      <c r="C8" s="413">
        <f>SUM(C9:C18)</f>
        <v>0</v>
      </c>
      <c r="D8" s="413">
        <f>SUM(D9:D18)</f>
        <v>0</v>
      </c>
      <c r="E8" s="550">
        <f>SUM(E9:E18)</f>
        <v>0</v>
      </c>
    </row>
    <row r="9" spans="1:5" s="506" customFormat="1" ht="12" customHeight="1">
      <c r="A9" s="555" t="s">
        <v>69</v>
      </c>
      <c r="B9" s="336" t="s">
        <v>329</v>
      </c>
      <c r="C9" s="84"/>
      <c r="D9" s="84"/>
      <c r="E9" s="539"/>
    </row>
    <row r="10" spans="1:5" s="506" customFormat="1" ht="12" customHeight="1">
      <c r="A10" s="556" t="s">
        <v>70</v>
      </c>
      <c r="B10" s="334" t="s">
        <v>330</v>
      </c>
      <c r="C10" s="410"/>
      <c r="D10" s="410"/>
      <c r="E10" s="93"/>
    </row>
    <row r="11" spans="1:5" s="506" customFormat="1" ht="12" customHeight="1">
      <c r="A11" s="556" t="s">
        <v>71</v>
      </c>
      <c r="B11" s="334" t="s">
        <v>331</v>
      </c>
      <c r="C11" s="410"/>
      <c r="D11" s="410"/>
      <c r="E11" s="93"/>
    </row>
    <row r="12" spans="1:5" s="506" customFormat="1" ht="12" customHeight="1">
      <c r="A12" s="556" t="s">
        <v>72</v>
      </c>
      <c r="B12" s="334" t="s">
        <v>332</v>
      </c>
      <c r="C12" s="410"/>
      <c r="D12" s="410"/>
      <c r="E12" s="93"/>
    </row>
    <row r="13" spans="1:5" s="506" customFormat="1" ht="12" customHeight="1">
      <c r="A13" s="556" t="s">
        <v>105</v>
      </c>
      <c r="B13" s="334" t="s">
        <v>333</v>
      </c>
      <c r="C13" s="410"/>
      <c r="D13" s="410"/>
      <c r="E13" s="93"/>
    </row>
    <row r="14" spans="1:5" s="506" customFormat="1" ht="12" customHeight="1">
      <c r="A14" s="556" t="s">
        <v>73</v>
      </c>
      <c r="B14" s="334" t="s">
        <v>552</v>
      </c>
      <c r="C14" s="410"/>
      <c r="D14" s="410"/>
      <c r="E14" s="93"/>
    </row>
    <row r="15" spans="1:5" s="533" customFormat="1" ht="12" customHeight="1">
      <c r="A15" s="556" t="s">
        <v>74</v>
      </c>
      <c r="B15" s="333" t="s">
        <v>553</v>
      </c>
      <c r="C15" s="410"/>
      <c r="D15" s="410"/>
      <c r="E15" s="93"/>
    </row>
    <row r="16" spans="1:5" s="533" customFormat="1" ht="12" customHeight="1">
      <c r="A16" s="556" t="s">
        <v>82</v>
      </c>
      <c r="B16" s="334" t="s">
        <v>336</v>
      </c>
      <c r="C16" s="85"/>
      <c r="D16" s="85"/>
      <c r="E16" s="538"/>
    </row>
    <row r="17" spans="1:5" s="506" customFormat="1" ht="12" customHeight="1">
      <c r="A17" s="556" t="s">
        <v>83</v>
      </c>
      <c r="B17" s="334" t="s">
        <v>338</v>
      </c>
      <c r="C17" s="410"/>
      <c r="D17" s="410"/>
      <c r="E17" s="93"/>
    </row>
    <row r="18" spans="1:5" s="533" customFormat="1" ht="12" customHeight="1" thickBot="1">
      <c r="A18" s="556" t="s">
        <v>84</v>
      </c>
      <c r="B18" s="333" t="s">
        <v>340</v>
      </c>
      <c r="C18" s="412"/>
      <c r="D18" s="412"/>
      <c r="E18" s="534"/>
    </row>
    <row r="19" spans="1:5" s="533" customFormat="1" ht="24.75" customHeight="1" thickBot="1">
      <c r="A19" s="481" t="s">
        <v>8</v>
      </c>
      <c r="B19" s="544" t="s">
        <v>554</v>
      </c>
      <c r="C19" s="413">
        <f>SUM(C20:C22)</f>
        <v>0</v>
      </c>
      <c r="D19" s="413">
        <f>SUM(D20:D22)</f>
        <v>0</v>
      </c>
      <c r="E19" s="550">
        <f>SUM(E20:E22)</f>
        <v>0</v>
      </c>
    </row>
    <row r="20" spans="1:5" s="533" customFormat="1" ht="12" customHeight="1">
      <c r="A20" s="556" t="s">
        <v>75</v>
      </c>
      <c r="B20" s="335" t="s">
        <v>310</v>
      </c>
      <c r="C20" s="410"/>
      <c r="D20" s="410"/>
      <c r="E20" s="93"/>
    </row>
    <row r="21" spans="1:5" s="533" customFormat="1" ht="12" customHeight="1">
      <c r="A21" s="556" t="s">
        <v>76</v>
      </c>
      <c r="B21" s="334" t="s">
        <v>555</v>
      </c>
      <c r="C21" s="410"/>
      <c r="D21" s="410"/>
      <c r="E21" s="93"/>
    </row>
    <row r="22" spans="1:5" s="533" customFormat="1" ht="12" customHeight="1">
      <c r="A22" s="556" t="s">
        <v>77</v>
      </c>
      <c r="B22" s="334" t="s">
        <v>556</v>
      </c>
      <c r="C22" s="410"/>
      <c r="D22" s="410"/>
      <c r="E22" s="93"/>
    </row>
    <row r="23" spans="1:5" s="533" customFormat="1" ht="12" customHeight="1" thickBot="1">
      <c r="A23" s="556" t="s">
        <v>78</v>
      </c>
      <c r="B23" s="334" t="s">
        <v>671</v>
      </c>
      <c r="C23" s="410"/>
      <c r="D23" s="410"/>
      <c r="E23" s="93"/>
    </row>
    <row r="24" spans="1:5" s="533" customFormat="1" ht="12" customHeight="1" thickBot="1">
      <c r="A24" s="543" t="s">
        <v>9</v>
      </c>
      <c r="B24" s="354" t="s">
        <v>122</v>
      </c>
      <c r="C24" s="42"/>
      <c r="D24" s="42"/>
      <c r="E24" s="549"/>
    </row>
    <row r="25" spans="1:5" s="533" customFormat="1" ht="25.5" customHeight="1" thickBot="1">
      <c r="A25" s="543" t="s">
        <v>10</v>
      </c>
      <c r="B25" s="354" t="s">
        <v>557</v>
      </c>
      <c r="C25" s="413">
        <f>SUM(C26:C27)</f>
        <v>0</v>
      </c>
      <c r="D25" s="413">
        <f>SUM(D26:D27)</f>
        <v>0</v>
      </c>
      <c r="E25" s="550">
        <f>SUM(E26:E27)</f>
        <v>0</v>
      </c>
    </row>
    <row r="26" spans="1:5" s="533" customFormat="1" ht="12" customHeight="1">
      <c r="A26" s="557" t="s">
        <v>323</v>
      </c>
      <c r="B26" s="558" t="s">
        <v>555</v>
      </c>
      <c r="C26" s="81"/>
      <c r="D26" s="81"/>
      <c r="E26" s="537"/>
    </row>
    <row r="27" spans="1:5" s="533" customFormat="1" ht="12" customHeight="1">
      <c r="A27" s="557" t="s">
        <v>324</v>
      </c>
      <c r="B27" s="559" t="s">
        <v>558</v>
      </c>
      <c r="C27" s="414"/>
      <c r="D27" s="414"/>
      <c r="E27" s="536"/>
    </row>
    <row r="28" spans="1:5" s="533" customFormat="1" ht="12" customHeight="1" thickBot="1">
      <c r="A28" s="556" t="s">
        <v>325</v>
      </c>
      <c r="B28" s="560" t="s">
        <v>672</v>
      </c>
      <c r="C28" s="540"/>
      <c r="D28" s="540"/>
      <c r="E28" s="535"/>
    </row>
    <row r="29" spans="1:5" s="533" customFormat="1" ht="12" customHeight="1" thickBot="1">
      <c r="A29" s="543" t="s">
        <v>11</v>
      </c>
      <c r="B29" s="354" t="s">
        <v>559</v>
      </c>
      <c r="C29" s="413">
        <f>SUM(C30:C32)</f>
        <v>0</v>
      </c>
      <c r="D29" s="413">
        <f>SUM(D30:D32)</f>
        <v>0</v>
      </c>
      <c r="E29" s="550">
        <f>SUM(E30:E32)</f>
        <v>0</v>
      </c>
    </row>
    <row r="30" spans="1:5" s="533" customFormat="1" ht="12" customHeight="1">
      <c r="A30" s="557" t="s">
        <v>62</v>
      </c>
      <c r="B30" s="558" t="s">
        <v>342</v>
      </c>
      <c r="C30" s="81"/>
      <c r="D30" s="81"/>
      <c r="E30" s="537"/>
    </row>
    <row r="31" spans="1:5" s="533" customFormat="1" ht="12" customHeight="1">
      <c r="A31" s="557" t="s">
        <v>63</v>
      </c>
      <c r="B31" s="559" t="s">
        <v>343</v>
      </c>
      <c r="C31" s="414"/>
      <c r="D31" s="414"/>
      <c r="E31" s="536"/>
    </row>
    <row r="32" spans="1:5" s="533" customFormat="1" ht="12" customHeight="1" thickBot="1">
      <c r="A32" s="556" t="s">
        <v>64</v>
      </c>
      <c r="B32" s="542" t="s">
        <v>345</v>
      </c>
      <c r="C32" s="540"/>
      <c r="D32" s="540"/>
      <c r="E32" s="535"/>
    </row>
    <row r="33" spans="1:5" s="533" customFormat="1" ht="12" customHeight="1" thickBot="1">
      <c r="A33" s="543" t="s">
        <v>12</v>
      </c>
      <c r="B33" s="354" t="s">
        <v>470</v>
      </c>
      <c r="C33" s="42"/>
      <c r="D33" s="42"/>
      <c r="E33" s="549"/>
    </row>
    <row r="34" spans="1:5" s="506" customFormat="1" ht="12" customHeight="1" thickBot="1">
      <c r="A34" s="543" t="s">
        <v>13</v>
      </c>
      <c r="B34" s="354" t="s">
        <v>560</v>
      </c>
      <c r="C34" s="42"/>
      <c r="D34" s="42"/>
      <c r="E34" s="549"/>
    </row>
    <row r="35" spans="1:5" s="506" customFormat="1" ht="12" customHeight="1" thickBot="1">
      <c r="A35" s="481" t="s">
        <v>14</v>
      </c>
      <c r="B35" s="354" t="s">
        <v>673</v>
      </c>
      <c r="C35" s="413">
        <f>+C8+C19+C24+C25+C29+C33+C34</f>
        <v>0</v>
      </c>
      <c r="D35" s="413">
        <f>+D8+D19+D24+D25+D29+D33+D34</f>
        <v>0</v>
      </c>
      <c r="E35" s="550">
        <f>+E8+E19+E24+E25+E29+E33+E34</f>
        <v>0</v>
      </c>
    </row>
    <row r="36" spans="1:5" s="506" customFormat="1" ht="12" customHeight="1" thickBot="1">
      <c r="A36" s="545" t="s">
        <v>15</v>
      </c>
      <c r="B36" s="354" t="s">
        <v>562</v>
      </c>
      <c r="C36" s="413">
        <f>+C37+C38+C39</f>
        <v>0</v>
      </c>
      <c r="D36" s="413">
        <f>+D37+D38+D39</f>
        <v>0</v>
      </c>
      <c r="E36" s="550">
        <f>+E37+E38+E39</f>
        <v>0</v>
      </c>
    </row>
    <row r="37" spans="1:5" s="506" customFormat="1" ht="12" customHeight="1">
      <c r="A37" s="557" t="s">
        <v>563</v>
      </c>
      <c r="B37" s="558" t="s">
        <v>161</v>
      </c>
      <c r="C37" s="81"/>
      <c r="D37" s="81"/>
      <c r="E37" s="537"/>
    </row>
    <row r="38" spans="1:5" s="533" customFormat="1" ht="12" customHeight="1">
      <c r="A38" s="557" t="s">
        <v>564</v>
      </c>
      <c r="B38" s="559" t="s">
        <v>3</v>
      </c>
      <c r="C38" s="414"/>
      <c r="D38" s="414"/>
      <c r="E38" s="536"/>
    </row>
    <row r="39" spans="1:5" s="533" customFormat="1" ht="12" customHeight="1" thickBot="1">
      <c r="A39" s="556" t="s">
        <v>565</v>
      </c>
      <c r="B39" s="542" t="s">
        <v>566</v>
      </c>
      <c r="C39" s="540"/>
      <c r="D39" s="540"/>
      <c r="E39" s="535"/>
    </row>
    <row r="40" spans="1:5" s="533" customFormat="1" ht="15" customHeight="1" thickBot="1">
      <c r="A40" s="545" t="s">
        <v>16</v>
      </c>
      <c r="B40" s="546" t="s">
        <v>567</v>
      </c>
      <c r="C40" s="87">
        <f>+C35+C36</f>
        <v>0</v>
      </c>
      <c r="D40" s="87">
        <f>+D35+D36</f>
        <v>0</v>
      </c>
      <c r="E40" s="551">
        <f>+E35+E36</f>
        <v>0</v>
      </c>
    </row>
    <row r="41" spans="1:5" s="533" customFormat="1" ht="15" customHeight="1">
      <c r="A41" s="489"/>
      <c r="B41" s="490"/>
      <c r="C41" s="504"/>
      <c r="D41" s="504"/>
      <c r="E41" s="504"/>
    </row>
    <row r="42" spans="1:5" ht="13.5" thickBot="1">
      <c r="A42" s="491"/>
      <c r="B42" s="492"/>
      <c r="C42" s="505"/>
      <c r="D42" s="505"/>
      <c r="E42" s="505"/>
    </row>
    <row r="43" spans="1:5" s="532" customFormat="1" ht="16.5" customHeight="1" thickBot="1">
      <c r="A43" s="758" t="s">
        <v>43</v>
      </c>
      <c r="B43" s="759"/>
      <c r="C43" s="759"/>
      <c r="D43" s="759"/>
      <c r="E43" s="760"/>
    </row>
    <row r="44" spans="1:5" s="309" customFormat="1" ht="12" customHeight="1" thickBot="1">
      <c r="A44" s="543" t="s">
        <v>7</v>
      </c>
      <c r="B44" s="354" t="s">
        <v>568</v>
      </c>
      <c r="C44" s="413">
        <f>SUM(C45:C49)</f>
        <v>0</v>
      </c>
      <c r="D44" s="413">
        <f>SUM(D45:D49)</f>
        <v>0</v>
      </c>
      <c r="E44" s="444">
        <f>SUM(E45:E49)</f>
        <v>0</v>
      </c>
    </row>
    <row r="45" spans="1:5" ht="12" customHeight="1">
      <c r="A45" s="556" t="s">
        <v>69</v>
      </c>
      <c r="B45" s="335" t="s">
        <v>37</v>
      </c>
      <c r="C45" s="81"/>
      <c r="D45" s="81"/>
      <c r="E45" s="439"/>
    </row>
    <row r="46" spans="1:5" ht="12" customHeight="1">
      <c r="A46" s="556" t="s">
        <v>70</v>
      </c>
      <c r="B46" s="334" t="s">
        <v>131</v>
      </c>
      <c r="C46" s="407"/>
      <c r="D46" s="407"/>
      <c r="E46" s="440"/>
    </row>
    <row r="47" spans="1:5" ht="12" customHeight="1">
      <c r="A47" s="556" t="s">
        <v>71</v>
      </c>
      <c r="B47" s="334" t="s">
        <v>98</v>
      </c>
      <c r="C47" s="407"/>
      <c r="D47" s="407"/>
      <c r="E47" s="440"/>
    </row>
    <row r="48" spans="1:5" ht="12" customHeight="1">
      <c r="A48" s="556" t="s">
        <v>72</v>
      </c>
      <c r="B48" s="334" t="s">
        <v>132</v>
      </c>
      <c r="C48" s="407"/>
      <c r="D48" s="407"/>
      <c r="E48" s="440"/>
    </row>
    <row r="49" spans="1:5" ht="12" customHeight="1" thickBot="1">
      <c r="A49" s="556" t="s">
        <v>105</v>
      </c>
      <c r="B49" s="334" t="s">
        <v>133</v>
      </c>
      <c r="C49" s="407"/>
      <c r="D49" s="407"/>
      <c r="E49" s="440"/>
    </row>
    <row r="50" spans="1:5" ht="12" customHeight="1" thickBot="1">
      <c r="A50" s="543" t="s">
        <v>8</v>
      </c>
      <c r="B50" s="354" t="s">
        <v>569</v>
      </c>
      <c r="C50" s="413">
        <f>SUM(C51:C53)</f>
        <v>0</v>
      </c>
      <c r="D50" s="413">
        <f>SUM(D51:D53)</f>
        <v>0</v>
      </c>
      <c r="E50" s="444">
        <f>SUM(E51:E53)</f>
        <v>0</v>
      </c>
    </row>
    <row r="51" spans="1:5" s="309" customFormat="1" ht="12" customHeight="1">
      <c r="A51" s="556" t="s">
        <v>75</v>
      </c>
      <c r="B51" s="335" t="s">
        <v>155</v>
      </c>
      <c r="C51" s="81"/>
      <c r="D51" s="81"/>
      <c r="E51" s="439"/>
    </row>
    <row r="52" spans="1:5" ht="12" customHeight="1">
      <c r="A52" s="556" t="s">
        <v>76</v>
      </c>
      <c r="B52" s="334" t="s">
        <v>135</v>
      </c>
      <c r="C52" s="407"/>
      <c r="D52" s="407"/>
      <c r="E52" s="440"/>
    </row>
    <row r="53" spans="1:5" ht="12" customHeight="1">
      <c r="A53" s="556" t="s">
        <v>77</v>
      </c>
      <c r="B53" s="334" t="s">
        <v>44</v>
      </c>
      <c r="C53" s="407"/>
      <c r="D53" s="407"/>
      <c r="E53" s="440"/>
    </row>
    <row r="54" spans="1:5" ht="12" customHeight="1" thickBot="1">
      <c r="A54" s="556" t="s">
        <v>78</v>
      </c>
      <c r="B54" s="334" t="s">
        <v>674</v>
      </c>
      <c r="C54" s="407"/>
      <c r="D54" s="407"/>
      <c r="E54" s="440"/>
    </row>
    <row r="55" spans="1:5" ht="12" customHeight="1" thickBot="1">
      <c r="A55" s="543" t="s">
        <v>9</v>
      </c>
      <c r="B55" s="547" t="s">
        <v>570</v>
      </c>
      <c r="C55" s="413">
        <f>+C44+C50</f>
        <v>0</v>
      </c>
      <c r="D55" s="413">
        <f>+D44+D50</f>
        <v>0</v>
      </c>
      <c r="E55" s="444">
        <f>+E44+E50</f>
        <v>0</v>
      </c>
    </row>
    <row r="56" spans="3:5" ht="13.5" thickBot="1">
      <c r="C56" s="552"/>
      <c r="D56" s="552"/>
      <c r="E56" s="552"/>
    </row>
    <row r="57" spans="1:5" ht="15" customHeight="1" thickBot="1">
      <c r="A57" s="635" t="s">
        <v>735</v>
      </c>
      <c r="B57" s="636"/>
      <c r="C57" s="91"/>
      <c r="D57" s="91"/>
      <c r="E57" s="541"/>
    </row>
    <row r="58" spans="1:5" ht="14.25" customHeight="1" thickBot="1">
      <c r="A58" s="637" t="s">
        <v>734</v>
      </c>
      <c r="B58" s="638"/>
      <c r="C58" s="91"/>
      <c r="D58" s="91"/>
      <c r="E58" s="541"/>
    </row>
  </sheetData>
  <sheetProtection formatCells="0"/>
  <mergeCells count="5">
    <mergeCell ref="B2:D2"/>
    <mergeCell ref="B3:D3"/>
    <mergeCell ref="A7:E7"/>
    <mergeCell ref="A43:E4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58"/>
  <sheetViews>
    <sheetView zoomScaleSheetLayoutView="115" workbookViewId="0" topLeftCell="A1">
      <selection activeCell="D5" sqref="D5"/>
    </sheetView>
  </sheetViews>
  <sheetFormatPr defaultColWidth="9.00390625" defaultRowHeight="12.75"/>
  <cols>
    <col min="1" max="1" width="16.00390625" style="548" customWidth="1"/>
    <col min="2" max="2" width="59.375" style="33" customWidth="1"/>
    <col min="3" max="5" width="15.875" style="33" customWidth="1"/>
    <col min="6" max="16384" width="9.375" style="33" customWidth="1"/>
  </cols>
  <sheetData>
    <row r="1" spans="1:5" s="484" customFormat="1" ht="21" customHeight="1" thickBot="1">
      <c r="A1" s="483"/>
      <c r="B1" s="485"/>
      <c r="C1" s="529"/>
      <c r="D1" s="529"/>
      <c r="E1" s="618" t="str">
        <f>+CONCATENATE("7.3. melléklet a 5/",LEFT(ÖSSZEFÜGGÉSEK!A4,4)+1,". (V……) önkormányzati rendelethez")</f>
        <v>7.3. melléklet a 5/2020. (V……) önkormányzati rendelethez</v>
      </c>
    </row>
    <row r="2" spans="1:5" s="530" customFormat="1" ht="25.5" customHeight="1">
      <c r="A2" s="510" t="s">
        <v>145</v>
      </c>
      <c r="B2" s="761" t="s">
        <v>549</v>
      </c>
      <c r="C2" s="762"/>
      <c r="D2" s="763"/>
      <c r="E2" s="553" t="s">
        <v>47</v>
      </c>
    </row>
    <row r="3" spans="1:5" s="530" customFormat="1" ht="24.75" thickBot="1">
      <c r="A3" s="528" t="s">
        <v>550</v>
      </c>
      <c r="B3" s="764" t="s">
        <v>675</v>
      </c>
      <c r="C3" s="767"/>
      <c r="D3" s="768"/>
      <c r="E3" s="554" t="s">
        <v>48</v>
      </c>
    </row>
    <row r="4" spans="1:5" s="531" customFormat="1" ht="15.75" customHeight="1" thickBot="1">
      <c r="A4" s="486"/>
      <c r="B4" s="486"/>
      <c r="C4" s="487"/>
      <c r="D4" s="487"/>
      <c r="E4" s="487" t="str">
        <f>'7.2. sz. mell'!E4</f>
        <v>Forintban!</v>
      </c>
    </row>
    <row r="5" spans="1:5" ht="24.75" thickBot="1">
      <c r="A5" s="319" t="s">
        <v>146</v>
      </c>
      <c r="B5" s="320" t="s">
        <v>733</v>
      </c>
      <c r="C5" s="77" t="s">
        <v>174</v>
      </c>
      <c r="D5" s="77" t="s">
        <v>179</v>
      </c>
      <c r="E5" s="488" t="s">
        <v>180</v>
      </c>
    </row>
    <row r="6" spans="1:5" s="532" customFormat="1" ht="12.75" customHeight="1" thickBot="1">
      <c r="A6" s="481" t="s">
        <v>410</v>
      </c>
      <c r="B6" s="482" t="s">
        <v>411</v>
      </c>
      <c r="C6" s="482" t="s">
        <v>412</v>
      </c>
      <c r="D6" s="90" t="s">
        <v>413</v>
      </c>
      <c r="E6" s="88" t="s">
        <v>414</v>
      </c>
    </row>
    <row r="7" spans="1:5" s="532" customFormat="1" ht="15.75" customHeight="1" thickBot="1">
      <c r="A7" s="758" t="s">
        <v>42</v>
      </c>
      <c r="B7" s="759"/>
      <c r="C7" s="759"/>
      <c r="D7" s="759"/>
      <c r="E7" s="760"/>
    </row>
    <row r="8" spans="1:5" s="506" customFormat="1" ht="12" customHeight="1" thickBot="1">
      <c r="A8" s="481" t="s">
        <v>7</v>
      </c>
      <c r="B8" s="544" t="s">
        <v>551</v>
      </c>
      <c r="C8" s="413">
        <f>SUM(C9:C18)</f>
        <v>0</v>
      </c>
      <c r="D8" s="413">
        <f>SUM(D9:D18)</f>
        <v>0</v>
      </c>
      <c r="E8" s="550">
        <f>SUM(E9:E18)</f>
        <v>0</v>
      </c>
    </row>
    <row r="9" spans="1:5" s="506" customFormat="1" ht="12" customHeight="1">
      <c r="A9" s="555" t="s">
        <v>69</v>
      </c>
      <c r="B9" s="336" t="s">
        <v>329</v>
      </c>
      <c r="C9" s="84"/>
      <c r="D9" s="84"/>
      <c r="E9" s="539"/>
    </row>
    <row r="10" spans="1:5" s="506" customFormat="1" ht="12" customHeight="1">
      <c r="A10" s="556" t="s">
        <v>70</v>
      </c>
      <c r="B10" s="334" t="s">
        <v>330</v>
      </c>
      <c r="C10" s="410"/>
      <c r="D10" s="410"/>
      <c r="E10" s="93"/>
    </row>
    <row r="11" spans="1:5" s="506" customFormat="1" ht="12" customHeight="1">
      <c r="A11" s="556" t="s">
        <v>71</v>
      </c>
      <c r="B11" s="334" t="s">
        <v>331</v>
      </c>
      <c r="C11" s="410"/>
      <c r="D11" s="410"/>
      <c r="E11" s="93"/>
    </row>
    <row r="12" spans="1:5" s="506" customFormat="1" ht="12" customHeight="1">
      <c r="A12" s="556" t="s">
        <v>72</v>
      </c>
      <c r="B12" s="334" t="s">
        <v>332</v>
      </c>
      <c r="C12" s="410"/>
      <c r="D12" s="410"/>
      <c r="E12" s="93"/>
    </row>
    <row r="13" spans="1:5" s="506" customFormat="1" ht="12" customHeight="1">
      <c r="A13" s="556" t="s">
        <v>105</v>
      </c>
      <c r="B13" s="334" t="s">
        <v>333</v>
      </c>
      <c r="C13" s="410"/>
      <c r="D13" s="410"/>
      <c r="E13" s="93"/>
    </row>
    <row r="14" spans="1:5" s="506" customFormat="1" ht="12" customHeight="1">
      <c r="A14" s="556" t="s">
        <v>73</v>
      </c>
      <c r="B14" s="334" t="s">
        <v>552</v>
      </c>
      <c r="C14" s="410"/>
      <c r="D14" s="410"/>
      <c r="E14" s="93"/>
    </row>
    <row r="15" spans="1:5" s="533" customFormat="1" ht="12" customHeight="1">
      <c r="A15" s="556" t="s">
        <v>74</v>
      </c>
      <c r="B15" s="333" t="s">
        <v>553</v>
      </c>
      <c r="C15" s="410"/>
      <c r="D15" s="410"/>
      <c r="E15" s="93"/>
    </row>
    <row r="16" spans="1:5" s="533" customFormat="1" ht="12" customHeight="1">
      <c r="A16" s="556" t="s">
        <v>82</v>
      </c>
      <c r="B16" s="334" t="s">
        <v>336</v>
      </c>
      <c r="C16" s="85"/>
      <c r="D16" s="85"/>
      <c r="E16" s="538"/>
    </row>
    <row r="17" spans="1:5" s="506" customFormat="1" ht="12" customHeight="1">
      <c r="A17" s="556" t="s">
        <v>83</v>
      </c>
      <c r="B17" s="334" t="s">
        <v>338</v>
      </c>
      <c r="C17" s="410"/>
      <c r="D17" s="410"/>
      <c r="E17" s="93"/>
    </row>
    <row r="18" spans="1:5" s="533" customFormat="1" ht="12" customHeight="1" thickBot="1">
      <c r="A18" s="556" t="s">
        <v>84</v>
      </c>
      <c r="B18" s="333" t="s">
        <v>340</v>
      </c>
      <c r="C18" s="412"/>
      <c r="D18" s="412"/>
      <c r="E18" s="534"/>
    </row>
    <row r="19" spans="1:5" s="533" customFormat="1" ht="12" customHeight="1" thickBot="1">
      <c r="A19" s="481" t="s">
        <v>8</v>
      </c>
      <c r="B19" s="544" t="s">
        <v>554</v>
      </c>
      <c r="C19" s="413">
        <f>SUM(C20:C22)</f>
        <v>0</v>
      </c>
      <c r="D19" s="413">
        <f>SUM(D20:D22)</f>
        <v>0</v>
      </c>
      <c r="E19" s="550">
        <f>SUM(E20:E22)</f>
        <v>0</v>
      </c>
    </row>
    <row r="20" spans="1:5" s="533" customFormat="1" ht="12" customHeight="1">
      <c r="A20" s="556" t="s">
        <v>75</v>
      </c>
      <c r="B20" s="335" t="s">
        <v>310</v>
      </c>
      <c r="C20" s="410"/>
      <c r="D20" s="410"/>
      <c r="E20" s="93"/>
    </row>
    <row r="21" spans="1:5" s="533" customFormat="1" ht="12" customHeight="1">
      <c r="A21" s="556" t="s">
        <v>76</v>
      </c>
      <c r="B21" s="334" t="s">
        <v>555</v>
      </c>
      <c r="C21" s="410"/>
      <c r="D21" s="410"/>
      <c r="E21" s="93"/>
    </row>
    <row r="22" spans="1:5" s="533" customFormat="1" ht="12" customHeight="1">
      <c r="A22" s="556" t="s">
        <v>77</v>
      </c>
      <c r="B22" s="334" t="s">
        <v>556</v>
      </c>
      <c r="C22" s="410"/>
      <c r="D22" s="410"/>
      <c r="E22" s="93"/>
    </row>
    <row r="23" spans="1:5" s="533" customFormat="1" ht="12" customHeight="1" thickBot="1">
      <c r="A23" s="556" t="s">
        <v>78</v>
      </c>
      <c r="B23" s="334" t="s">
        <v>671</v>
      </c>
      <c r="C23" s="410"/>
      <c r="D23" s="410"/>
      <c r="E23" s="93"/>
    </row>
    <row r="24" spans="1:5" s="533" customFormat="1" ht="12" customHeight="1" thickBot="1">
      <c r="A24" s="543" t="s">
        <v>9</v>
      </c>
      <c r="B24" s="354" t="s">
        <v>122</v>
      </c>
      <c r="C24" s="42"/>
      <c r="D24" s="42"/>
      <c r="E24" s="549"/>
    </row>
    <row r="25" spans="1:5" s="533" customFormat="1" ht="12" customHeight="1" thickBot="1">
      <c r="A25" s="543" t="s">
        <v>10</v>
      </c>
      <c r="B25" s="354" t="s">
        <v>557</v>
      </c>
      <c r="C25" s="413">
        <f>SUM(C26:C27)</f>
        <v>0</v>
      </c>
      <c r="D25" s="413">
        <f>SUM(D26:D27)</f>
        <v>0</v>
      </c>
      <c r="E25" s="550">
        <f>SUM(E26:E27)</f>
        <v>0</v>
      </c>
    </row>
    <row r="26" spans="1:5" s="533" customFormat="1" ht="12" customHeight="1">
      <c r="A26" s="557" t="s">
        <v>323</v>
      </c>
      <c r="B26" s="558" t="s">
        <v>555</v>
      </c>
      <c r="C26" s="81"/>
      <c r="D26" s="81"/>
      <c r="E26" s="537"/>
    </row>
    <row r="27" spans="1:5" s="533" customFormat="1" ht="12" customHeight="1">
      <c r="A27" s="557" t="s">
        <v>324</v>
      </c>
      <c r="B27" s="559" t="s">
        <v>558</v>
      </c>
      <c r="C27" s="414"/>
      <c r="D27" s="414"/>
      <c r="E27" s="536"/>
    </row>
    <row r="28" spans="1:5" s="533" customFormat="1" ht="12" customHeight="1" thickBot="1">
      <c r="A28" s="556" t="s">
        <v>325</v>
      </c>
      <c r="B28" s="560" t="s">
        <v>672</v>
      </c>
      <c r="C28" s="540"/>
      <c r="D28" s="540"/>
      <c r="E28" s="535"/>
    </row>
    <row r="29" spans="1:5" s="533" customFormat="1" ht="12" customHeight="1" thickBot="1">
      <c r="A29" s="543" t="s">
        <v>11</v>
      </c>
      <c r="B29" s="354" t="s">
        <v>559</v>
      </c>
      <c r="C29" s="413">
        <f>SUM(C30:C32)</f>
        <v>0</v>
      </c>
      <c r="D29" s="413">
        <f>SUM(D30:D32)</f>
        <v>0</v>
      </c>
      <c r="E29" s="550">
        <f>SUM(E30:E32)</f>
        <v>0</v>
      </c>
    </row>
    <row r="30" spans="1:5" s="533" customFormat="1" ht="12" customHeight="1">
      <c r="A30" s="557" t="s">
        <v>62</v>
      </c>
      <c r="B30" s="558" t="s">
        <v>342</v>
      </c>
      <c r="C30" s="81"/>
      <c r="D30" s="81"/>
      <c r="E30" s="537"/>
    </row>
    <row r="31" spans="1:5" s="533" customFormat="1" ht="12" customHeight="1">
      <c r="A31" s="557" t="s">
        <v>63</v>
      </c>
      <c r="B31" s="559" t="s">
        <v>343</v>
      </c>
      <c r="C31" s="414"/>
      <c r="D31" s="414"/>
      <c r="E31" s="536"/>
    </row>
    <row r="32" spans="1:5" s="533" customFormat="1" ht="12" customHeight="1" thickBot="1">
      <c r="A32" s="556" t="s">
        <v>64</v>
      </c>
      <c r="B32" s="542" t="s">
        <v>345</v>
      </c>
      <c r="C32" s="540"/>
      <c r="D32" s="540"/>
      <c r="E32" s="535"/>
    </row>
    <row r="33" spans="1:5" s="533" customFormat="1" ht="12" customHeight="1" thickBot="1">
      <c r="A33" s="543" t="s">
        <v>12</v>
      </c>
      <c r="B33" s="354" t="s">
        <v>470</v>
      </c>
      <c r="C33" s="42"/>
      <c r="D33" s="42"/>
      <c r="E33" s="549"/>
    </row>
    <row r="34" spans="1:5" s="506" customFormat="1" ht="12" customHeight="1" thickBot="1">
      <c r="A34" s="543" t="s">
        <v>13</v>
      </c>
      <c r="B34" s="354" t="s">
        <v>560</v>
      </c>
      <c r="C34" s="42"/>
      <c r="D34" s="42"/>
      <c r="E34" s="549"/>
    </row>
    <row r="35" spans="1:5" s="506" customFormat="1" ht="12" customHeight="1" thickBot="1">
      <c r="A35" s="481" t="s">
        <v>14</v>
      </c>
      <c r="B35" s="354" t="s">
        <v>673</v>
      </c>
      <c r="C35" s="413">
        <f>+C8+C19+C24+C25+C29+C33+C34</f>
        <v>0</v>
      </c>
      <c r="D35" s="413">
        <f>+D8+D19+D24+D25+D29+D33+D34</f>
        <v>0</v>
      </c>
      <c r="E35" s="550">
        <f>+E8+E19+E24+E25+E29+E33+E34</f>
        <v>0</v>
      </c>
    </row>
    <row r="36" spans="1:5" s="506" customFormat="1" ht="12" customHeight="1" thickBot="1">
      <c r="A36" s="545" t="s">
        <v>15</v>
      </c>
      <c r="B36" s="354" t="s">
        <v>562</v>
      </c>
      <c r="C36" s="413">
        <f>+C37+C38+C39</f>
        <v>0</v>
      </c>
      <c r="D36" s="413">
        <f>+D37+D38+D39</f>
        <v>0</v>
      </c>
      <c r="E36" s="550">
        <f>+E37+E38+E39</f>
        <v>0</v>
      </c>
    </row>
    <row r="37" spans="1:5" s="506" customFormat="1" ht="12" customHeight="1">
      <c r="A37" s="557" t="s">
        <v>563</v>
      </c>
      <c r="B37" s="558" t="s">
        <v>161</v>
      </c>
      <c r="C37" s="81"/>
      <c r="D37" s="81"/>
      <c r="E37" s="537"/>
    </row>
    <row r="38" spans="1:5" s="533" customFormat="1" ht="12" customHeight="1">
      <c r="A38" s="557" t="s">
        <v>564</v>
      </c>
      <c r="B38" s="559" t="s">
        <v>3</v>
      </c>
      <c r="C38" s="414"/>
      <c r="D38" s="414"/>
      <c r="E38" s="536"/>
    </row>
    <row r="39" spans="1:5" s="533" customFormat="1" ht="12" customHeight="1" thickBot="1">
      <c r="A39" s="556" t="s">
        <v>565</v>
      </c>
      <c r="B39" s="542" t="s">
        <v>566</v>
      </c>
      <c r="C39" s="540"/>
      <c r="D39" s="540"/>
      <c r="E39" s="535"/>
    </row>
    <row r="40" spans="1:5" s="533" customFormat="1" ht="15" customHeight="1" thickBot="1">
      <c r="A40" s="545" t="s">
        <v>16</v>
      </c>
      <c r="B40" s="546" t="s">
        <v>567</v>
      </c>
      <c r="C40" s="87">
        <f>+C35+C36</f>
        <v>0</v>
      </c>
      <c r="D40" s="87">
        <f>+D35+D36</f>
        <v>0</v>
      </c>
      <c r="E40" s="551">
        <f>+E35+E36</f>
        <v>0</v>
      </c>
    </row>
    <row r="41" spans="1:5" s="533" customFormat="1" ht="15" customHeight="1">
      <c r="A41" s="489"/>
      <c r="B41" s="490"/>
      <c r="C41" s="504"/>
      <c r="D41" s="504"/>
      <c r="E41" s="504"/>
    </row>
    <row r="42" spans="1:5" ht="13.5" thickBot="1">
      <c r="A42" s="491"/>
      <c r="B42" s="492"/>
      <c r="C42" s="505"/>
      <c r="D42" s="505"/>
      <c r="E42" s="505"/>
    </row>
    <row r="43" spans="1:5" s="532" customFormat="1" ht="16.5" customHeight="1" thickBot="1">
      <c r="A43" s="758" t="s">
        <v>43</v>
      </c>
      <c r="B43" s="759"/>
      <c r="C43" s="759"/>
      <c r="D43" s="759"/>
      <c r="E43" s="760"/>
    </row>
    <row r="44" spans="1:5" s="309" customFormat="1" ht="12" customHeight="1" thickBot="1">
      <c r="A44" s="543" t="s">
        <v>7</v>
      </c>
      <c r="B44" s="354" t="s">
        <v>568</v>
      </c>
      <c r="C44" s="413">
        <f>SUM(C45:C49)</f>
        <v>0</v>
      </c>
      <c r="D44" s="413">
        <f>SUM(D45:D49)</f>
        <v>0</v>
      </c>
      <c r="E44" s="444">
        <f>SUM(E45:E49)</f>
        <v>0</v>
      </c>
    </row>
    <row r="45" spans="1:5" ht="12" customHeight="1">
      <c r="A45" s="556" t="s">
        <v>69</v>
      </c>
      <c r="B45" s="335" t="s">
        <v>37</v>
      </c>
      <c r="C45" s="81"/>
      <c r="D45" s="81"/>
      <c r="E45" s="439"/>
    </row>
    <row r="46" spans="1:5" ht="12" customHeight="1">
      <c r="A46" s="556" t="s">
        <v>70</v>
      </c>
      <c r="B46" s="334" t="s">
        <v>131</v>
      </c>
      <c r="C46" s="407"/>
      <c r="D46" s="407"/>
      <c r="E46" s="440"/>
    </row>
    <row r="47" spans="1:5" ht="12" customHeight="1">
      <c r="A47" s="556" t="s">
        <v>71</v>
      </c>
      <c r="B47" s="334" t="s">
        <v>98</v>
      </c>
      <c r="C47" s="407"/>
      <c r="D47" s="407"/>
      <c r="E47" s="440"/>
    </row>
    <row r="48" spans="1:5" ht="12" customHeight="1">
      <c r="A48" s="556" t="s">
        <v>72</v>
      </c>
      <c r="B48" s="334" t="s">
        <v>132</v>
      </c>
      <c r="C48" s="407"/>
      <c r="D48" s="407"/>
      <c r="E48" s="440"/>
    </row>
    <row r="49" spans="1:5" ht="12" customHeight="1" thickBot="1">
      <c r="A49" s="556" t="s">
        <v>105</v>
      </c>
      <c r="B49" s="334" t="s">
        <v>133</v>
      </c>
      <c r="C49" s="407"/>
      <c r="D49" s="407"/>
      <c r="E49" s="440"/>
    </row>
    <row r="50" spans="1:5" ht="12" customHeight="1" thickBot="1">
      <c r="A50" s="543" t="s">
        <v>8</v>
      </c>
      <c r="B50" s="354" t="s">
        <v>569</v>
      </c>
      <c r="C50" s="413">
        <f>SUM(C51:C53)</f>
        <v>0</v>
      </c>
      <c r="D50" s="413">
        <f>SUM(D51:D53)</f>
        <v>0</v>
      </c>
      <c r="E50" s="444">
        <f>SUM(E51:E53)</f>
        <v>0</v>
      </c>
    </row>
    <row r="51" spans="1:5" s="309" customFormat="1" ht="12" customHeight="1">
      <c r="A51" s="556" t="s">
        <v>75</v>
      </c>
      <c r="B51" s="335" t="s">
        <v>155</v>
      </c>
      <c r="C51" s="81"/>
      <c r="D51" s="81"/>
      <c r="E51" s="439"/>
    </row>
    <row r="52" spans="1:5" ht="12" customHeight="1">
      <c r="A52" s="556" t="s">
        <v>76</v>
      </c>
      <c r="B52" s="334" t="s">
        <v>135</v>
      </c>
      <c r="C52" s="407"/>
      <c r="D52" s="407"/>
      <c r="E52" s="440"/>
    </row>
    <row r="53" spans="1:5" ht="12" customHeight="1">
      <c r="A53" s="556" t="s">
        <v>77</v>
      </c>
      <c r="B53" s="334" t="s">
        <v>44</v>
      </c>
      <c r="C53" s="407"/>
      <c r="D53" s="407"/>
      <c r="E53" s="440"/>
    </row>
    <row r="54" spans="1:5" ht="12" customHeight="1" thickBot="1">
      <c r="A54" s="556" t="s">
        <v>78</v>
      </c>
      <c r="B54" s="334" t="s">
        <v>674</v>
      </c>
      <c r="C54" s="407"/>
      <c r="D54" s="407"/>
      <c r="E54" s="440"/>
    </row>
    <row r="55" spans="1:5" ht="12" customHeight="1" thickBot="1">
      <c r="A55" s="543" t="s">
        <v>9</v>
      </c>
      <c r="B55" s="547" t="s">
        <v>570</v>
      </c>
      <c r="C55" s="413">
        <f>+C44+C50</f>
        <v>0</v>
      </c>
      <c r="D55" s="413">
        <f>+D44+D50</f>
        <v>0</v>
      </c>
      <c r="E55" s="444">
        <f>+E44+E50</f>
        <v>0</v>
      </c>
    </row>
    <row r="56" spans="3:5" ht="13.5" thickBot="1">
      <c r="C56" s="552"/>
      <c r="D56" s="552"/>
      <c r="E56" s="552"/>
    </row>
    <row r="57" spans="1:5" ht="15" customHeight="1" thickBot="1">
      <c r="A57" s="635" t="s">
        <v>735</v>
      </c>
      <c r="B57" s="636"/>
      <c r="C57" s="91"/>
      <c r="D57" s="91"/>
      <c r="E57" s="541"/>
    </row>
    <row r="58" spans="1:5" ht="14.25" customHeight="1" thickBot="1">
      <c r="A58" s="637" t="s">
        <v>734</v>
      </c>
      <c r="B58" s="638"/>
      <c r="C58" s="91"/>
      <c r="D58" s="91"/>
      <c r="E58" s="541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153"/>
  <sheetViews>
    <sheetView view="pageLayout" zoomScaleNormal="130" zoomScaleSheetLayoutView="100" workbookViewId="0" topLeftCell="A180">
      <selection activeCell="B37" sqref="B37"/>
    </sheetView>
  </sheetViews>
  <sheetFormatPr defaultColWidth="9.00390625" defaultRowHeight="12.75"/>
  <cols>
    <col min="1" max="1" width="9.50390625" style="375" customWidth="1"/>
    <col min="2" max="2" width="60.875" style="375" customWidth="1"/>
    <col min="3" max="5" width="15.875" style="376" customWidth="1"/>
    <col min="6" max="16384" width="9.375" style="386" customWidth="1"/>
  </cols>
  <sheetData>
    <row r="1" spans="1:5" ht="15.75" customHeight="1">
      <c r="A1" s="719" t="s">
        <v>4</v>
      </c>
      <c r="B1" s="719"/>
      <c r="C1" s="719"/>
      <c r="D1" s="719"/>
      <c r="E1" s="719"/>
    </row>
    <row r="2" spans="1:5" ht="15.75" customHeight="1" thickBot="1">
      <c r="A2" s="46" t="s">
        <v>109</v>
      </c>
      <c r="B2" s="46"/>
      <c r="C2" s="373"/>
      <c r="D2" s="373"/>
      <c r="E2" s="373" t="s">
        <v>736</v>
      </c>
    </row>
    <row r="3" spans="1:5" ht="15.75" customHeight="1">
      <c r="A3" s="720" t="s">
        <v>57</v>
      </c>
      <c r="B3" s="722" t="s">
        <v>6</v>
      </c>
      <c r="C3" s="724" t="str">
        <f>+CONCATENATE(LEFT(ÖSSZEFÜGGÉSEK!A4,4),". évi")</f>
        <v>2019. évi</v>
      </c>
      <c r="D3" s="724"/>
      <c r="E3" s="725"/>
    </row>
    <row r="4" spans="1:5" ht="37.5" customHeight="1" thickBot="1">
      <c r="A4" s="721"/>
      <c r="B4" s="723"/>
      <c r="C4" s="48" t="s">
        <v>174</v>
      </c>
      <c r="D4" s="48" t="s">
        <v>179</v>
      </c>
      <c r="E4" s="49" t="s">
        <v>180</v>
      </c>
    </row>
    <row r="5" spans="1:5" s="387" customFormat="1" ht="12" customHeight="1" thickBot="1">
      <c r="A5" s="351" t="s">
        <v>410</v>
      </c>
      <c r="B5" s="352" t="s">
        <v>411</v>
      </c>
      <c r="C5" s="352" t="s">
        <v>412</v>
      </c>
      <c r="D5" s="352" t="s">
        <v>413</v>
      </c>
      <c r="E5" s="398" t="s">
        <v>414</v>
      </c>
    </row>
    <row r="6" spans="1:5" s="388" customFormat="1" ht="12" customHeight="1" thickBot="1">
      <c r="A6" s="346" t="s">
        <v>7</v>
      </c>
      <c r="B6" s="347" t="s">
        <v>302</v>
      </c>
      <c r="C6" s="378">
        <f>SUM(C7:C12)</f>
        <v>136620875</v>
      </c>
      <c r="D6" s="378">
        <f>SUM(D7:D12)</f>
        <v>169702262</v>
      </c>
      <c r="E6" s="361">
        <f>SUM(E7:E12)</f>
        <v>169702262</v>
      </c>
    </row>
    <row r="7" spans="1:5" s="388" customFormat="1" ht="12" customHeight="1">
      <c r="A7" s="341" t="s">
        <v>69</v>
      </c>
      <c r="B7" s="389" t="s">
        <v>303</v>
      </c>
      <c r="C7" s="380">
        <v>70039327</v>
      </c>
      <c r="D7" s="380">
        <v>73362954</v>
      </c>
      <c r="E7" s="363">
        <v>73362954</v>
      </c>
    </row>
    <row r="8" spans="1:5" s="388" customFormat="1" ht="12" customHeight="1">
      <c r="A8" s="340" t="s">
        <v>70</v>
      </c>
      <c r="B8" s="390" t="s">
        <v>304</v>
      </c>
      <c r="C8" s="379">
        <v>22294800</v>
      </c>
      <c r="D8" s="379">
        <v>22684800</v>
      </c>
      <c r="E8" s="362">
        <v>22684800</v>
      </c>
    </row>
    <row r="9" spans="1:5" s="388" customFormat="1" ht="12" customHeight="1">
      <c r="A9" s="340" t="s">
        <v>71</v>
      </c>
      <c r="B9" s="390" t="s">
        <v>305</v>
      </c>
      <c r="C9" s="379">
        <v>42486748</v>
      </c>
      <c r="D9" s="379">
        <v>45854846</v>
      </c>
      <c r="E9" s="362">
        <v>45854846</v>
      </c>
    </row>
    <row r="10" spans="1:5" s="388" customFormat="1" ht="12" customHeight="1">
      <c r="A10" s="340" t="s">
        <v>72</v>
      </c>
      <c r="B10" s="390" t="s">
        <v>306</v>
      </c>
      <c r="C10" s="379">
        <v>1800000</v>
      </c>
      <c r="D10" s="379">
        <v>1800000</v>
      </c>
      <c r="E10" s="362">
        <v>1800000</v>
      </c>
    </row>
    <row r="11" spans="1:5" s="388" customFormat="1" ht="12" customHeight="1">
      <c r="A11" s="340" t="s">
        <v>105</v>
      </c>
      <c r="B11" s="390" t="s">
        <v>307</v>
      </c>
      <c r="C11" s="379"/>
      <c r="D11" s="379">
        <v>196782</v>
      </c>
      <c r="E11" s="362">
        <v>196782</v>
      </c>
    </row>
    <row r="12" spans="1:5" s="388" customFormat="1" ht="12" customHeight="1" thickBot="1">
      <c r="A12" s="342" t="s">
        <v>73</v>
      </c>
      <c r="B12" s="391" t="s">
        <v>308</v>
      </c>
      <c r="C12" s="381"/>
      <c r="D12" s="381">
        <v>25802880</v>
      </c>
      <c r="E12" s="364">
        <v>25802880</v>
      </c>
    </row>
    <row r="13" spans="1:5" s="388" customFormat="1" ht="24.75" customHeight="1" thickBot="1">
      <c r="A13" s="346" t="s">
        <v>8</v>
      </c>
      <c r="B13" s="368" t="s">
        <v>309</v>
      </c>
      <c r="C13" s="378">
        <f>SUM(C14:C18)</f>
        <v>70646484</v>
      </c>
      <c r="D13" s="378">
        <f>SUM(D14:D18)</f>
        <v>70686137</v>
      </c>
      <c r="E13" s="361">
        <f>SUM(E14:E18)</f>
        <v>58425418</v>
      </c>
    </row>
    <row r="14" spans="1:5" s="388" customFormat="1" ht="12" customHeight="1">
      <c r="A14" s="341" t="s">
        <v>75</v>
      </c>
      <c r="B14" s="389" t="s">
        <v>310</v>
      </c>
      <c r="C14" s="380"/>
      <c r="D14" s="380"/>
      <c r="E14" s="363"/>
    </row>
    <row r="15" spans="1:5" s="388" customFormat="1" ht="12" customHeight="1">
      <c r="A15" s="340" t="s">
        <v>76</v>
      </c>
      <c r="B15" s="390" t="s">
        <v>311</v>
      </c>
      <c r="C15" s="379"/>
      <c r="D15" s="379"/>
      <c r="E15" s="362"/>
    </row>
    <row r="16" spans="1:5" s="388" customFormat="1" ht="12" customHeight="1">
      <c r="A16" s="340" t="s">
        <v>77</v>
      </c>
      <c r="B16" s="390" t="s">
        <v>312</v>
      </c>
      <c r="C16" s="379"/>
      <c r="D16" s="379"/>
      <c r="E16" s="362"/>
    </row>
    <row r="17" spans="1:5" s="388" customFormat="1" ht="12" customHeight="1">
      <c r="A17" s="340" t="s">
        <v>78</v>
      </c>
      <c r="B17" s="390" t="s">
        <v>313</v>
      </c>
      <c r="C17" s="379"/>
      <c r="D17" s="379"/>
      <c r="E17" s="362"/>
    </row>
    <row r="18" spans="1:5" s="388" customFormat="1" ht="12" customHeight="1">
      <c r="A18" s="340" t="s">
        <v>79</v>
      </c>
      <c r="B18" s="390" t="s">
        <v>314</v>
      </c>
      <c r="C18" s="379">
        <f>58793000+11853484</f>
        <v>70646484</v>
      </c>
      <c r="D18" s="379">
        <f>50175688+20510449</f>
        <v>70686137</v>
      </c>
      <c r="E18" s="362">
        <f>45714603+12710815</f>
        <v>58425418</v>
      </c>
    </row>
    <row r="19" spans="1:5" s="388" customFormat="1" ht="12" customHeight="1" thickBot="1">
      <c r="A19" s="342" t="s">
        <v>86</v>
      </c>
      <c r="B19" s="391" t="s">
        <v>315</v>
      </c>
      <c r="C19" s="381"/>
      <c r="D19" s="381"/>
      <c r="E19" s="364"/>
    </row>
    <row r="20" spans="1:5" s="388" customFormat="1" ht="23.25" customHeight="1" thickBot="1">
      <c r="A20" s="346" t="s">
        <v>9</v>
      </c>
      <c r="B20" s="347" t="s">
        <v>316</v>
      </c>
      <c r="C20" s="378">
        <f>SUM(C21:C25)</f>
        <v>109415154</v>
      </c>
      <c r="D20" s="378">
        <f>SUM(D21:D25)</f>
        <v>114540185</v>
      </c>
      <c r="E20" s="361">
        <f>SUM(E21:E25)</f>
        <v>114540185</v>
      </c>
    </row>
    <row r="21" spans="1:5" s="388" customFormat="1" ht="12" customHeight="1">
      <c r="A21" s="341" t="s">
        <v>58</v>
      </c>
      <c r="B21" s="389" t="s">
        <v>317</v>
      </c>
      <c r="C21" s="380"/>
      <c r="D21" s="380"/>
      <c r="E21" s="363"/>
    </row>
    <row r="22" spans="1:5" s="388" customFormat="1" ht="12" customHeight="1">
      <c r="A22" s="340" t="s">
        <v>59</v>
      </c>
      <c r="B22" s="390" t="s">
        <v>318</v>
      </c>
      <c r="C22" s="379"/>
      <c r="D22" s="379"/>
      <c r="E22" s="362"/>
    </row>
    <row r="23" spans="1:5" s="388" customFormat="1" ht="12" customHeight="1">
      <c r="A23" s="340" t="s">
        <v>60</v>
      </c>
      <c r="B23" s="390" t="s">
        <v>319</v>
      </c>
      <c r="C23" s="379"/>
      <c r="D23" s="379"/>
      <c r="E23" s="362"/>
    </row>
    <row r="24" spans="1:5" s="388" customFormat="1" ht="12" customHeight="1">
      <c r="A24" s="340" t="s">
        <v>61</v>
      </c>
      <c r="B24" s="390" t="s">
        <v>320</v>
      </c>
      <c r="C24" s="379"/>
      <c r="D24" s="379"/>
      <c r="E24" s="362"/>
    </row>
    <row r="25" spans="1:5" s="388" customFormat="1" ht="12" customHeight="1">
      <c r="A25" s="340" t="s">
        <v>119</v>
      </c>
      <c r="B25" s="390" t="s">
        <v>321</v>
      </c>
      <c r="C25" s="379">
        <v>109415154</v>
      </c>
      <c r="D25" s="379">
        <v>114540185</v>
      </c>
      <c r="E25" s="362">
        <v>114540185</v>
      </c>
    </row>
    <row r="26" spans="1:5" s="388" customFormat="1" ht="12" customHeight="1">
      <c r="A26" s="340" t="s">
        <v>120</v>
      </c>
      <c r="B26" s="391" t="s">
        <v>759</v>
      </c>
      <c r="C26" s="381"/>
      <c r="D26" s="381"/>
      <c r="E26" s="364">
        <v>101396946</v>
      </c>
    </row>
    <row r="27" spans="1:5" s="388" customFormat="1" ht="12" customHeight="1" thickBot="1">
      <c r="A27" s="518" t="s">
        <v>758</v>
      </c>
      <c r="B27" s="391" t="s">
        <v>760</v>
      </c>
      <c r="C27" s="381"/>
      <c r="D27" s="381"/>
      <c r="E27" s="364">
        <v>13143239</v>
      </c>
    </row>
    <row r="28" spans="1:5" s="388" customFormat="1" ht="12" customHeight="1" thickBot="1">
      <c r="A28" s="346" t="s">
        <v>121</v>
      </c>
      <c r="B28" s="347" t="s">
        <v>724</v>
      </c>
      <c r="C28" s="384">
        <f>SUM(C29:C33)</f>
        <v>31350000</v>
      </c>
      <c r="D28" s="384">
        <f>SUM(D29:D33)</f>
        <v>50438604</v>
      </c>
      <c r="E28" s="397">
        <f>SUM(E29:E33)</f>
        <v>50340079</v>
      </c>
    </row>
    <row r="29" spans="1:5" s="388" customFormat="1" ht="12" customHeight="1">
      <c r="A29" s="516" t="s">
        <v>323</v>
      </c>
      <c r="B29" s="389" t="s">
        <v>743</v>
      </c>
      <c r="C29" s="380">
        <v>27000000</v>
      </c>
      <c r="D29" s="380">
        <v>45292319</v>
      </c>
      <c r="E29" s="363">
        <v>45292319</v>
      </c>
    </row>
    <row r="30" spans="1:5" s="388" customFormat="1" ht="12" customHeight="1">
      <c r="A30" s="517" t="s">
        <v>324</v>
      </c>
      <c r="B30" s="390" t="s">
        <v>744</v>
      </c>
      <c r="C30" s="379">
        <v>4200000</v>
      </c>
      <c r="D30" s="379">
        <v>4996285</v>
      </c>
      <c r="E30" s="362">
        <v>4996285</v>
      </c>
    </row>
    <row r="31" spans="1:5" s="388" customFormat="1" ht="12" customHeight="1">
      <c r="A31" s="517" t="s">
        <v>325</v>
      </c>
      <c r="B31" s="390" t="s">
        <v>731</v>
      </c>
      <c r="C31" s="379"/>
      <c r="D31" s="379"/>
      <c r="E31" s="362"/>
    </row>
    <row r="32" spans="1:5" s="388" customFormat="1" ht="12" customHeight="1">
      <c r="A32" s="517" t="s">
        <v>745</v>
      </c>
      <c r="B32" s="390" t="s">
        <v>326</v>
      </c>
      <c r="C32" s="379"/>
      <c r="D32" s="379"/>
      <c r="E32" s="362">
        <v>0</v>
      </c>
    </row>
    <row r="33" spans="1:5" s="388" customFormat="1" ht="12" customHeight="1" thickBot="1">
      <c r="A33" s="518" t="s">
        <v>725</v>
      </c>
      <c r="B33" s="370" t="s">
        <v>327</v>
      </c>
      <c r="C33" s="381">
        <v>150000</v>
      </c>
      <c r="D33" s="381">
        <v>150000</v>
      </c>
      <c r="E33" s="364">
        <v>51475</v>
      </c>
    </row>
    <row r="34" spans="1:5" s="388" customFormat="1" ht="12" customHeight="1" thickBot="1">
      <c r="A34" s="346" t="s">
        <v>11</v>
      </c>
      <c r="B34" s="347" t="s">
        <v>328</v>
      </c>
      <c r="C34" s="378">
        <f>SUM(C35:C44)</f>
        <v>9727948</v>
      </c>
      <c r="D34" s="378">
        <f>SUM(D35:D44)</f>
        <v>24755727</v>
      </c>
      <c r="E34" s="361">
        <f>SUM(E35:E44)</f>
        <v>24019407</v>
      </c>
    </row>
    <row r="35" spans="1:5" s="388" customFormat="1" ht="12" customHeight="1">
      <c r="A35" s="341" t="s">
        <v>62</v>
      </c>
      <c r="B35" s="389" t="s">
        <v>329</v>
      </c>
      <c r="C35" s="380">
        <v>2711200</v>
      </c>
      <c r="D35" s="380">
        <v>3656368</v>
      </c>
      <c r="E35" s="363">
        <v>3656368</v>
      </c>
    </row>
    <row r="36" spans="1:5" s="388" customFormat="1" ht="12" customHeight="1">
      <c r="A36" s="340" t="s">
        <v>63</v>
      </c>
      <c r="B36" s="390" t="s">
        <v>330</v>
      </c>
      <c r="C36" s="379">
        <f>5114166+60000</f>
        <v>5174166</v>
      </c>
      <c r="D36" s="379">
        <f>14037203+140000+60000</f>
        <v>14237203</v>
      </c>
      <c r="E36" s="362">
        <f>13690651+140000+15000</f>
        <v>13845651</v>
      </c>
    </row>
    <row r="37" spans="1:5" s="388" customFormat="1" ht="12" customHeight="1">
      <c r="A37" s="340" t="s">
        <v>64</v>
      </c>
      <c r="B37" s="390" t="s">
        <v>331</v>
      </c>
      <c r="C37" s="379"/>
      <c r="D37" s="379"/>
      <c r="E37" s="362"/>
    </row>
    <row r="38" spans="1:5" s="388" customFormat="1" ht="12" customHeight="1">
      <c r="A38" s="340" t="s">
        <v>123</v>
      </c>
      <c r="B38" s="390" t="s">
        <v>332</v>
      </c>
      <c r="C38" s="379"/>
      <c r="D38" s="379">
        <v>791569</v>
      </c>
      <c r="E38" s="362">
        <v>791569</v>
      </c>
    </row>
    <row r="39" spans="1:5" s="388" customFormat="1" ht="12" customHeight="1">
      <c r="A39" s="340" t="s">
        <v>124</v>
      </c>
      <c r="B39" s="390" t="s">
        <v>333</v>
      </c>
      <c r="C39" s="379">
        <f>150000+572750</f>
        <v>722750</v>
      </c>
      <c r="D39" s="379">
        <f>186000+825312</f>
        <v>1011312</v>
      </c>
      <c r="E39" s="362">
        <f>186000+636276</f>
        <v>822276</v>
      </c>
    </row>
    <row r="40" spans="1:5" s="388" customFormat="1" ht="12" customHeight="1">
      <c r="A40" s="340" t="s">
        <v>125</v>
      </c>
      <c r="B40" s="390" t="s">
        <v>334</v>
      </c>
      <c r="C40" s="379">
        <f>216200+903632</f>
        <v>1119832</v>
      </c>
      <c r="D40" s="379">
        <f>3851385+1163071</f>
        <v>5014456</v>
      </c>
      <c r="E40" s="362">
        <f>3695653+1163071</f>
        <v>4858724</v>
      </c>
    </row>
    <row r="41" spans="1:5" s="388" customFormat="1" ht="12" customHeight="1">
      <c r="A41" s="340" t="s">
        <v>126</v>
      </c>
      <c r="B41" s="390" t="s">
        <v>335</v>
      </c>
      <c r="C41" s="379"/>
      <c r="D41" s="379"/>
      <c r="E41" s="362"/>
    </row>
    <row r="42" spans="1:5" s="388" customFormat="1" ht="12" customHeight="1">
      <c r="A42" s="340" t="s">
        <v>127</v>
      </c>
      <c r="B42" s="390" t="s">
        <v>336</v>
      </c>
      <c r="C42" s="379"/>
      <c r="D42" s="379">
        <f>29548+971+30</f>
        <v>30549</v>
      </c>
      <c r="E42" s="362">
        <f>29548+971+30</f>
        <v>30549</v>
      </c>
    </row>
    <row r="43" spans="1:5" s="388" customFormat="1" ht="12" customHeight="1">
      <c r="A43" s="340" t="s">
        <v>337</v>
      </c>
      <c r="B43" s="390" t="s">
        <v>338</v>
      </c>
      <c r="C43" s="382"/>
      <c r="D43" s="382"/>
      <c r="E43" s="365"/>
    </row>
    <row r="44" spans="1:5" s="388" customFormat="1" ht="12" customHeight="1" thickBot="1">
      <c r="A44" s="342" t="s">
        <v>339</v>
      </c>
      <c r="B44" s="391" t="s">
        <v>340</v>
      </c>
      <c r="C44" s="383"/>
      <c r="D44" s="383">
        <v>14270</v>
      </c>
      <c r="E44" s="366">
        <v>14270</v>
      </c>
    </row>
    <row r="45" spans="1:5" s="388" customFormat="1" ht="12" customHeight="1" thickBot="1">
      <c r="A45" s="346" t="s">
        <v>12</v>
      </c>
      <c r="B45" s="347" t="s">
        <v>341</v>
      </c>
      <c r="C45" s="378">
        <f>SUM(C46:C50)</f>
        <v>0</v>
      </c>
      <c r="D45" s="378">
        <f>SUM(D46:D50)</f>
        <v>0</v>
      </c>
      <c r="E45" s="361">
        <f>SUM(E46:E50)</f>
        <v>0</v>
      </c>
    </row>
    <row r="46" spans="1:5" s="388" customFormat="1" ht="12" customHeight="1">
      <c r="A46" s="341" t="s">
        <v>65</v>
      </c>
      <c r="B46" s="389" t="s">
        <v>342</v>
      </c>
      <c r="C46" s="399"/>
      <c r="D46" s="399"/>
      <c r="E46" s="367"/>
    </row>
    <row r="47" spans="1:5" s="388" customFormat="1" ht="12" customHeight="1">
      <c r="A47" s="340" t="s">
        <v>66</v>
      </c>
      <c r="B47" s="390" t="s">
        <v>343</v>
      </c>
      <c r="C47" s="382"/>
      <c r="D47" s="382"/>
      <c r="E47" s="365"/>
    </row>
    <row r="48" spans="1:5" s="388" customFormat="1" ht="12" customHeight="1">
      <c r="A48" s="340" t="s">
        <v>344</v>
      </c>
      <c r="B48" s="390" t="s">
        <v>345</v>
      </c>
      <c r="C48" s="382"/>
      <c r="D48" s="382"/>
      <c r="E48" s="365"/>
    </row>
    <row r="49" spans="1:5" s="388" customFormat="1" ht="12" customHeight="1">
      <c r="A49" s="340" t="s">
        <v>346</v>
      </c>
      <c r="B49" s="390" t="s">
        <v>347</v>
      </c>
      <c r="C49" s="382"/>
      <c r="D49" s="382"/>
      <c r="E49" s="365"/>
    </row>
    <row r="50" spans="1:5" s="388" customFormat="1" ht="12" customHeight="1" thickBot="1">
      <c r="A50" s="342" t="s">
        <v>348</v>
      </c>
      <c r="B50" s="391" t="s">
        <v>349</v>
      </c>
      <c r="C50" s="383"/>
      <c r="D50" s="383"/>
      <c r="E50" s="366"/>
    </row>
    <row r="51" spans="1:5" s="388" customFormat="1" ht="17.25" customHeight="1" thickBot="1">
      <c r="A51" s="346" t="s">
        <v>128</v>
      </c>
      <c r="B51" s="347" t="s">
        <v>350</v>
      </c>
      <c r="C51" s="378">
        <f>SUM(C52:C54)</f>
        <v>0</v>
      </c>
      <c r="D51" s="378">
        <f>SUM(D52:D54)</f>
        <v>0</v>
      </c>
      <c r="E51" s="361">
        <f>SUM(E52:E54)</f>
        <v>0</v>
      </c>
    </row>
    <row r="52" spans="1:5" s="388" customFormat="1" ht="12" customHeight="1">
      <c r="A52" s="341" t="s">
        <v>67</v>
      </c>
      <c r="B52" s="389" t="s">
        <v>351</v>
      </c>
      <c r="C52" s="380"/>
      <c r="D52" s="380"/>
      <c r="E52" s="363"/>
    </row>
    <row r="53" spans="1:5" s="388" customFormat="1" ht="12" customHeight="1">
      <c r="A53" s="340" t="s">
        <v>68</v>
      </c>
      <c r="B53" s="390" t="s">
        <v>352</v>
      </c>
      <c r="C53" s="379"/>
      <c r="D53" s="379"/>
      <c r="E53" s="362"/>
    </row>
    <row r="54" spans="1:5" s="388" customFormat="1" ht="12" customHeight="1">
      <c r="A54" s="340" t="s">
        <v>353</v>
      </c>
      <c r="B54" s="390" t="s">
        <v>354</v>
      </c>
      <c r="C54" s="379"/>
      <c r="D54" s="379"/>
      <c r="E54" s="362"/>
    </row>
    <row r="55" spans="1:5" s="388" customFormat="1" ht="12" customHeight="1" thickBot="1">
      <c r="A55" s="342" t="s">
        <v>355</v>
      </c>
      <c r="B55" s="391" t="s">
        <v>356</v>
      </c>
      <c r="C55" s="381"/>
      <c r="D55" s="381"/>
      <c r="E55" s="364"/>
    </row>
    <row r="56" spans="1:5" s="388" customFormat="1" ht="12" customHeight="1" thickBot="1">
      <c r="A56" s="346" t="s">
        <v>14</v>
      </c>
      <c r="B56" s="368" t="s">
        <v>357</v>
      </c>
      <c r="C56" s="378">
        <f>SUM(C57:C59)</f>
        <v>0</v>
      </c>
      <c r="D56" s="378">
        <f>SUM(D57:D59)</f>
        <v>0</v>
      </c>
      <c r="E56" s="361">
        <f>SUM(E57:E59)</f>
        <v>0</v>
      </c>
    </row>
    <row r="57" spans="1:5" s="388" customFormat="1" ht="12" customHeight="1">
      <c r="A57" s="341" t="s">
        <v>129</v>
      </c>
      <c r="B57" s="389" t="s">
        <v>358</v>
      </c>
      <c r="C57" s="382"/>
      <c r="D57" s="382"/>
      <c r="E57" s="365"/>
    </row>
    <row r="58" spans="1:5" s="388" customFormat="1" ht="12" customHeight="1">
      <c r="A58" s="340" t="s">
        <v>130</v>
      </c>
      <c r="B58" s="390" t="s">
        <v>359</v>
      </c>
      <c r="C58" s="382"/>
      <c r="D58" s="382"/>
      <c r="E58" s="365"/>
    </row>
    <row r="59" spans="1:5" s="388" customFormat="1" ht="12" customHeight="1">
      <c r="A59" s="340" t="s">
        <v>156</v>
      </c>
      <c r="B59" s="390" t="s">
        <v>360</v>
      </c>
      <c r="C59" s="382"/>
      <c r="D59" s="382"/>
      <c r="E59" s="365"/>
    </row>
    <row r="60" spans="1:5" s="388" customFormat="1" ht="12" customHeight="1" thickBot="1">
      <c r="A60" s="342" t="s">
        <v>361</v>
      </c>
      <c r="B60" s="391" t="s">
        <v>362</v>
      </c>
      <c r="C60" s="382"/>
      <c r="D60" s="382"/>
      <c r="E60" s="365"/>
    </row>
    <row r="61" spans="1:5" s="388" customFormat="1" ht="12" customHeight="1" thickBot="1">
      <c r="A61" s="346" t="s">
        <v>15</v>
      </c>
      <c r="B61" s="347" t="s">
        <v>363</v>
      </c>
      <c r="C61" s="384">
        <f>+C6+C13+C20+C28+C34+C45+C51+C56</f>
        <v>357760461</v>
      </c>
      <c r="D61" s="384">
        <f>+D6+D13+D20+D28+D34+D45+D51+D56</f>
        <v>430122915</v>
      </c>
      <c r="E61" s="397">
        <f>+E6+E13+E20+E28+E34+E45+E51+E56</f>
        <v>417027351</v>
      </c>
    </row>
    <row r="62" spans="1:5" s="388" customFormat="1" ht="12" customHeight="1" thickBot="1">
      <c r="A62" s="400" t="s">
        <v>364</v>
      </c>
      <c r="B62" s="368" t="s">
        <v>365</v>
      </c>
      <c r="C62" s="378">
        <f>+C63+C64+C65</f>
        <v>0</v>
      </c>
      <c r="D62" s="378">
        <f>+D63+D64+D65</f>
        <v>0</v>
      </c>
      <c r="E62" s="361">
        <f>+E63+E64+E65</f>
        <v>0</v>
      </c>
    </row>
    <row r="63" spans="1:5" s="388" customFormat="1" ht="12" customHeight="1">
      <c r="A63" s="341" t="s">
        <v>366</v>
      </c>
      <c r="B63" s="389" t="s">
        <v>367</v>
      </c>
      <c r="C63" s="382"/>
      <c r="D63" s="382"/>
      <c r="E63" s="365"/>
    </row>
    <row r="64" spans="1:5" s="388" customFormat="1" ht="12" customHeight="1">
      <c r="A64" s="340" t="s">
        <v>368</v>
      </c>
      <c r="B64" s="390" t="s">
        <v>369</v>
      </c>
      <c r="C64" s="382"/>
      <c r="D64" s="382"/>
      <c r="E64" s="365"/>
    </row>
    <row r="65" spans="1:5" s="388" customFormat="1" ht="12" customHeight="1" thickBot="1">
      <c r="A65" s="342" t="s">
        <v>370</v>
      </c>
      <c r="B65" s="326" t="s">
        <v>415</v>
      </c>
      <c r="C65" s="382"/>
      <c r="D65" s="382"/>
      <c r="E65" s="365"/>
    </row>
    <row r="66" spans="1:5" s="388" customFormat="1" ht="12" customHeight="1" thickBot="1">
      <c r="A66" s="400" t="s">
        <v>372</v>
      </c>
      <c r="B66" s="368" t="s">
        <v>373</v>
      </c>
      <c r="C66" s="378">
        <f>+C67+C68+C69+C70</f>
        <v>0</v>
      </c>
      <c r="D66" s="378">
        <f>+D67+D68+D69+D70</f>
        <v>0</v>
      </c>
      <c r="E66" s="361">
        <f>+E67+E68+E69+E70</f>
        <v>0</v>
      </c>
    </row>
    <row r="67" spans="1:5" s="388" customFormat="1" ht="13.5" customHeight="1">
      <c r="A67" s="341" t="s">
        <v>106</v>
      </c>
      <c r="B67" s="389" t="s">
        <v>374</v>
      </c>
      <c r="C67" s="382"/>
      <c r="D67" s="382"/>
      <c r="E67" s="365"/>
    </row>
    <row r="68" spans="1:5" s="388" customFormat="1" ht="12" customHeight="1">
      <c r="A68" s="340" t="s">
        <v>107</v>
      </c>
      <c r="B68" s="390" t="s">
        <v>375</v>
      </c>
      <c r="C68" s="382"/>
      <c r="D68" s="382"/>
      <c r="E68" s="365"/>
    </row>
    <row r="69" spans="1:5" s="388" customFormat="1" ht="12" customHeight="1">
      <c r="A69" s="340" t="s">
        <v>376</v>
      </c>
      <c r="B69" s="390" t="s">
        <v>377</v>
      </c>
      <c r="C69" s="382"/>
      <c r="D69" s="382"/>
      <c r="E69" s="365"/>
    </row>
    <row r="70" spans="1:5" s="388" customFormat="1" ht="12" customHeight="1" thickBot="1">
      <c r="A70" s="342" t="s">
        <v>378</v>
      </c>
      <c r="B70" s="391" t="s">
        <v>379</v>
      </c>
      <c r="C70" s="382"/>
      <c r="D70" s="382"/>
      <c r="E70" s="365"/>
    </row>
    <row r="71" spans="1:5" s="388" customFormat="1" ht="12" customHeight="1" thickBot="1">
      <c r="A71" s="400" t="s">
        <v>380</v>
      </c>
      <c r="B71" s="368" t="s">
        <v>381</v>
      </c>
      <c r="C71" s="378">
        <f>+C72+C74</f>
        <v>236332859</v>
      </c>
      <c r="D71" s="378">
        <f>+D72+D74</f>
        <v>237907018</v>
      </c>
      <c r="E71" s="361">
        <f>+E72+E74</f>
        <v>201892671</v>
      </c>
    </row>
    <row r="72" spans="1:5" s="388" customFormat="1" ht="12" customHeight="1">
      <c r="A72" s="341" t="s">
        <v>382</v>
      </c>
      <c r="B72" s="389" t="s">
        <v>383</v>
      </c>
      <c r="C72" s="382">
        <f>235983330+226765+122764</f>
        <v>236332859</v>
      </c>
      <c r="D72" s="382">
        <f>235983330+1243565+680123</f>
        <v>237907018</v>
      </c>
      <c r="E72" s="365">
        <f>199968983+1243565+680123</f>
        <v>201892671</v>
      </c>
    </row>
    <row r="73" spans="1:5" s="388" customFormat="1" ht="12" customHeight="1">
      <c r="A73" s="341" t="s">
        <v>384</v>
      </c>
      <c r="B73" s="687" t="s">
        <v>755</v>
      </c>
      <c r="C73" s="382"/>
      <c r="D73" s="382"/>
      <c r="E73" s="365"/>
    </row>
    <row r="74" spans="1:5" s="388" customFormat="1" ht="12" customHeight="1" thickBot="1">
      <c r="A74" s="342" t="s">
        <v>754</v>
      </c>
      <c r="B74" s="391" t="s">
        <v>566</v>
      </c>
      <c r="C74" s="382"/>
      <c r="D74" s="382"/>
      <c r="E74" s="365"/>
    </row>
    <row r="75" spans="1:5" s="388" customFormat="1" ht="12" customHeight="1" thickBot="1">
      <c r="A75" s="400" t="s">
        <v>386</v>
      </c>
      <c r="B75" s="368" t="s">
        <v>387</v>
      </c>
      <c r="C75" s="378">
        <f>+C76+C77+C78</f>
        <v>0</v>
      </c>
      <c r="D75" s="378">
        <f>+D76+D77+D78</f>
        <v>39884874</v>
      </c>
      <c r="E75" s="361">
        <f>+E76+E77+E78</f>
        <v>39884874</v>
      </c>
    </row>
    <row r="76" spans="1:5" s="388" customFormat="1" ht="12" customHeight="1">
      <c r="A76" s="341" t="s">
        <v>388</v>
      </c>
      <c r="B76" s="389" t="s">
        <v>389</v>
      </c>
      <c r="C76" s="382"/>
      <c r="D76" s="382">
        <v>5718007</v>
      </c>
      <c r="E76" s="365">
        <v>5718007</v>
      </c>
    </row>
    <row r="77" spans="1:5" s="388" customFormat="1" ht="12" customHeight="1">
      <c r="A77" s="340" t="s">
        <v>390</v>
      </c>
      <c r="B77" s="390" t="s">
        <v>391</v>
      </c>
      <c r="C77" s="382"/>
      <c r="D77" s="382"/>
      <c r="E77" s="365"/>
    </row>
    <row r="78" spans="1:5" s="388" customFormat="1" ht="12" customHeight="1" thickBot="1">
      <c r="A78" s="342" t="s">
        <v>392</v>
      </c>
      <c r="B78" s="370" t="s">
        <v>393</v>
      </c>
      <c r="C78" s="382"/>
      <c r="D78" s="382">
        <v>34166867</v>
      </c>
      <c r="E78" s="365">
        <v>34166867</v>
      </c>
    </row>
    <row r="79" spans="1:5" s="388" customFormat="1" ht="12" customHeight="1" thickBot="1">
      <c r="A79" s="400" t="s">
        <v>394</v>
      </c>
      <c r="B79" s="368" t="s">
        <v>395</v>
      </c>
      <c r="C79" s="378">
        <f>+C80+C81+C82+C83</f>
        <v>0</v>
      </c>
      <c r="D79" s="378">
        <f>+D80+D81+D82+D83</f>
        <v>0</v>
      </c>
      <c r="E79" s="361">
        <f>+E80+E81+E82+E83</f>
        <v>0</v>
      </c>
    </row>
    <row r="80" spans="1:5" s="388" customFormat="1" ht="12" customHeight="1">
      <c r="A80" s="392" t="s">
        <v>396</v>
      </c>
      <c r="B80" s="389" t="s">
        <v>397</v>
      </c>
      <c r="C80" s="382"/>
      <c r="D80" s="382"/>
      <c r="E80" s="365"/>
    </row>
    <row r="81" spans="1:5" s="388" customFormat="1" ht="12" customHeight="1">
      <c r="A81" s="393" t="s">
        <v>398</v>
      </c>
      <c r="B81" s="390" t="s">
        <v>399</v>
      </c>
      <c r="C81" s="382"/>
      <c r="D81" s="382"/>
      <c r="E81" s="365"/>
    </row>
    <row r="82" spans="1:5" s="388" customFormat="1" ht="12" customHeight="1">
      <c r="A82" s="393" t="s">
        <v>400</v>
      </c>
      <c r="B82" s="390" t="s">
        <v>401</v>
      </c>
      <c r="C82" s="382"/>
      <c r="D82" s="382"/>
      <c r="E82" s="365"/>
    </row>
    <row r="83" spans="1:5" s="388" customFormat="1" ht="12" customHeight="1" thickBot="1">
      <c r="A83" s="401" t="s">
        <v>402</v>
      </c>
      <c r="B83" s="370" t="s">
        <v>403</v>
      </c>
      <c r="C83" s="382"/>
      <c r="D83" s="382"/>
      <c r="E83" s="365"/>
    </row>
    <row r="84" spans="1:5" s="388" customFormat="1" ht="12" customHeight="1" thickBot="1">
      <c r="A84" s="400" t="s">
        <v>404</v>
      </c>
      <c r="B84" s="368" t="s">
        <v>405</v>
      </c>
      <c r="C84" s="403"/>
      <c r="D84" s="403"/>
      <c r="E84" s="404"/>
    </row>
    <row r="85" spans="1:5" s="388" customFormat="1" ht="12" customHeight="1" thickBot="1">
      <c r="A85" s="400" t="s">
        <v>406</v>
      </c>
      <c r="B85" s="324" t="s">
        <v>407</v>
      </c>
      <c r="C85" s="384">
        <f>+C62+C66+C71+C75+C79+C84</f>
        <v>236332859</v>
      </c>
      <c r="D85" s="384">
        <f>+D62+D66+D71+D75+D79+D84</f>
        <v>277791892</v>
      </c>
      <c r="E85" s="397">
        <f>+E62+E66+E71+E75+E79+E84</f>
        <v>241777545</v>
      </c>
    </row>
    <row r="86" spans="1:5" s="388" customFormat="1" ht="21.75" thickBot="1">
      <c r="A86" s="402" t="s">
        <v>408</v>
      </c>
      <c r="B86" s="327" t="s">
        <v>409</v>
      </c>
      <c r="C86" s="384">
        <f>+C61+C85</f>
        <v>594093320</v>
      </c>
      <c r="D86" s="384">
        <f>+D61+D85</f>
        <v>707914807</v>
      </c>
      <c r="E86" s="397">
        <f>+E61+E85</f>
        <v>658804896</v>
      </c>
    </row>
    <row r="87" spans="1:5" s="388" customFormat="1" ht="12" customHeight="1">
      <c r="A87" s="322"/>
      <c r="B87" s="322"/>
      <c r="C87" s="323"/>
      <c r="D87" s="323"/>
      <c r="E87" s="323"/>
    </row>
    <row r="88" spans="1:5" ht="16.5" customHeight="1">
      <c r="A88" s="719" t="s">
        <v>36</v>
      </c>
      <c r="B88" s="719"/>
      <c r="C88" s="719"/>
      <c r="D88" s="719"/>
      <c r="E88" s="719"/>
    </row>
    <row r="89" spans="1:5" s="394" customFormat="1" ht="16.5" customHeight="1" thickBot="1">
      <c r="A89" s="47" t="s">
        <v>110</v>
      </c>
      <c r="B89" s="47"/>
      <c r="C89" s="355"/>
      <c r="D89" s="355"/>
      <c r="E89" s="355" t="str">
        <f>E2</f>
        <v>Forintban!</v>
      </c>
    </row>
    <row r="90" spans="1:5" s="394" customFormat="1" ht="16.5" customHeight="1">
      <c r="A90" s="720" t="s">
        <v>57</v>
      </c>
      <c r="B90" s="722" t="s">
        <v>173</v>
      </c>
      <c r="C90" s="724" t="str">
        <f>+C3</f>
        <v>2019. évi</v>
      </c>
      <c r="D90" s="724"/>
      <c r="E90" s="725"/>
    </row>
    <row r="91" spans="1:5" ht="37.5" customHeight="1" thickBot="1">
      <c r="A91" s="721"/>
      <c r="B91" s="723"/>
      <c r="C91" s="48" t="s">
        <v>174</v>
      </c>
      <c r="D91" s="48" t="s">
        <v>179</v>
      </c>
      <c r="E91" s="49" t="s">
        <v>180</v>
      </c>
    </row>
    <row r="92" spans="1:5" s="387" customFormat="1" ht="12" customHeight="1" thickBot="1">
      <c r="A92" s="351" t="s">
        <v>410</v>
      </c>
      <c r="B92" s="352" t="s">
        <v>411</v>
      </c>
      <c r="C92" s="352" t="s">
        <v>412</v>
      </c>
      <c r="D92" s="352" t="s">
        <v>413</v>
      </c>
      <c r="E92" s="353" t="s">
        <v>414</v>
      </c>
    </row>
    <row r="93" spans="1:5" ht="12" customHeight="1" thickBot="1">
      <c r="A93" s="348" t="s">
        <v>7</v>
      </c>
      <c r="B93" s="350" t="s">
        <v>416</v>
      </c>
      <c r="C93" s="377">
        <f>SUM(C94:C98)</f>
        <v>276215955</v>
      </c>
      <c r="D93" s="377">
        <f>SUM(D94:D98)</f>
        <v>356477160</v>
      </c>
      <c r="E93" s="332">
        <f>SUM(E94:E98)</f>
        <v>308059522</v>
      </c>
    </row>
    <row r="94" spans="1:5" ht="12" customHeight="1">
      <c r="A94" s="343" t="s">
        <v>69</v>
      </c>
      <c r="B94" s="336" t="s">
        <v>37</v>
      </c>
      <c r="C94" s="78">
        <f>55484050+63721400+28810000</f>
        <v>148015450</v>
      </c>
      <c r="D94" s="78">
        <f>64420050+73203634+29039056</f>
        <v>166662740</v>
      </c>
      <c r="E94" s="331">
        <f>60709860+65287071+28591172</f>
        <v>154588103</v>
      </c>
    </row>
    <row r="95" spans="1:5" ht="12" customHeight="1">
      <c r="A95" s="340" t="s">
        <v>70</v>
      </c>
      <c r="B95" s="334" t="s">
        <v>131</v>
      </c>
      <c r="C95" s="379">
        <f>11396350+12640000+5643000</f>
        <v>29679350</v>
      </c>
      <c r="D95" s="379">
        <f>11396350+13530163+5643000</f>
        <v>30569513</v>
      </c>
      <c r="E95" s="362">
        <f>9499603+13424747+5467279</f>
        <v>28391629</v>
      </c>
    </row>
    <row r="96" spans="1:5" ht="12" customHeight="1">
      <c r="A96" s="340" t="s">
        <v>71</v>
      </c>
      <c r="B96" s="334" t="s">
        <v>98</v>
      </c>
      <c r="C96" s="381">
        <f>42564000+7703249+16600000</f>
        <v>66867249</v>
      </c>
      <c r="D96" s="381">
        <f>86835983+8846276+18385502</f>
        <v>114067761</v>
      </c>
      <c r="E96" s="364">
        <f>72628940+6880949+16618629</f>
        <v>96128518</v>
      </c>
    </row>
    <row r="97" spans="1:5" ht="12" customHeight="1">
      <c r="A97" s="340" t="s">
        <v>72</v>
      </c>
      <c r="B97" s="337" t="s">
        <v>132</v>
      </c>
      <c r="C97" s="381">
        <f>24362574</f>
        <v>24362574</v>
      </c>
      <c r="D97" s="381">
        <f>27688954</f>
        <v>27688954</v>
      </c>
      <c r="E97" s="364">
        <f>15609758</f>
        <v>15609758</v>
      </c>
    </row>
    <row r="98" spans="1:5" ht="12" customHeight="1">
      <c r="A98" s="340" t="s">
        <v>81</v>
      </c>
      <c r="B98" s="345" t="s">
        <v>133</v>
      </c>
      <c r="C98" s="381">
        <f>7291332</f>
        <v>7291332</v>
      </c>
      <c r="D98" s="381">
        <f>17488192</f>
        <v>17488192</v>
      </c>
      <c r="E98" s="364">
        <f>13341514</f>
        <v>13341514</v>
      </c>
    </row>
    <row r="99" spans="1:5" ht="12" customHeight="1">
      <c r="A99" s="340" t="s">
        <v>73</v>
      </c>
      <c r="B99" s="334" t="s">
        <v>417</v>
      </c>
      <c r="C99" s="381"/>
      <c r="D99" s="381"/>
      <c r="E99" s="364"/>
    </row>
    <row r="100" spans="1:5" ht="12" customHeight="1">
      <c r="A100" s="340" t="s">
        <v>74</v>
      </c>
      <c r="B100" s="357" t="s">
        <v>418</v>
      </c>
      <c r="C100" s="381"/>
      <c r="D100" s="381"/>
      <c r="E100" s="364"/>
    </row>
    <row r="101" spans="1:5" ht="12" customHeight="1">
      <c r="A101" s="340" t="s">
        <v>82</v>
      </c>
      <c r="B101" s="358" t="s">
        <v>419</v>
      </c>
      <c r="C101" s="381"/>
      <c r="D101" s="381"/>
      <c r="E101" s="364"/>
    </row>
    <row r="102" spans="1:5" ht="12" customHeight="1">
      <c r="A102" s="340" t="s">
        <v>83</v>
      </c>
      <c r="B102" s="358" t="s">
        <v>420</v>
      </c>
      <c r="C102" s="381"/>
      <c r="D102" s="381"/>
      <c r="E102" s="364"/>
    </row>
    <row r="103" spans="1:5" ht="12" customHeight="1">
      <c r="A103" s="340" t="s">
        <v>84</v>
      </c>
      <c r="B103" s="357" t="s">
        <v>421</v>
      </c>
      <c r="C103" s="381">
        <v>6691332</v>
      </c>
      <c r="D103" s="381">
        <v>6691332</v>
      </c>
      <c r="E103" s="364">
        <v>2544654</v>
      </c>
    </row>
    <row r="104" spans="1:5" ht="12" customHeight="1">
      <c r="A104" s="340" t="s">
        <v>85</v>
      </c>
      <c r="B104" s="357" t="s">
        <v>422</v>
      </c>
      <c r="C104" s="381"/>
      <c r="D104" s="381"/>
      <c r="E104" s="364"/>
    </row>
    <row r="105" spans="1:5" ht="12" customHeight="1">
      <c r="A105" s="340" t="s">
        <v>87</v>
      </c>
      <c r="B105" s="358" t="s">
        <v>423</v>
      </c>
      <c r="C105" s="381"/>
      <c r="D105" s="381"/>
      <c r="E105" s="364"/>
    </row>
    <row r="106" spans="1:5" ht="12" customHeight="1">
      <c r="A106" s="339" t="s">
        <v>134</v>
      </c>
      <c r="B106" s="359" t="s">
        <v>424</v>
      </c>
      <c r="C106" s="381"/>
      <c r="D106" s="381"/>
      <c r="E106" s="364"/>
    </row>
    <row r="107" spans="1:5" ht="12" customHeight="1">
      <c r="A107" s="340" t="s">
        <v>425</v>
      </c>
      <c r="B107" s="359" t="s">
        <v>426</v>
      </c>
      <c r="C107" s="381"/>
      <c r="D107" s="381"/>
      <c r="E107" s="364"/>
    </row>
    <row r="108" spans="1:5" ht="12" customHeight="1" thickBot="1">
      <c r="A108" s="344" t="s">
        <v>427</v>
      </c>
      <c r="B108" s="360" t="s">
        <v>428</v>
      </c>
      <c r="C108" s="79">
        <v>600000</v>
      </c>
      <c r="D108" s="79">
        <v>10796860</v>
      </c>
      <c r="E108" s="325">
        <v>10796860</v>
      </c>
    </row>
    <row r="109" spans="1:5" ht="12" customHeight="1" thickBot="1">
      <c r="A109" s="346" t="s">
        <v>8</v>
      </c>
      <c r="B109" s="349" t="s">
        <v>429</v>
      </c>
      <c r="C109" s="378">
        <f>+C110+C112+C114</f>
        <v>312709794</v>
      </c>
      <c r="D109" s="378">
        <f>+D110+D112+D114</f>
        <v>315086710</v>
      </c>
      <c r="E109" s="361">
        <f>+E110+E112+E114</f>
        <v>145194622</v>
      </c>
    </row>
    <row r="110" spans="1:5" ht="12" customHeight="1">
      <c r="A110" s="341" t="s">
        <v>75</v>
      </c>
      <c r="B110" s="334" t="s">
        <v>155</v>
      </c>
      <c r="C110" s="380">
        <v>179712700</v>
      </c>
      <c r="D110" s="380">
        <v>182697036</v>
      </c>
      <c r="E110" s="363">
        <v>36070621</v>
      </c>
    </row>
    <row r="111" spans="1:5" ht="12" customHeight="1">
      <c r="A111" s="341" t="s">
        <v>76</v>
      </c>
      <c r="B111" s="338" t="s">
        <v>430</v>
      </c>
      <c r="C111" s="380"/>
      <c r="D111" s="380"/>
      <c r="E111" s="363"/>
    </row>
    <row r="112" spans="1:5" ht="15.75">
      <c r="A112" s="341" t="s">
        <v>77</v>
      </c>
      <c r="B112" s="338" t="s">
        <v>135</v>
      </c>
      <c r="C112" s="379">
        <v>132997094</v>
      </c>
      <c r="D112" s="379">
        <v>132389674</v>
      </c>
      <c r="E112" s="362">
        <v>109124001</v>
      </c>
    </row>
    <row r="113" spans="1:5" ht="12" customHeight="1">
      <c r="A113" s="341" t="s">
        <v>78</v>
      </c>
      <c r="B113" s="338" t="s">
        <v>431</v>
      </c>
      <c r="C113" s="379"/>
      <c r="D113" s="379"/>
      <c r="E113" s="362"/>
    </row>
    <row r="114" spans="1:5" ht="12" customHeight="1">
      <c r="A114" s="341" t="s">
        <v>79</v>
      </c>
      <c r="B114" s="370" t="s">
        <v>157</v>
      </c>
      <c r="C114" s="379"/>
      <c r="D114" s="379"/>
      <c r="E114" s="362"/>
    </row>
    <row r="115" spans="1:5" ht="21.75" customHeight="1">
      <c r="A115" s="341" t="s">
        <v>86</v>
      </c>
      <c r="B115" s="369" t="s">
        <v>432</v>
      </c>
      <c r="C115" s="379"/>
      <c r="D115" s="379"/>
      <c r="E115" s="362"/>
    </row>
    <row r="116" spans="1:5" ht="24" customHeight="1">
      <c r="A116" s="341" t="s">
        <v>88</v>
      </c>
      <c r="B116" s="385" t="s">
        <v>433</v>
      </c>
      <c r="C116" s="379"/>
      <c r="D116" s="379"/>
      <c r="E116" s="362"/>
    </row>
    <row r="117" spans="1:5" ht="22.5" customHeight="1">
      <c r="A117" s="341" t="s">
        <v>136</v>
      </c>
      <c r="B117" s="358" t="s">
        <v>420</v>
      </c>
      <c r="C117" s="379"/>
      <c r="D117" s="379"/>
      <c r="E117" s="362"/>
    </row>
    <row r="118" spans="1:5" ht="12" customHeight="1">
      <c r="A118" s="341" t="s">
        <v>137</v>
      </c>
      <c r="B118" s="358" t="s">
        <v>434</v>
      </c>
      <c r="C118" s="379"/>
      <c r="D118" s="379"/>
      <c r="E118" s="362"/>
    </row>
    <row r="119" spans="1:5" ht="12" customHeight="1">
      <c r="A119" s="341" t="s">
        <v>138</v>
      </c>
      <c r="B119" s="358" t="s">
        <v>435</v>
      </c>
      <c r="C119" s="379"/>
      <c r="D119" s="379"/>
      <c r="E119" s="362"/>
    </row>
    <row r="120" spans="1:5" s="405" customFormat="1" ht="23.25" customHeight="1">
      <c r="A120" s="341" t="s">
        <v>436</v>
      </c>
      <c r="B120" s="358" t="s">
        <v>423</v>
      </c>
      <c r="C120" s="379"/>
      <c r="D120" s="379"/>
      <c r="E120" s="362"/>
    </row>
    <row r="121" spans="1:5" ht="12" customHeight="1">
      <c r="A121" s="341" t="s">
        <v>437</v>
      </c>
      <c r="B121" s="358" t="s">
        <v>438</v>
      </c>
      <c r="C121" s="379"/>
      <c r="D121" s="379"/>
      <c r="E121" s="362"/>
    </row>
    <row r="122" spans="1:5" ht="12" customHeight="1" thickBot="1">
      <c r="A122" s="339" t="s">
        <v>439</v>
      </c>
      <c r="B122" s="358" t="s">
        <v>440</v>
      </c>
      <c r="C122" s="381"/>
      <c r="D122" s="381"/>
      <c r="E122" s="364"/>
    </row>
    <row r="123" spans="1:5" ht="12" customHeight="1" thickBot="1">
      <c r="A123" s="346" t="s">
        <v>9</v>
      </c>
      <c r="B123" s="354" t="s">
        <v>441</v>
      </c>
      <c r="C123" s="378">
        <f>+C124+C125</f>
        <v>0</v>
      </c>
      <c r="D123" s="378">
        <f>+D124+D125</f>
        <v>0</v>
      </c>
      <c r="E123" s="361">
        <f>+E124+E125</f>
        <v>0</v>
      </c>
    </row>
    <row r="124" spans="1:5" ht="12" customHeight="1">
      <c r="A124" s="341" t="s">
        <v>58</v>
      </c>
      <c r="B124" s="335" t="s">
        <v>45</v>
      </c>
      <c r="C124" s="380"/>
      <c r="D124" s="380"/>
      <c r="E124" s="363"/>
    </row>
    <row r="125" spans="1:5" ht="12" customHeight="1" thickBot="1">
      <c r="A125" s="342" t="s">
        <v>59</v>
      </c>
      <c r="B125" s="338" t="s">
        <v>46</v>
      </c>
      <c r="C125" s="381"/>
      <c r="D125" s="381"/>
      <c r="E125" s="364"/>
    </row>
    <row r="126" spans="1:5" ht="12" customHeight="1" thickBot="1">
      <c r="A126" s="346" t="s">
        <v>10</v>
      </c>
      <c r="B126" s="354" t="s">
        <v>442</v>
      </c>
      <c r="C126" s="378">
        <f>+C93+C109+C123</f>
        <v>588925749</v>
      </c>
      <c r="D126" s="378">
        <f>+D93+D109+D123</f>
        <v>671563870</v>
      </c>
      <c r="E126" s="361">
        <f>+E93+E109+E123</f>
        <v>453254144</v>
      </c>
    </row>
    <row r="127" spans="1:5" ht="12" customHeight="1" thickBot="1">
      <c r="A127" s="346" t="s">
        <v>11</v>
      </c>
      <c r="B127" s="354" t="s">
        <v>443</v>
      </c>
      <c r="C127" s="378">
        <f>+C128+C129+C130</f>
        <v>0</v>
      </c>
      <c r="D127" s="378">
        <f>+D128+D129+D130</f>
        <v>0</v>
      </c>
      <c r="E127" s="361">
        <f>+E128+E129+E130</f>
        <v>0</v>
      </c>
    </row>
    <row r="128" spans="1:5" ht="12" customHeight="1">
      <c r="A128" s="341" t="s">
        <v>62</v>
      </c>
      <c r="B128" s="335" t="s">
        <v>444</v>
      </c>
      <c r="C128" s="379"/>
      <c r="D128" s="379"/>
      <c r="E128" s="362"/>
    </row>
    <row r="129" spans="1:5" ht="12" customHeight="1">
      <c r="A129" s="341" t="s">
        <v>63</v>
      </c>
      <c r="B129" s="335" t="s">
        <v>445</v>
      </c>
      <c r="C129" s="379"/>
      <c r="D129" s="379"/>
      <c r="E129" s="362"/>
    </row>
    <row r="130" spans="1:5" ht="12" customHeight="1" thickBot="1">
      <c r="A130" s="339" t="s">
        <v>64</v>
      </c>
      <c r="B130" s="333" t="s">
        <v>446</v>
      </c>
      <c r="C130" s="379"/>
      <c r="D130" s="379"/>
      <c r="E130" s="362"/>
    </row>
    <row r="131" spans="1:5" ht="12" customHeight="1" thickBot="1">
      <c r="A131" s="346" t="s">
        <v>12</v>
      </c>
      <c r="B131" s="354" t="s">
        <v>447</v>
      </c>
      <c r="C131" s="378">
        <f>+C132+C133+C135+C134</f>
        <v>0</v>
      </c>
      <c r="D131" s="378">
        <f>+D132+D133+D135+D134</f>
        <v>0</v>
      </c>
      <c r="E131" s="361">
        <f>+E132+E133+E135+E134</f>
        <v>0</v>
      </c>
    </row>
    <row r="132" spans="1:5" ht="12" customHeight="1">
      <c r="A132" s="341" t="s">
        <v>65</v>
      </c>
      <c r="B132" s="335" t="s">
        <v>448</v>
      </c>
      <c r="C132" s="379"/>
      <c r="D132" s="379"/>
      <c r="E132" s="362"/>
    </row>
    <row r="133" spans="1:5" ht="12" customHeight="1">
      <c r="A133" s="341" t="s">
        <v>66</v>
      </c>
      <c r="B133" s="335" t="s">
        <v>449</v>
      </c>
      <c r="C133" s="379"/>
      <c r="D133" s="379"/>
      <c r="E133" s="362"/>
    </row>
    <row r="134" spans="1:5" ht="12" customHeight="1">
      <c r="A134" s="341" t="s">
        <v>344</v>
      </c>
      <c r="B134" s="335" t="s">
        <v>450</v>
      </c>
      <c r="C134" s="379"/>
      <c r="D134" s="379"/>
      <c r="E134" s="362"/>
    </row>
    <row r="135" spans="1:5" ht="12" customHeight="1" thickBot="1">
      <c r="A135" s="339" t="s">
        <v>346</v>
      </c>
      <c r="B135" s="333" t="s">
        <v>451</v>
      </c>
      <c r="C135" s="379"/>
      <c r="D135" s="379"/>
      <c r="E135" s="362"/>
    </row>
    <row r="136" spans="1:5" ht="12" customHeight="1" thickBot="1">
      <c r="A136" s="346" t="s">
        <v>13</v>
      </c>
      <c r="B136" s="354" t="s">
        <v>452</v>
      </c>
      <c r="C136" s="384">
        <f>+C137+C138+C140+C141+C139</f>
        <v>5167571</v>
      </c>
      <c r="D136" s="384">
        <f>+D137+D138+D140+D141+D139</f>
        <v>36350937</v>
      </c>
      <c r="E136" s="397">
        <f>+E137+E138+E140+E141+E139</f>
        <v>36350937</v>
      </c>
    </row>
    <row r="137" spans="1:5" ht="12" customHeight="1">
      <c r="A137" s="341" t="s">
        <v>67</v>
      </c>
      <c r="B137" s="335" t="s">
        <v>453</v>
      </c>
      <c r="C137" s="379"/>
      <c r="D137" s="379"/>
      <c r="E137" s="362"/>
    </row>
    <row r="138" spans="1:5" ht="12" customHeight="1">
      <c r="A138" s="341" t="s">
        <v>68</v>
      </c>
      <c r="B138" s="335" t="s">
        <v>454</v>
      </c>
      <c r="C138" s="379">
        <v>5167571</v>
      </c>
      <c r="D138" s="379">
        <v>5167571</v>
      </c>
      <c r="E138" s="362">
        <v>5167571</v>
      </c>
    </row>
    <row r="139" spans="1:5" ht="12" customHeight="1">
      <c r="A139" s="341" t="s">
        <v>353</v>
      </c>
      <c r="B139" s="335" t="s">
        <v>666</v>
      </c>
      <c r="C139" s="379"/>
      <c r="D139" s="379"/>
      <c r="E139" s="362"/>
    </row>
    <row r="140" spans="1:5" ht="12" customHeight="1">
      <c r="A140" s="341" t="s">
        <v>355</v>
      </c>
      <c r="B140" s="335" t="s">
        <v>455</v>
      </c>
      <c r="C140" s="379"/>
      <c r="D140" s="379">
        <v>31183366</v>
      </c>
      <c r="E140" s="362">
        <v>31183366</v>
      </c>
    </row>
    <row r="141" spans="1:5" ht="12" customHeight="1" thickBot="1">
      <c r="A141" s="339" t="s">
        <v>665</v>
      </c>
      <c r="B141" s="333" t="s">
        <v>456</v>
      </c>
      <c r="C141" s="379"/>
      <c r="D141" s="379"/>
      <c r="E141" s="362"/>
    </row>
    <row r="142" spans="1:9" ht="15" customHeight="1" thickBot="1">
      <c r="A142" s="346" t="s">
        <v>14</v>
      </c>
      <c r="B142" s="354" t="s">
        <v>457</v>
      </c>
      <c r="C142" s="80">
        <f>+C143+C144+C145+C146</f>
        <v>0</v>
      </c>
      <c r="D142" s="80">
        <f>+D143+D144+D145+D146</f>
        <v>0</v>
      </c>
      <c r="E142" s="330">
        <f>+E143+E144+E145+E146</f>
        <v>0</v>
      </c>
      <c r="F142" s="395"/>
      <c r="G142" s="396"/>
      <c r="H142" s="396"/>
      <c r="I142" s="396"/>
    </row>
    <row r="143" spans="1:5" s="388" customFormat="1" ht="12.75" customHeight="1">
      <c r="A143" s="341" t="s">
        <v>129</v>
      </c>
      <c r="B143" s="335" t="s">
        <v>458</v>
      </c>
      <c r="C143" s="379"/>
      <c r="D143" s="379"/>
      <c r="E143" s="362"/>
    </row>
    <row r="144" spans="1:5" ht="12.75" customHeight="1">
      <c r="A144" s="341" t="s">
        <v>130</v>
      </c>
      <c r="B144" s="335" t="s">
        <v>459</v>
      </c>
      <c r="C144" s="379"/>
      <c r="D144" s="379"/>
      <c r="E144" s="362"/>
    </row>
    <row r="145" spans="1:5" ht="12.75" customHeight="1">
      <c r="A145" s="341" t="s">
        <v>156</v>
      </c>
      <c r="B145" s="335" t="s">
        <v>460</v>
      </c>
      <c r="C145" s="379"/>
      <c r="D145" s="379"/>
      <c r="E145" s="362"/>
    </row>
    <row r="146" spans="1:5" ht="12.75" customHeight="1" thickBot="1">
      <c r="A146" s="341" t="s">
        <v>361</v>
      </c>
      <c r="B146" s="335" t="s">
        <v>461</v>
      </c>
      <c r="C146" s="379"/>
      <c r="D146" s="379"/>
      <c r="E146" s="362"/>
    </row>
    <row r="147" spans="1:5" ht="16.5" thickBot="1">
      <c r="A147" s="346" t="s">
        <v>15</v>
      </c>
      <c r="B147" s="354" t="s">
        <v>462</v>
      </c>
      <c r="C147" s="328">
        <f>+C127+C131+C136+C142</f>
        <v>5167571</v>
      </c>
      <c r="D147" s="328">
        <f>+D127+D131+D136+D142</f>
        <v>36350937</v>
      </c>
      <c r="E147" s="329">
        <f>+E127+E131+E136+E142</f>
        <v>36350937</v>
      </c>
    </row>
    <row r="148" spans="1:5" ht="16.5" thickBot="1">
      <c r="A148" s="371" t="s">
        <v>16</v>
      </c>
      <c r="B148" s="374" t="s">
        <v>463</v>
      </c>
      <c r="C148" s="328">
        <f>+C126+C147</f>
        <v>594093320</v>
      </c>
      <c r="D148" s="328">
        <f>+D126+D147</f>
        <v>707914807</v>
      </c>
      <c r="E148" s="329">
        <f>+E126+E147</f>
        <v>489605081</v>
      </c>
    </row>
    <row r="150" spans="1:5" ht="18.75" customHeight="1">
      <c r="A150" s="718" t="s">
        <v>464</v>
      </c>
      <c r="B150" s="718"/>
      <c r="C150" s="718"/>
      <c r="D150" s="718"/>
      <c r="E150" s="718"/>
    </row>
    <row r="151" spans="1:5" ht="13.5" customHeight="1" thickBot="1">
      <c r="A151" s="356" t="s">
        <v>111</v>
      </c>
      <c r="B151" s="356"/>
      <c r="C151" s="386"/>
      <c r="E151" s="373" t="str">
        <f>E89</f>
        <v>Forintban!</v>
      </c>
    </row>
    <row r="152" spans="1:5" ht="21.75" thickBot="1">
      <c r="A152" s="346">
        <v>1</v>
      </c>
      <c r="B152" s="349" t="s">
        <v>465</v>
      </c>
      <c r="C152" s="372">
        <f>+C61-C126</f>
        <v>-231165288</v>
      </c>
      <c r="D152" s="372">
        <f>+D61-D126</f>
        <v>-241440955</v>
      </c>
      <c r="E152" s="372">
        <f>+E61-E126</f>
        <v>-36226793</v>
      </c>
    </row>
    <row r="153" spans="1:5" ht="21.75" thickBot="1">
      <c r="A153" s="346" t="s">
        <v>8</v>
      </c>
      <c r="B153" s="349" t="s">
        <v>466</v>
      </c>
      <c r="C153" s="372">
        <f>+C85-C147</f>
        <v>231165288</v>
      </c>
      <c r="D153" s="372">
        <f>+D85-D147</f>
        <v>241440955</v>
      </c>
      <c r="E153" s="372">
        <f>+E85-E147</f>
        <v>205426608</v>
      </c>
    </row>
    <row r="154" ht="7.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</sheetData>
  <sheetProtection/>
  <mergeCells count="9">
    <mergeCell ref="A150:E150"/>
    <mergeCell ref="A1:E1"/>
    <mergeCell ref="A88:E88"/>
    <mergeCell ref="A90:A91"/>
    <mergeCell ref="B90:B91"/>
    <mergeCell ref="C90:E90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0" fitToWidth="1" horizontalDpi="600" verticalDpi="600" orientation="portrait" paperSize="9" scale="81" r:id="rId1"/>
  <headerFooter alignWithMargins="0">
    <oddHeader>&amp;C&amp;"Times New Roman CE,Félkövér"&amp;12
Borsodszirák Község Önkormányzat
2019. ÉVI ZÁRSZÁMADÁSÁNAK PÉNZÜGYI MÉRLEGE&amp;10
&amp;R&amp;"Times New Roman CE,Félkövér dőlt"&amp;11 1.1. melléklet a 4/2020. (VI.30.) önkormányzati rendelethez</oddHeader>
  </headerFooter>
  <rowBreaks count="1" manualBreakCount="1">
    <brk id="87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58"/>
  <sheetViews>
    <sheetView zoomScaleSheetLayoutView="115" workbookViewId="0" topLeftCell="A1">
      <selection activeCell="C1" sqref="C1:E1"/>
    </sheetView>
  </sheetViews>
  <sheetFormatPr defaultColWidth="9.00390625" defaultRowHeight="12.75"/>
  <cols>
    <col min="1" max="1" width="16.00390625" style="548" customWidth="1"/>
    <col min="2" max="2" width="59.375" style="33" customWidth="1"/>
    <col min="3" max="5" width="15.875" style="33" customWidth="1"/>
    <col min="6" max="16384" width="9.375" style="33" customWidth="1"/>
  </cols>
  <sheetData>
    <row r="1" spans="1:5" s="484" customFormat="1" ht="21" customHeight="1" thickBot="1">
      <c r="A1" s="483"/>
      <c r="B1" s="485"/>
      <c r="C1" s="870" t="s">
        <v>785</v>
      </c>
      <c r="D1" s="868"/>
      <c r="E1" s="868"/>
    </row>
    <row r="2" spans="1:5" s="530" customFormat="1" ht="36">
      <c r="A2" s="510" t="s">
        <v>145</v>
      </c>
      <c r="B2" s="761" t="s">
        <v>549</v>
      </c>
      <c r="C2" s="762"/>
      <c r="D2" s="763"/>
      <c r="E2" s="553" t="s">
        <v>47</v>
      </c>
    </row>
    <row r="3" spans="1:5" s="530" customFormat="1" ht="24.75" thickBot="1">
      <c r="A3" s="528" t="s">
        <v>550</v>
      </c>
      <c r="B3" s="764" t="s">
        <v>670</v>
      </c>
      <c r="C3" s="767"/>
      <c r="D3" s="768"/>
      <c r="E3" s="554" t="s">
        <v>49</v>
      </c>
    </row>
    <row r="4" spans="1:5" s="531" customFormat="1" ht="15.75" customHeight="1" thickBot="1">
      <c r="A4" s="486"/>
      <c r="B4" s="486"/>
      <c r="C4" s="487"/>
      <c r="D4" s="487"/>
      <c r="E4" s="487" t="str">
        <f>'7.3. sz. mell'!E4</f>
        <v>Forintban!</v>
      </c>
    </row>
    <row r="5" spans="1:5" ht="24.75" thickBot="1">
      <c r="A5" s="319" t="s">
        <v>146</v>
      </c>
      <c r="B5" s="320" t="s">
        <v>733</v>
      </c>
      <c r="C5" s="77" t="s">
        <v>174</v>
      </c>
      <c r="D5" s="77" t="s">
        <v>179</v>
      </c>
      <c r="E5" s="488" t="s">
        <v>180</v>
      </c>
    </row>
    <row r="6" spans="1:5" s="532" customFormat="1" ht="12.75" customHeight="1" thickBot="1">
      <c r="A6" s="481" t="s">
        <v>410</v>
      </c>
      <c r="B6" s="482" t="s">
        <v>411</v>
      </c>
      <c r="C6" s="482" t="s">
        <v>412</v>
      </c>
      <c r="D6" s="90" t="s">
        <v>413</v>
      </c>
      <c r="E6" s="88" t="s">
        <v>414</v>
      </c>
    </row>
    <row r="7" spans="1:5" s="532" customFormat="1" ht="15.75" customHeight="1" thickBot="1">
      <c r="A7" s="758" t="s">
        <v>42</v>
      </c>
      <c r="B7" s="759"/>
      <c r="C7" s="759"/>
      <c r="D7" s="759"/>
      <c r="E7" s="760"/>
    </row>
    <row r="8" spans="1:5" s="506" customFormat="1" ht="12" customHeight="1" thickBot="1">
      <c r="A8" s="481" t="s">
        <v>7</v>
      </c>
      <c r="B8" s="544" t="s">
        <v>551</v>
      </c>
      <c r="C8" s="413">
        <f>SUM(C9:C18)</f>
        <v>0</v>
      </c>
      <c r="D8" s="413">
        <f>SUM(D9:D18)</f>
        <v>140971</v>
      </c>
      <c r="E8" s="550">
        <f>SUM(E9:E18)</f>
        <v>140971</v>
      </c>
    </row>
    <row r="9" spans="1:5" s="506" customFormat="1" ht="12" customHeight="1">
      <c r="A9" s="555" t="s">
        <v>69</v>
      </c>
      <c r="B9" s="336" t="s">
        <v>329</v>
      </c>
      <c r="C9" s="84"/>
      <c r="D9" s="84"/>
      <c r="E9" s="539"/>
    </row>
    <row r="10" spans="1:5" s="506" customFormat="1" ht="12" customHeight="1">
      <c r="A10" s="556" t="s">
        <v>70</v>
      </c>
      <c r="B10" s="334" t="s">
        <v>330</v>
      </c>
      <c r="C10" s="410"/>
      <c r="D10" s="410">
        <v>140000</v>
      </c>
      <c r="E10" s="93">
        <v>140000</v>
      </c>
    </row>
    <row r="11" spans="1:5" s="506" customFormat="1" ht="12" customHeight="1">
      <c r="A11" s="556" t="s">
        <v>71</v>
      </c>
      <c r="B11" s="334" t="s">
        <v>331</v>
      </c>
      <c r="C11" s="410"/>
      <c r="D11" s="410"/>
      <c r="E11" s="93"/>
    </row>
    <row r="12" spans="1:5" s="506" customFormat="1" ht="12" customHeight="1">
      <c r="A12" s="556" t="s">
        <v>72</v>
      </c>
      <c r="B12" s="334" t="s">
        <v>332</v>
      </c>
      <c r="C12" s="410"/>
      <c r="D12" s="410"/>
      <c r="E12" s="93"/>
    </row>
    <row r="13" spans="1:5" s="506" customFormat="1" ht="12" customHeight="1">
      <c r="A13" s="556" t="s">
        <v>105</v>
      </c>
      <c r="B13" s="334" t="s">
        <v>333</v>
      </c>
      <c r="C13" s="410"/>
      <c r="D13" s="410"/>
      <c r="E13" s="93"/>
    </row>
    <row r="14" spans="1:5" s="506" customFormat="1" ht="12" customHeight="1">
      <c r="A14" s="556" t="s">
        <v>73</v>
      </c>
      <c r="B14" s="334" t="s">
        <v>552</v>
      </c>
      <c r="C14" s="410"/>
      <c r="D14" s="410"/>
      <c r="E14" s="93"/>
    </row>
    <row r="15" spans="1:5" s="533" customFormat="1" ht="12" customHeight="1">
      <c r="A15" s="556" t="s">
        <v>74</v>
      </c>
      <c r="B15" s="333" t="s">
        <v>553</v>
      </c>
      <c r="C15" s="410"/>
      <c r="D15" s="410"/>
      <c r="E15" s="93"/>
    </row>
    <row r="16" spans="1:5" s="533" customFormat="1" ht="12" customHeight="1">
      <c r="A16" s="556" t="s">
        <v>82</v>
      </c>
      <c r="B16" s="334" t="s">
        <v>336</v>
      </c>
      <c r="C16" s="85"/>
      <c r="D16" s="85">
        <v>971</v>
      </c>
      <c r="E16" s="538">
        <v>971</v>
      </c>
    </row>
    <row r="17" spans="1:5" s="506" customFormat="1" ht="12" customHeight="1">
      <c r="A17" s="556" t="s">
        <v>83</v>
      </c>
      <c r="B17" s="334" t="s">
        <v>338</v>
      </c>
      <c r="C17" s="410"/>
      <c r="D17" s="410"/>
      <c r="E17" s="93"/>
    </row>
    <row r="18" spans="1:5" s="533" customFormat="1" ht="12" customHeight="1" thickBot="1">
      <c r="A18" s="556" t="s">
        <v>84</v>
      </c>
      <c r="B18" s="333" t="s">
        <v>340</v>
      </c>
      <c r="C18" s="412"/>
      <c r="D18" s="412"/>
      <c r="E18" s="534"/>
    </row>
    <row r="19" spans="1:5" s="533" customFormat="1" ht="21.75" thickBot="1">
      <c r="A19" s="481" t="s">
        <v>8</v>
      </c>
      <c r="B19" s="544" t="s">
        <v>554</v>
      </c>
      <c r="C19" s="413">
        <f>SUM(C20:C22)</f>
        <v>11853484</v>
      </c>
      <c r="D19" s="413">
        <f>SUM(D20:D22)</f>
        <v>20510449</v>
      </c>
      <c r="E19" s="550">
        <f>SUM(E20:E22)</f>
        <v>12710815</v>
      </c>
    </row>
    <row r="20" spans="1:5" s="533" customFormat="1" ht="12" customHeight="1">
      <c r="A20" s="556" t="s">
        <v>75</v>
      </c>
      <c r="B20" s="335" t="s">
        <v>310</v>
      </c>
      <c r="C20" s="410"/>
      <c r="D20" s="410"/>
      <c r="E20" s="93"/>
    </row>
    <row r="21" spans="1:5" s="533" customFormat="1" ht="12" customHeight="1">
      <c r="A21" s="556" t="s">
        <v>76</v>
      </c>
      <c r="B21" s="334" t="s">
        <v>555</v>
      </c>
      <c r="C21" s="410"/>
      <c r="D21" s="410"/>
      <c r="E21" s="93"/>
    </row>
    <row r="22" spans="1:5" s="533" customFormat="1" ht="12" customHeight="1">
      <c r="A22" s="556" t="s">
        <v>77</v>
      </c>
      <c r="B22" s="334" t="s">
        <v>556</v>
      </c>
      <c r="C22" s="410">
        <v>11853484</v>
      </c>
      <c r="D22" s="410">
        <v>20510449</v>
      </c>
      <c r="E22" s="93">
        <v>12710815</v>
      </c>
    </row>
    <row r="23" spans="1:5" s="533" customFormat="1" ht="12" customHeight="1" thickBot="1">
      <c r="A23" s="556" t="s">
        <v>78</v>
      </c>
      <c r="B23" s="334" t="s">
        <v>671</v>
      </c>
      <c r="C23" s="410"/>
      <c r="D23" s="410"/>
      <c r="E23" s="93"/>
    </row>
    <row r="24" spans="1:5" s="533" customFormat="1" ht="12" customHeight="1" thickBot="1">
      <c r="A24" s="543" t="s">
        <v>9</v>
      </c>
      <c r="B24" s="354" t="s">
        <v>122</v>
      </c>
      <c r="C24" s="42"/>
      <c r="D24" s="42"/>
      <c r="E24" s="549"/>
    </row>
    <row r="25" spans="1:5" s="533" customFormat="1" ht="21.75" thickBot="1">
      <c r="A25" s="543" t="s">
        <v>10</v>
      </c>
      <c r="B25" s="354" t="s">
        <v>557</v>
      </c>
      <c r="C25" s="413">
        <f>SUM(C26:C27)</f>
        <v>0</v>
      </c>
      <c r="D25" s="413">
        <f>SUM(D26:D27)</f>
        <v>0</v>
      </c>
      <c r="E25" s="550">
        <f>SUM(E26:E27)</f>
        <v>0</v>
      </c>
    </row>
    <row r="26" spans="1:5" s="533" customFormat="1" ht="12" customHeight="1">
      <c r="A26" s="557" t="s">
        <v>323</v>
      </c>
      <c r="B26" s="558" t="s">
        <v>555</v>
      </c>
      <c r="C26" s="81"/>
      <c r="D26" s="81"/>
      <c r="E26" s="537"/>
    </row>
    <row r="27" spans="1:5" s="533" customFormat="1" ht="12" customHeight="1">
      <c r="A27" s="557" t="s">
        <v>324</v>
      </c>
      <c r="B27" s="559" t="s">
        <v>558</v>
      </c>
      <c r="C27" s="414"/>
      <c r="D27" s="414"/>
      <c r="E27" s="536"/>
    </row>
    <row r="28" spans="1:5" s="533" customFormat="1" ht="12" customHeight="1" thickBot="1">
      <c r="A28" s="556" t="s">
        <v>325</v>
      </c>
      <c r="B28" s="560" t="s">
        <v>672</v>
      </c>
      <c r="C28" s="540"/>
      <c r="D28" s="540"/>
      <c r="E28" s="535"/>
    </row>
    <row r="29" spans="1:5" s="533" customFormat="1" ht="12" customHeight="1" thickBot="1">
      <c r="A29" s="543" t="s">
        <v>11</v>
      </c>
      <c r="B29" s="354" t="s">
        <v>559</v>
      </c>
      <c r="C29" s="413">
        <f>SUM(C30:C32)</f>
        <v>0</v>
      </c>
      <c r="D29" s="413">
        <f>SUM(D30:D32)</f>
        <v>0</v>
      </c>
      <c r="E29" s="550">
        <f>SUM(E30:E32)</f>
        <v>0</v>
      </c>
    </row>
    <row r="30" spans="1:5" s="533" customFormat="1" ht="12" customHeight="1">
      <c r="A30" s="557" t="s">
        <v>62</v>
      </c>
      <c r="B30" s="558" t="s">
        <v>342</v>
      </c>
      <c r="C30" s="81"/>
      <c r="D30" s="81"/>
      <c r="E30" s="537"/>
    </row>
    <row r="31" spans="1:5" s="533" customFormat="1" ht="12" customHeight="1">
      <c r="A31" s="557" t="s">
        <v>63</v>
      </c>
      <c r="B31" s="559" t="s">
        <v>343</v>
      </c>
      <c r="C31" s="414"/>
      <c r="D31" s="414"/>
      <c r="E31" s="536"/>
    </row>
    <row r="32" spans="1:5" s="533" customFormat="1" ht="12" customHeight="1" thickBot="1">
      <c r="A32" s="556" t="s">
        <v>64</v>
      </c>
      <c r="B32" s="542" t="s">
        <v>345</v>
      </c>
      <c r="C32" s="540"/>
      <c r="D32" s="540"/>
      <c r="E32" s="535"/>
    </row>
    <row r="33" spans="1:5" s="533" customFormat="1" ht="12" customHeight="1" thickBot="1">
      <c r="A33" s="543" t="s">
        <v>12</v>
      </c>
      <c r="B33" s="354" t="s">
        <v>470</v>
      </c>
      <c r="C33" s="42"/>
      <c r="D33" s="42"/>
      <c r="E33" s="549"/>
    </row>
    <row r="34" spans="1:5" s="506" customFormat="1" ht="12" customHeight="1" thickBot="1">
      <c r="A34" s="543" t="s">
        <v>13</v>
      </c>
      <c r="B34" s="354" t="s">
        <v>560</v>
      </c>
      <c r="C34" s="42"/>
      <c r="D34" s="42"/>
      <c r="E34" s="549"/>
    </row>
    <row r="35" spans="1:5" s="506" customFormat="1" ht="12" customHeight="1" thickBot="1">
      <c r="A35" s="481" t="s">
        <v>14</v>
      </c>
      <c r="B35" s="354" t="s">
        <v>673</v>
      </c>
      <c r="C35" s="413">
        <f>+C8+C19+C24+C25+C29+C33+C34</f>
        <v>11853484</v>
      </c>
      <c r="D35" s="413">
        <f>+D8+D19+D24+D25+D29+D33+D34</f>
        <v>20651420</v>
      </c>
      <c r="E35" s="550">
        <f>+E8+E19+E24+E25+E29+E33+E34</f>
        <v>12851786</v>
      </c>
    </row>
    <row r="36" spans="1:5" s="506" customFormat="1" ht="12" customHeight="1" thickBot="1">
      <c r="A36" s="545" t="s">
        <v>15</v>
      </c>
      <c r="B36" s="354" t="s">
        <v>562</v>
      </c>
      <c r="C36" s="413">
        <f>+C37+C38+C39</f>
        <v>72211165</v>
      </c>
      <c r="D36" s="413">
        <f>+D37+D38+D39</f>
        <v>74928653</v>
      </c>
      <c r="E36" s="550">
        <f>+E37+E38+E39</f>
        <v>74928653</v>
      </c>
    </row>
    <row r="37" spans="1:5" s="506" customFormat="1" ht="12" customHeight="1">
      <c r="A37" s="557" t="s">
        <v>563</v>
      </c>
      <c r="B37" s="558" t="s">
        <v>161</v>
      </c>
      <c r="C37" s="81">
        <v>226765</v>
      </c>
      <c r="D37" s="81">
        <v>1243565</v>
      </c>
      <c r="E37" s="537">
        <v>1243565</v>
      </c>
    </row>
    <row r="38" spans="1:5" s="533" customFormat="1" ht="12" customHeight="1">
      <c r="A38" s="557" t="s">
        <v>564</v>
      </c>
      <c r="B38" s="559" t="s">
        <v>3</v>
      </c>
      <c r="C38" s="414"/>
      <c r="D38" s="414"/>
      <c r="E38" s="536"/>
    </row>
    <row r="39" spans="1:5" s="533" customFormat="1" ht="12" customHeight="1" thickBot="1">
      <c r="A39" s="556" t="s">
        <v>565</v>
      </c>
      <c r="B39" s="542" t="s">
        <v>566</v>
      </c>
      <c r="C39" s="540">
        <v>71984400</v>
      </c>
      <c r="D39" s="540">
        <v>73685088</v>
      </c>
      <c r="E39" s="535">
        <v>73685088</v>
      </c>
    </row>
    <row r="40" spans="1:5" s="533" customFormat="1" ht="15" customHeight="1" thickBot="1">
      <c r="A40" s="545" t="s">
        <v>16</v>
      </c>
      <c r="B40" s="546" t="s">
        <v>567</v>
      </c>
      <c r="C40" s="87">
        <f>+C35+C36</f>
        <v>84064649</v>
      </c>
      <c r="D40" s="87">
        <f>+D35+D36</f>
        <v>95580073</v>
      </c>
      <c r="E40" s="551">
        <f>+E35+E36</f>
        <v>87780439</v>
      </c>
    </row>
    <row r="41" spans="1:5" s="533" customFormat="1" ht="15" customHeight="1">
      <c r="A41" s="489"/>
      <c r="B41" s="490"/>
      <c r="C41" s="504"/>
      <c r="D41" s="504"/>
      <c r="E41" s="504"/>
    </row>
    <row r="42" spans="1:5" ht="13.5" thickBot="1">
      <c r="A42" s="491"/>
      <c r="B42" s="492"/>
      <c r="C42" s="505"/>
      <c r="D42" s="505"/>
      <c r="E42" s="505"/>
    </row>
    <row r="43" spans="1:5" s="532" customFormat="1" ht="16.5" customHeight="1" thickBot="1">
      <c r="A43" s="758" t="s">
        <v>43</v>
      </c>
      <c r="B43" s="759"/>
      <c r="C43" s="759"/>
      <c r="D43" s="759"/>
      <c r="E43" s="760"/>
    </row>
    <row r="44" spans="1:5" s="309" customFormat="1" ht="12" customHeight="1" thickBot="1">
      <c r="A44" s="543" t="s">
        <v>7</v>
      </c>
      <c r="B44" s="354" t="s">
        <v>568</v>
      </c>
      <c r="C44" s="413">
        <f>SUM(C45:C49)</f>
        <v>84064649</v>
      </c>
      <c r="D44" s="413">
        <f>SUM(D45:D49)</f>
        <v>95580073</v>
      </c>
      <c r="E44" s="444">
        <f>SUM(E45:E49)</f>
        <v>85592767</v>
      </c>
    </row>
    <row r="45" spans="1:5" ht="12" customHeight="1">
      <c r="A45" s="556" t="s">
        <v>69</v>
      </c>
      <c r="B45" s="335" t="s">
        <v>37</v>
      </c>
      <c r="C45" s="81">
        <f>SUM('7.1. sz. mell'!C45)</f>
        <v>63721400</v>
      </c>
      <c r="D45" s="81">
        <f>SUM('7.1. sz. mell'!D45)</f>
        <v>73203634</v>
      </c>
      <c r="E45" s="439">
        <f>SUM('7.1. sz. mell'!E45)</f>
        <v>65287071</v>
      </c>
    </row>
    <row r="46" spans="1:5" ht="12" customHeight="1">
      <c r="A46" s="556" t="s">
        <v>70</v>
      </c>
      <c r="B46" s="334" t="s">
        <v>131</v>
      </c>
      <c r="C46" s="407">
        <f>SUM('7.1. sz. mell'!C46)</f>
        <v>12640000</v>
      </c>
      <c r="D46" s="407">
        <f>SUM('7.1. sz. mell'!D46)</f>
        <v>13530163</v>
      </c>
      <c r="E46" s="440">
        <f>SUM('7.1. sz. mell'!E46)</f>
        <v>13424747</v>
      </c>
    </row>
    <row r="47" spans="1:5" ht="12" customHeight="1">
      <c r="A47" s="556" t="s">
        <v>71</v>
      </c>
      <c r="B47" s="334" t="s">
        <v>98</v>
      </c>
      <c r="C47" s="407">
        <f>SUM('7.1. sz. mell'!C47)</f>
        <v>7703249</v>
      </c>
      <c r="D47" s="407">
        <f>SUM('7.1. sz. mell'!D47)</f>
        <v>8846276</v>
      </c>
      <c r="E47" s="440">
        <f>SUM('7.1. sz. mell'!E47)</f>
        <v>6880949</v>
      </c>
    </row>
    <row r="48" spans="1:5" ht="12" customHeight="1">
      <c r="A48" s="556" t="s">
        <v>72</v>
      </c>
      <c r="B48" s="334" t="s">
        <v>132</v>
      </c>
      <c r="C48" s="407"/>
      <c r="D48" s="407"/>
      <c r="E48" s="440"/>
    </row>
    <row r="49" spans="1:5" ht="12" customHeight="1" thickBot="1">
      <c r="A49" s="556" t="s">
        <v>105</v>
      </c>
      <c r="B49" s="334" t="s">
        <v>133</v>
      </c>
      <c r="C49" s="407"/>
      <c r="D49" s="407"/>
      <c r="E49" s="440"/>
    </row>
    <row r="50" spans="1:5" ht="12" customHeight="1" thickBot="1">
      <c r="A50" s="543" t="s">
        <v>8</v>
      </c>
      <c r="B50" s="354" t="s">
        <v>569</v>
      </c>
      <c r="C50" s="413">
        <f>SUM(C51:C53)</f>
        <v>0</v>
      </c>
      <c r="D50" s="413">
        <f>SUM(D51:D53)</f>
        <v>0</v>
      </c>
      <c r="E50" s="444">
        <f>SUM(E51:E53)</f>
        <v>0</v>
      </c>
    </row>
    <row r="51" spans="1:5" s="309" customFormat="1" ht="12" customHeight="1">
      <c r="A51" s="556" t="s">
        <v>75</v>
      </c>
      <c r="B51" s="335" t="s">
        <v>155</v>
      </c>
      <c r="C51" s="81"/>
      <c r="D51" s="439"/>
      <c r="E51" s="439"/>
    </row>
    <row r="52" spans="1:5" ht="12" customHeight="1">
      <c r="A52" s="556" t="s">
        <v>76</v>
      </c>
      <c r="B52" s="334" t="s">
        <v>135</v>
      </c>
      <c r="C52" s="407"/>
      <c r="D52" s="407"/>
      <c r="E52" s="440"/>
    </row>
    <row r="53" spans="1:5" ht="12" customHeight="1">
      <c r="A53" s="556" t="s">
        <v>77</v>
      </c>
      <c r="B53" s="334" t="s">
        <v>44</v>
      </c>
      <c r="C53" s="407"/>
      <c r="D53" s="407"/>
      <c r="E53" s="440"/>
    </row>
    <row r="54" spans="1:5" ht="12" customHeight="1" thickBot="1">
      <c r="A54" s="556" t="s">
        <v>78</v>
      </c>
      <c r="B54" s="334" t="s">
        <v>674</v>
      </c>
      <c r="C54" s="407"/>
      <c r="D54" s="407"/>
      <c r="E54" s="440"/>
    </row>
    <row r="55" spans="1:5" ht="12" customHeight="1" thickBot="1">
      <c r="A55" s="543" t="s">
        <v>9</v>
      </c>
      <c r="B55" s="547" t="s">
        <v>570</v>
      </c>
      <c r="C55" s="413">
        <f>+C44+C50</f>
        <v>84064649</v>
      </c>
      <c r="D55" s="413">
        <f>+D44+D50</f>
        <v>95580073</v>
      </c>
      <c r="E55" s="444">
        <f>+E44+E50</f>
        <v>85592767</v>
      </c>
    </row>
    <row r="56" spans="3:5" ht="13.5" thickBot="1">
      <c r="C56" s="552"/>
      <c r="D56" s="552"/>
      <c r="E56" s="552"/>
    </row>
    <row r="57" spans="1:5" ht="15" customHeight="1" thickBot="1">
      <c r="A57" s="635" t="s">
        <v>735</v>
      </c>
      <c r="B57" s="636"/>
      <c r="C57" s="91"/>
      <c r="D57" s="91"/>
      <c r="E57" s="541"/>
    </row>
    <row r="58" spans="1:5" ht="14.25" customHeight="1" thickBot="1">
      <c r="A58" s="637" t="s">
        <v>734</v>
      </c>
      <c r="B58" s="638"/>
      <c r="C58" s="91"/>
      <c r="D58" s="91"/>
      <c r="E58" s="541"/>
    </row>
  </sheetData>
  <sheetProtection formatCells="0"/>
  <mergeCells count="5">
    <mergeCell ref="B2:D2"/>
    <mergeCell ref="B3:D3"/>
    <mergeCell ref="A7:E7"/>
    <mergeCell ref="A43:E4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58"/>
  <sheetViews>
    <sheetView zoomScaleSheetLayoutView="145" workbookViewId="0" topLeftCell="A1">
      <selection activeCell="B1" sqref="B1:E1"/>
    </sheetView>
  </sheetViews>
  <sheetFormatPr defaultColWidth="9.00390625" defaultRowHeight="12.75"/>
  <cols>
    <col min="1" max="1" width="18.625" style="548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484" customFormat="1" ht="21" customHeight="1" thickBot="1">
      <c r="A1" s="483"/>
      <c r="B1" s="870" t="s">
        <v>786</v>
      </c>
      <c r="C1" s="871"/>
      <c r="D1" s="871"/>
      <c r="E1" s="871"/>
    </row>
    <row r="2" spans="1:5" s="530" customFormat="1" ht="25.5" customHeight="1">
      <c r="A2" s="510" t="s">
        <v>145</v>
      </c>
      <c r="B2" s="761" t="s">
        <v>748</v>
      </c>
      <c r="C2" s="762"/>
      <c r="D2" s="763"/>
      <c r="E2" s="553" t="s">
        <v>48</v>
      </c>
    </row>
    <row r="3" spans="1:5" s="530" customFormat="1" ht="24.75" thickBot="1">
      <c r="A3" s="528" t="s">
        <v>144</v>
      </c>
      <c r="B3" s="764" t="s">
        <v>542</v>
      </c>
      <c r="C3" s="767"/>
      <c r="D3" s="768"/>
      <c r="E3" s="554" t="s">
        <v>41</v>
      </c>
    </row>
    <row r="4" spans="1:5" s="531" customFormat="1" ht="15.75" customHeight="1" thickBot="1">
      <c r="A4" s="486"/>
      <c r="B4" s="486"/>
      <c r="C4" s="487"/>
      <c r="D4" s="487"/>
      <c r="E4" s="487" t="str">
        <f>'7.4. sz. mell'!E4</f>
        <v>Forintban!</v>
      </c>
    </row>
    <row r="5" spans="1:5" ht="24.75" thickBot="1">
      <c r="A5" s="319" t="s">
        <v>146</v>
      </c>
      <c r="B5" s="320" t="s">
        <v>733</v>
      </c>
      <c r="C5" s="77" t="s">
        <v>174</v>
      </c>
      <c r="D5" s="77" t="s">
        <v>179</v>
      </c>
      <c r="E5" s="488" t="s">
        <v>180</v>
      </c>
    </row>
    <row r="6" spans="1:5" s="532" customFormat="1" ht="12.75" customHeight="1" thickBot="1">
      <c r="A6" s="481" t="s">
        <v>410</v>
      </c>
      <c r="B6" s="482" t="s">
        <v>411</v>
      </c>
      <c r="C6" s="482" t="s">
        <v>412</v>
      </c>
      <c r="D6" s="90" t="s">
        <v>413</v>
      </c>
      <c r="E6" s="88" t="s">
        <v>414</v>
      </c>
    </row>
    <row r="7" spans="1:5" s="532" customFormat="1" ht="15.75" customHeight="1" thickBot="1">
      <c r="A7" s="758" t="s">
        <v>42</v>
      </c>
      <c r="B7" s="759"/>
      <c r="C7" s="759"/>
      <c r="D7" s="759"/>
      <c r="E7" s="760"/>
    </row>
    <row r="8" spans="1:5" s="506" customFormat="1" ht="12" customHeight="1" thickBot="1">
      <c r="A8" s="481" t="s">
        <v>7</v>
      </c>
      <c r="B8" s="544" t="s">
        <v>551</v>
      </c>
      <c r="C8" s="413">
        <f>SUM(C9:C18)</f>
        <v>4247582</v>
      </c>
      <c r="D8" s="573">
        <f>SUM(D9:D18)</f>
        <v>5704781</v>
      </c>
      <c r="E8" s="550">
        <f>SUM(E9:E18)</f>
        <v>5470745</v>
      </c>
    </row>
    <row r="9" spans="1:5" s="506" customFormat="1" ht="12" customHeight="1">
      <c r="A9" s="555" t="s">
        <v>69</v>
      </c>
      <c r="B9" s="336" t="s">
        <v>329</v>
      </c>
      <c r="C9" s="84">
        <v>2711200</v>
      </c>
      <c r="D9" s="574">
        <v>3656368</v>
      </c>
      <c r="E9" s="539">
        <v>3656368</v>
      </c>
    </row>
    <row r="10" spans="1:5" s="506" customFormat="1" ht="12" customHeight="1">
      <c r="A10" s="556" t="s">
        <v>70</v>
      </c>
      <c r="B10" s="334" t="s">
        <v>330</v>
      </c>
      <c r="C10" s="410">
        <v>60000</v>
      </c>
      <c r="D10" s="575">
        <v>60000</v>
      </c>
      <c r="E10" s="93">
        <v>15000</v>
      </c>
    </row>
    <row r="11" spans="1:5" s="506" customFormat="1" ht="12" customHeight="1">
      <c r="A11" s="556" t="s">
        <v>71</v>
      </c>
      <c r="B11" s="334" t="s">
        <v>331</v>
      </c>
      <c r="C11" s="410"/>
      <c r="D11" s="575"/>
      <c r="E11" s="93"/>
    </row>
    <row r="12" spans="1:5" s="506" customFormat="1" ht="12" customHeight="1">
      <c r="A12" s="556" t="s">
        <v>72</v>
      </c>
      <c r="B12" s="334" t="s">
        <v>332</v>
      </c>
      <c r="C12" s="410"/>
      <c r="D12" s="575"/>
      <c r="E12" s="93"/>
    </row>
    <row r="13" spans="1:5" s="506" customFormat="1" ht="12" customHeight="1">
      <c r="A13" s="556" t="s">
        <v>105</v>
      </c>
      <c r="B13" s="334" t="s">
        <v>333</v>
      </c>
      <c r="C13" s="410">
        <v>572750</v>
      </c>
      <c r="D13" s="575">
        <v>825312</v>
      </c>
      <c r="E13" s="93">
        <v>636276</v>
      </c>
    </row>
    <row r="14" spans="1:5" s="506" customFormat="1" ht="12" customHeight="1">
      <c r="A14" s="556" t="s">
        <v>73</v>
      </c>
      <c r="B14" s="334" t="s">
        <v>552</v>
      </c>
      <c r="C14" s="410">
        <v>903632</v>
      </c>
      <c r="D14" s="575">
        <v>1163071</v>
      </c>
      <c r="E14" s="93">
        <v>1163071</v>
      </c>
    </row>
    <row r="15" spans="1:5" s="533" customFormat="1" ht="12" customHeight="1">
      <c r="A15" s="556" t="s">
        <v>74</v>
      </c>
      <c r="B15" s="333" t="s">
        <v>553</v>
      </c>
      <c r="C15" s="410"/>
      <c r="D15" s="575"/>
      <c r="E15" s="93"/>
    </row>
    <row r="16" spans="1:5" s="533" customFormat="1" ht="12" customHeight="1">
      <c r="A16" s="556" t="s">
        <v>82</v>
      </c>
      <c r="B16" s="334" t="s">
        <v>336</v>
      </c>
      <c r="C16" s="85"/>
      <c r="D16" s="576">
        <v>30</v>
      </c>
      <c r="E16" s="538">
        <v>30</v>
      </c>
    </row>
    <row r="17" spans="1:5" s="506" customFormat="1" ht="12" customHeight="1">
      <c r="A17" s="556" t="s">
        <v>83</v>
      </c>
      <c r="B17" s="334" t="s">
        <v>338</v>
      </c>
      <c r="C17" s="410"/>
      <c r="D17" s="575"/>
      <c r="E17" s="93"/>
    </row>
    <row r="18" spans="1:5" s="533" customFormat="1" ht="12" customHeight="1" thickBot="1">
      <c r="A18" s="556" t="s">
        <v>84</v>
      </c>
      <c r="B18" s="333" t="s">
        <v>340</v>
      </c>
      <c r="C18" s="412"/>
      <c r="D18" s="94"/>
      <c r="E18" s="534"/>
    </row>
    <row r="19" spans="1:5" s="533" customFormat="1" ht="12" customHeight="1" thickBot="1">
      <c r="A19" s="481" t="s">
        <v>8</v>
      </c>
      <c r="B19" s="544" t="s">
        <v>554</v>
      </c>
      <c r="C19" s="413">
        <f>SUM(C20:C22)</f>
        <v>0</v>
      </c>
      <c r="D19" s="573">
        <f>SUM(D20:D22)</f>
        <v>0</v>
      </c>
      <c r="E19" s="550">
        <f>SUM(E20:E22)</f>
        <v>0</v>
      </c>
    </row>
    <row r="20" spans="1:5" s="533" customFormat="1" ht="12" customHeight="1">
      <c r="A20" s="556" t="s">
        <v>75</v>
      </c>
      <c r="B20" s="335" t="s">
        <v>310</v>
      </c>
      <c r="C20" s="410"/>
      <c r="D20" s="575"/>
      <c r="E20" s="93"/>
    </row>
    <row r="21" spans="1:5" s="533" customFormat="1" ht="12" customHeight="1">
      <c r="A21" s="556" t="s">
        <v>76</v>
      </c>
      <c r="B21" s="334" t="s">
        <v>555</v>
      </c>
      <c r="C21" s="410"/>
      <c r="D21" s="575"/>
      <c r="E21" s="93"/>
    </row>
    <row r="22" spans="1:5" s="533" customFormat="1" ht="12" customHeight="1">
      <c r="A22" s="556" t="s">
        <v>77</v>
      </c>
      <c r="B22" s="334" t="s">
        <v>556</v>
      </c>
      <c r="C22" s="410"/>
      <c r="D22" s="575"/>
      <c r="E22" s="93"/>
    </row>
    <row r="23" spans="1:5" s="506" customFormat="1" ht="12" customHeight="1" thickBot="1">
      <c r="A23" s="556" t="s">
        <v>78</v>
      </c>
      <c r="B23" s="334" t="s">
        <v>676</v>
      </c>
      <c r="C23" s="410"/>
      <c r="D23" s="575"/>
      <c r="E23" s="93"/>
    </row>
    <row r="24" spans="1:5" s="506" customFormat="1" ht="12" customHeight="1" thickBot="1">
      <c r="A24" s="543" t="s">
        <v>9</v>
      </c>
      <c r="B24" s="354" t="s">
        <v>122</v>
      </c>
      <c r="C24" s="42"/>
      <c r="D24" s="577"/>
      <c r="E24" s="549"/>
    </row>
    <row r="25" spans="1:5" s="506" customFormat="1" ht="12" customHeight="1" thickBot="1">
      <c r="A25" s="543" t="s">
        <v>10</v>
      </c>
      <c r="B25" s="354" t="s">
        <v>557</v>
      </c>
      <c r="C25" s="413">
        <f>+C26+C27</f>
        <v>0</v>
      </c>
      <c r="D25" s="573">
        <f>+D26+D27</f>
        <v>0</v>
      </c>
      <c r="E25" s="550">
        <f>+E26+E27</f>
        <v>0</v>
      </c>
    </row>
    <row r="26" spans="1:5" s="506" customFormat="1" ht="12" customHeight="1">
      <c r="A26" s="557" t="s">
        <v>323</v>
      </c>
      <c r="B26" s="558" t="s">
        <v>555</v>
      </c>
      <c r="C26" s="81"/>
      <c r="D26" s="564"/>
      <c r="E26" s="537"/>
    </row>
    <row r="27" spans="1:5" s="506" customFormat="1" ht="12" customHeight="1">
      <c r="A27" s="557" t="s">
        <v>324</v>
      </c>
      <c r="B27" s="559" t="s">
        <v>558</v>
      </c>
      <c r="C27" s="414"/>
      <c r="D27" s="578"/>
      <c r="E27" s="536"/>
    </row>
    <row r="28" spans="1:5" s="506" customFormat="1" ht="12" customHeight="1" thickBot="1">
      <c r="A28" s="556" t="s">
        <v>325</v>
      </c>
      <c r="B28" s="560" t="s">
        <v>677</v>
      </c>
      <c r="C28" s="540"/>
      <c r="D28" s="579"/>
      <c r="E28" s="535"/>
    </row>
    <row r="29" spans="1:5" s="506" customFormat="1" ht="12" customHeight="1" thickBot="1">
      <c r="A29" s="543" t="s">
        <v>11</v>
      </c>
      <c r="B29" s="354" t="s">
        <v>559</v>
      </c>
      <c r="C29" s="413">
        <f>+C30+C31+C32</f>
        <v>0</v>
      </c>
      <c r="D29" s="573">
        <f>+D30+D31+D32</f>
        <v>0</v>
      </c>
      <c r="E29" s="550">
        <f>+E30+E31+E32</f>
        <v>0</v>
      </c>
    </row>
    <row r="30" spans="1:5" s="506" customFormat="1" ht="12" customHeight="1">
      <c r="A30" s="557" t="s">
        <v>62</v>
      </c>
      <c r="B30" s="558" t="s">
        <v>342</v>
      </c>
      <c r="C30" s="81"/>
      <c r="D30" s="564"/>
      <c r="E30" s="537"/>
    </row>
    <row r="31" spans="1:5" s="506" customFormat="1" ht="12" customHeight="1">
      <c r="A31" s="557" t="s">
        <v>63</v>
      </c>
      <c r="B31" s="559" t="s">
        <v>343</v>
      </c>
      <c r="C31" s="414"/>
      <c r="D31" s="578"/>
      <c r="E31" s="536"/>
    </row>
    <row r="32" spans="1:5" s="506" customFormat="1" ht="12" customHeight="1" thickBot="1">
      <c r="A32" s="556" t="s">
        <v>64</v>
      </c>
      <c r="B32" s="542" t="s">
        <v>345</v>
      </c>
      <c r="C32" s="540"/>
      <c r="D32" s="579"/>
      <c r="E32" s="535"/>
    </row>
    <row r="33" spans="1:5" s="506" customFormat="1" ht="12" customHeight="1" thickBot="1">
      <c r="A33" s="543" t="s">
        <v>12</v>
      </c>
      <c r="B33" s="354" t="s">
        <v>470</v>
      </c>
      <c r="C33" s="42"/>
      <c r="D33" s="577"/>
      <c r="E33" s="549"/>
    </row>
    <row r="34" spans="1:5" s="506" customFormat="1" ht="12" customHeight="1" thickBot="1">
      <c r="A34" s="543" t="s">
        <v>13</v>
      </c>
      <c r="B34" s="354" t="s">
        <v>560</v>
      </c>
      <c r="C34" s="42"/>
      <c r="D34" s="577"/>
      <c r="E34" s="549"/>
    </row>
    <row r="35" spans="1:5" s="506" customFormat="1" ht="12" customHeight="1" thickBot="1">
      <c r="A35" s="481" t="s">
        <v>14</v>
      </c>
      <c r="B35" s="354" t="s">
        <v>561</v>
      </c>
      <c r="C35" s="413">
        <f>+C8+C19+C24+C25+C29+C33+C34</f>
        <v>4247582</v>
      </c>
      <c r="D35" s="573">
        <f>+D8+D19+D24+D25+D29+D33+D34</f>
        <v>5704781</v>
      </c>
      <c r="E35" s="550">
        <f>+E8+E19+E24+E25+E29+E33+E34</f>
        <v>5470745</v>
      </c>
    </row>
    <row r="36" spans="1:5" s="533" customFormat="1" ht="12" customHeight="1" thickBot="1">
      <c r="A36" s="545" t="s">
        <v>15</v>
      </c>
      <c r="B36" s="354" t="s">
        <v>562</v>
      </c>
      <c r="C36" s="413">
        <f>+C37+C38+C39</f>
        <v>46805418</v>
      </c>
      <c r="D36" s="573">
        <f>+D37+D38+D39</f>
        <v>47362777</v>
      </c>
      <c r="E36" s="550">
        <f>+E37+E38+E39</f>
        <v>46206354</v>
      </c>
    </row>
    <row r="37" spans="1:5" s="533" customFormat="1" ht="15" customHeight="1">
      <c r="A37" s="557" t="s">
        <v>563</v>
      </c>
      <c r="B37" s="558" t="s">
        <v>161</v>
      </c>
      <c r="C37" s="81">
        <v>122764</v>
      </c>
      <c r="D37" s="564">
        <v>680123</v>
      </c>
      <c r="E37" s="537">
        <v>680123</v>
      </c>
    </row>
    <row r="38" spans="1:5" s="533" customFormat="1" ht="15" customHeight="1">
      <c r="A38" s="557" t="s">
        <v>564</v>
      </c>
      <c r="B38" s="559" t="s">
        <v>3</v>
      </c>
      <c r="C38" s="414"/>
      <c r="D38" s="578"/>
      <c r="E38" s="536"/>
    </row>
    <row r="39" spans="1:5" ht="13.5" thickBot="1">
      <c r="A39" s="556" t="s">
        <v>565</v>
      </c>
      <c r="B39" s="542" t="s">
        <v>566</v>
      </c>
      <c r="C39" s="540">
        <v>46682654</v>
      </c>
      <c r="D39" s="579">
        <v>46682654</v>
      </c>
      <c r="E39" s="535">
        <v>45526231</v>
      </c>
    </row>
    <row r="40" spans="1:5" s="532" customFormat="1" ht="16.5" customHeight="1" thickBot="1">
      <c r="A40" s="545" t="s">
        <v>16</v>
      </c>
      <c r="B40" s="546" t="s">
        <v>567</v>
      </c>
      <c r="C40" s="87">
        <f>+C35+C36</f>
        <v>51053000</v>
      </c>
      <c r="D40" s="580">
        <f>+D35+D36</f>
        <v>53067558</v>
      </c>
      <c r="E40" s="551">
        <f>+E35+E36</f>
        <v>51677099</v>
      </c>
    </row>
    <row r="41" spans="1:5" s="309" customFormat="1" ht="12" customHeight="1">
      <c r="A41" s="489"/>
      <c r="B41" s="490"/>
      <c r="C41" s="504"/>
      <c r="D41" s="504"/>
      <c r="E41" s="504"/>
    </row>
    <row r="42" spans="1:5" ht="12" customHeight="1" thickBot="1">
      <c r="A42" s="491"/>
      <c r="B42" s="492"/>
      <c r="C42" s="505"/>
      <c r="D42" s="505"/>
      <c r="E42" s="505"/>
    </row>
    <row r="43" spans="1:5" ht="12" customHeight="1" thickBot="1">
      <c r="A43" s="758" t="s">
        <v>43</v>
      </c>
      <c r="B43" s="759"/>
      <c r="C43" s="759"/>
      <c r="D43" s="759"/>
      <c r="E43" s="760"/>
    </row>
    <row r="44" spans="1:5" ht="12" customHeight="1" thickBot="1">
      <c r="A44" s="543" t="s">
        <v>7</v>
      </c>
      <c r="B44" s="354" t="s">
        <v>568</v>
      </c>
      <c r="C44" s="413">
        <f>SUM(C45:C49)</f>
        <v>51053000</v>
      </c>
      <c r="D44" s="413">
        <f>SUM(D45:D49)</f>
        <v>53067558</v>
      </c>
      <c r="E44" s="550">
        <f>SUM(E45:E49)</f>
        <v>50677080</v>
      </c>
    </row>
    <row r="45" spans="1:5" ht="12" customHeight="1">
      <c r="A45" s="556" t="s">
        <v>69</v>
      </c>
      <c r="B45" s="335" t="s">
        <v>37</v>
      </c>
      <c r="C45" s="81">
        <v>28810000</v>
      </c>
      <c r="D45" s="81">
        <v>29039056</v>
      </c>
      <c r="E45" s="537">
        <v>28591172</v>
      </c>
    </row>
    <row r="46" spans="1:5" ht="12" customHeight="1">
      <c r="A46" s="556" t="s">
        <v>70</v>
      </c>
      <c r="B46" s="334" t="s">
        <v>131</v>
      </c>
      <c r="C46" s="407">
        <v>5643000</v>
      </c>
      <c r="D46" s="407">
        <v>5643000</v>
      </c>
      <c r="E46" s="561">
        <v>5467279</v>
      </c>
    </row>
    <row r="47" spans="1:5" ht="12" customHeight="1">
      <c r="A47" s="556" t="s">
        <v>71</v>
      </c>
      <c r="B47" s="334" t="s">
        <v>98</v>
      </c>
      <c r="C47" s="407">
        <v>16600000</v>
      </c>
      <c r="D47" s="407">
        <v>18385502</v>
      </c>
      <c r="E47" s="561">
        <v>16618629</v>
      </c>
    </row>
    <row r="48" spans="1:5" s="309" customFormat="1" ht="12" customHeight="1">
      <c r="A48" s="556" t="s">
        <v>72</v>
      </c>
      <c r="B48" s="334" t="s">
        <v>132</v>
      </c>
      <c r="C48" s="407"/>
      <c r="D48" s="407"/>
      <c r="E48" s="561"/>
    </row>
    <row r="49" spans="1:5" ht="12" customHeight="1" thickBot="1">
      <c r="A49" s="556" t="s">
        <v>105</v>
      </c>
      <c r="B49" s="334" t="s">
        <v>133</v>
      </c>
      <c r="C49" s="407"/>
      <c r="D49" s="407"/>
      <c r="E49" s="561"/>
    </row>
    <row r="50" spans="1:5" ht="12" customHeight="1" thickBot="1">
      <c r="A50" s="543" t="s">
        <v>8</v>
      </c>
      <c r="B50" s="354" t="s">
        <v>569</v>
      </c>
      <c r="C50" s="413">
        <f>SUM(C51:C53)</f>
        <v>0</v>
      </c>
      <c r="D50" s="413">
        <f>SUM(D51:D53)</f>
        <v>0</v>
      </c>
      <c r="E50" s="550">
        <f>SUM(E51:E53)</f>
        <v>0</v>
      </c>
    </row>
    <row r="51" spans="1:5" ht="12" customHeight="1">
      <c r="A51" s="556" t="s">
        <v>75</v>
      </c>
      <c r="B51" s="335" t="s">
        <v>155</v>
      </c>
      <c r="C51" s="81"/>
      <c r="D51" s="81"/>
      <c r="E51" s="537"/>
    </row>
    <row r="52" spans="1:5" ht="12" customHeight="1">
      <c r="A52" s="556" t="s">
        <v>76</v>
      </c>
      <c r="B52" s="334" t="s">
        <v>135</v>
      </c>
      <c r="C52" s="407"/>
      <c r="D52" s="407"/>
      <c r="E52" s="561"/>
    </row>
    <row r="53" spans="1:5" ht="15" customHeight="1">
      <c r="A53" s="556" t="s">
        <v>77</v>
      </c>
      <c r="B53" s="334" t="s">
        <v>44</v>
      </c>
      <c r="C53" s="407"/>
      <c r="D53" s="407"/>
      <c r="E53" s="561"/>
    </row>
    <row r="54" spans="1:5" ht="13.5" thickBot="1">
      <c r="A54" s="556" t="s">
        <v>78</v>
      </c>
      <c r="B54" s="334" t="s">
        <v>678</v>
      </c>
      <c r="C54" s="407"/>
      <c r="D54" s="407"/>
      <c r="E54" s="561"/>
    </row>
    <row r="55" spans="1:5" ht="15" customHeight="1" thickBot="1">
      <c r="A55" s="543" t="s">
        <v>9</v>
      </c>
      <c r="B55" s="547" t="s">
        <v>570</v>
      </c>
      <c r="C55" s="87">
        <f>+C44+C50</f>
        <v>51053000</v>
      </c>
      <c r="D55" s="87">
        <f>+D44+D50</f>
        <v>53067558</v>
      </c>
      <c r="E55" s="551">
        <f>+E44+E50</f>
        <v>50677080</v>
      </c>
    </row>
    <row r="56" spans="3:5" ht="13.5" thickBot="1">
      <c r="C56" s="552"/>
      <c r="D56" s="552"/>
      <c r="E56" s="552"/>
    </row>
    <row r="57" spans="1:5" ht="13.5" thickBot="1">
      <c r="A57" s="635" t="s">
        <v>735</v>
      </c>
      <c r="B57" s="636"/>
      <c r="C57" s="91"/>
      <c r="D57" s="91"/>
      <c r="E57" s="541"/>
    </row>
    <row r="58" spans="1:5" ht="13.5" thickBot="1">
      <c r="A58" s="637" t="s">
        <v>734</v>
      </c>
      <c r="B58" s="638"/>
      <c r="C58" s="91"/>
      <c r="D58" s="91"/>
      <c r="E58" s="541"/>
    </row>
  </sheetData>
  <sheetProtection formatCells="0"/>
  <mergeCells count="5">
    <mergeCell ref="A7:E7"/>
    <mergeCell ref="A43:E43"/>
    <mergeCell ref="B2:D2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58"/>
  <sheetViews>
    <sheetView zoomScaleSheetLayoutView="145" workbookViewId="0" topLeftCell="A1">
      <selection activeCell="E1" sqref="E1"/>
    </sheetView>
  </sheetViews>
  <sheetFormatPr defaultColWidth="9.00390625" defaultRowHeight="12.75"/>
  <cols>
    <col min="1" max="1" width="18.625" style="548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484" customFormat="1" ht="21" customHeight="1" thickBot="1">
      <c r="A1" s="483"/>
      <c r="B1" s="485"/>
      <c r="C1" s="529"/>
      <c r="D1" s="529"/>
      <c r="E1" s="618" t="s">
        <v>787</v>
      </c>
    </row>
    <row r="2" spans="1:5" s="530" customFormat="1" ht="25.5" customHeight="1">
      <c r="A2" s="510" t="s">
        <v>145</v>
      </c>
      <c r="B2" s="761" t="s">
        <v>748</v>
      </c>
      <c r="C2" s="762"/>
      <c r="D2" s="763"/>
      <c r="E2" s="553" t="s">
        <v>48</v>
      </c>
    </row>
    <row r="3" spans="1:5" s="530" customFormat="1" ht="24.75" thickBot="1">
      <c r="A3" s="528" t="s">
        <v>144</v>
      </c>
      <c r="B3" s="764" t="s">
        <v>684</v>
      </c>
      <c r="C3" s="767"/>
      <c r="D3" s="768"/>
      <c r="E3" s="554" t="s">
        <v>47</v>
      </c>
    </row>
    <row r="4" spans="1:5" s="531" customFormat="1" ht="15.75" customHeight="1" thickBot="1">
      <c r="A4" s="486"/>
      <c r="B4" s="486"/>
      <c r="C4" s="487"/>
      <c r="D4" s="487"/>
      <c r="E4" s="487" t="str">
        <f>'8.1. sz. mell.'!E4</f>
        <v>Forintban!</v>
      </c>
    </row>
    <row r="5" spans="1:5" ht="24.75" thickBot="1">
      <c r="A5" s="319" t="s">
        <v>146</v>
      </c>
      <c r="B5" s="320" t="s">
        <v>733</v>
      </c>
      <c r="C5" s="77" t="s">
        <v>174</v>
      </c>
      <c r="D5" s="77" t="s">
        <v>179</v>
      </c>
      <c r="E5" s="488" t="s">
        <v>180</v>
      </c>
    </row>
    <row r="6" spans="1:5" s="532" customFormat="1" ht="12.75" customHeight="1" thickBot="1">
      <c r="A6" s="481" t="s">
        <v>410</v>
      </c>
      <c r="B6" s="482" t="s">
        <v>411</v>
      </c>
      <c r="C6" s="482" t="s">
        <v>412</v>
      </c>
      <c r="D6" s="90" t="s">
        <v>413</v>
      </c>
      <c r="E6" s="88" t="s">
        <v>414</v>
      </c>
    </row>
    <row r="7" spans="1:5" s="532" customFormat="1" ht="15.75" customHeight="1" thickBot="1">
      <c r="A7" s="758" t="s">
        <v>42</v>
      </c>
      <c r="B7" s="759"/>
      <c r="C7" s="759"/>
      <c r="D7" s="759"/>
      <c r="E7" s="760"/>
    </row>
    <row r="8" spans="1:5" s="506" customFormat="1" ht="12" customHeight="1" thickBot="1">
      <c r="A8" s="481" t="s">
        <v>7</v>
      </c>
      <c r="B8" s="544" t="s">
        <v>551</v>
      </c>
      <c r="C8" s="413">
        <f>SUM(C9:C18)</f>
        <v>1476382</v>
      </c>
      <c r="D8" s="573">
        <f>SUM(D9:D18)</f>
        <v>1988413</v>
      </c>
      <c r="E8" s="550">
        <f>SUM(E9:E18)</f>
        <v>1799377</v>
      </c>
    </row>
    <row r="9" spans="1:5" s="506" customFormat="1" ht="12" customHeight="1">
      <c r="A9" s="555" t="s">
        <v>69</v>
      </c>
      <c r="B9" s="336" t="s">
        <v>329</v>
      </c>
      <c r="C9" s="84"/>
      <c r="D9" s="574"/>
      <c r="E9" s="539"/>
    </row>
    <row r="10" spans="1:5" s="506" customFormat="1" ht="12" customHeight="1">
      <c r="A10" s="556" t="s">
        <v>70</v>
      </c>
      <c r="B10" s="334" t="s">
        <v>330</v>
      </c>
      <c r="C10" s="410"/>
      <c r="D10" s="575"/>
      <c r="E10" s="93"/>
    </row>
    <row r="11" spans="1:5" s="506" customFormat="1" ht="12" customHeight="1">
      <c r="A11" s="556" t="s">
        <v>71</v>
      </c>
      <c r="B11" s="334" t="s">
        <v>331</v>
      </c>
      <c r="C11" s="410"/>
      <c r="D11" s="575"/>
      <c r="E11" s="93"/>
    </row>
    <row r="12" spans="1:5" s="506" customFormat="1" ht="12" customHeight="1">
      <c r="A12" s="556" t="s">
        <v>72</v>
      </c>
      <c r="B12" s="334" t="s">
        <v>332</v>
      </c>
      <c r="C12" s="410"/>
      <c r="D12" s="575"/>
      <c r="E12" s="93"/>
    </row>
    <row r="13" spans="1:5" s="506" customFormat="1" ht="12" customHeight="1">
      <c r="A13" s="556" t="s">
        <v>105</v>
      </c>
      <c r="B13" s="334" t="s">
        <v>333</v>
      </c>
      <c r="C13" s="410">
        <v>572750</v>
      </c>
      <c r="D13" s="575">
        <v>825312</v>
      </c>
      <c r="E13" s="93">
        <v>636276</v>
      </c>
    </row>
    <row r="14" spans="1:5" s="506" customFormat="1" ht="12" customHeight="1">
      <c r="A14" s="556" t="s">
        <v>73</v>
      </c>
      <c r="B14" s="334" t="s">
        <v>552</v>
      </c>
      <c r="C14" s="410">
        <v>903632</v>
      </c>
      <c r="D14" s="575">
        <v>1163071</v>
      </c>
      <c r="E14" s="93">
        <v>1163071</v>
      </c>
    </row>
    <row r="15" spans="1:5" s="533" customFormat="1" ht="12" customHeight="1">
      <c r="A15" s="556" t="s">
        <v>74</v>
      </c>
      <c r="B15" s="333" t="s">
        <v>553</v>
      </c>
      <c r="C15" s="410"/>
      <c r="D15" s="575"/>
      <c r="E15" s="93"/>
    </row>
    <row r="16" spans="1:5" s="533" customFormat="1" ht="12" customHeight="1">
      <c r="A16" s="556" t="s">
        <v>82</v>
      </c>
      <c r="B16" s="334" t="s">
        <v>336</v>
      </c>
      <c r="C16" s="85"/>
      <c r="D16" s="576">
        <v>30</v>
      </c>
      <c r="E16" s="538">
        <v>30</v>
      </c>
    </row>
    <row r="17" spans="1:5" s="506" customFormat="1" ht="12" customHeight="1">
      <c r="A17" s="556" t="s">
        <v>83</v>
      </c>
      <c r="B17" s="334" t="s">
        <v>338</v>
      </c>
      <c r="C17" s="410"/>
      <c r="D17" s="575"/>
      <c r="E17" s="93"/>
    </row>
    <row r="18" spans="1:5" s="533" customFormat="1" ht="12" customHeight="1" thickBot="1">
      <c r="A18" s="556" t="s">
        <v>84</v>
      </c>
      <c r="B18" s="333" t="s">
        <v>340</v>
      </c>
      <c r="C18" s="412"/>
      <c r="D18" s="94"/>
      <c r="E18" s="534"/>
    </row>
    <row r="19" spans="1:5" s="533" customFormat="1" ht="12" customHeight="1" thickBot="1">
      <c r="A19" s="481" t="s">
        <v>8</v>
      </c>
      <c r="B19" s="544" t="s">
        <v>554</v>
      </c>
      <c r="C19" s="413">
        <f>SUM(C20:C22)</f>
        <v>0</v>
      </c>
      <c r="D19" s="573">
        <f>SUM(D20:D22)</f>
        <v>0</v>
      </c>
      <c r="E19" s="550">
        <f>SUM(E20:E22)</f>
        <v>0</v>
      </c>
    </row>
    <row r="20" spans="1:5" s="533" customFormat="1" ht="12" customHeight="1">
      <c r="A20" s="556" t="s">
        <v>75</v>
      </c>
      <c r="B20" s="335" t="s">
        <v>310</v>
      </c>
      <c r="C20" s="410"/>
      <c r="D20" s="575"/>
      <c r="E20" s="93"/>
    </row>
    <row r="21" spans="1:5" s="533" customFormat="1" ht="12" customHeight="1">
      <c r="A21" s="556" t="s">
        <v>76</v>
      </c>
      <c r="B21" s="334" t="s">
        <v>555</v>
      </c>
      <c r="C21" s="410"/>
      <c r="D21" s="575"/>
      <c r="E21" s="93"/>
    </row>
    <row r="22" spans="1:5" s="533" customFormat="1" ht="12" customHeight="1">
      <c r="A22" s="556" t="s">
        <v>77</v>
      </c>
      <c r="B22" s="334" t="s">
        <v>556</v>
      </c>
      <c r="C22" s="410"/>
      <c r="D22" s="575"/>
      <c r="E22" s="93"/>
    </row>
    <row r="23" spans="1:5" s="506" customFormat="1" ht="12" customHeight="1" thickBot="1">
      <c r="A23" s="556" t="s">
        <v>78</v>
      </c>
      <c r="B23" s="334" t="s">
        <v>676</v>
      </c>
      <c r="C23" s="410"/>
      <c r="D23" s="575"/>
      <c r="E23" s="93"/>
    </row>
    <row r="24" spans="1:5" s="506" customFormat="1" ht="12" customHeight="1" thickBot="1">
      <c r="A24" s="543" t="s">
        <v>9</v>
      </c>
      <c r="B24" s="354" t="s">
        <v>122</v>
      </c>
      <c r="C24" s="42"/>
      <c r="D24" s="577"/>
      <c r="E24" s="549"/>
    </row>
    <row r="25" spans="1:5" s="506" customFormat="1" ht="12" customHeight="1" thickBot="1">
      <c r="A25" s="543" t="s">
        <v>10</v>
      </c>
      <c r="B25" s="354" t="s">
        <v>557</v>
      </c>
      <c r="C25" s="413">
        <f>+C26+C27</f>
        <v>0</v>
      </c>
      <c r="D25" s="573">
        <f>+D26+D27</f>
        <v>0</v>
      </c>
      <c r="E25" s="550">
        <f>+E26+E27</f>
        <v>0</v>
      </c>
    </row>
    <row r="26" spans="1:5" s="506" customFormat="1" ht="12" customHeight="1">
      <c r="A26" s="557" t="s">
        <v>323</v>
      </c>
      <c r="B26" s="558" t="s">
        <v>555</v>
      </c>
      <c r="C26" s="81"/>
      <c r="D26" s="564"/>
      <c r="E26" s="537"/>
    </row>
    <row r="27" spans="1:5" s="506" customFormat="1" ht="12" customHeight="1">
      <c r="A27" s="557" t="s">
        <v>324</v>
      </c>
      <c r="B27" s="559" t="s">
        <v>558</v>
      </c>
      <c r="C27" s="414"/>
      <c r="D27" s="578"/>
      <c r="E27" s="536"/>
    </row>
    <row r="28" spans="1:5" s="506" customFormat="1" ht="12" customHeight="1" thickBot="1">
      <c r="A28" s="556" t="s">
        <v>325</v>
      </c>
      <c r="B28" s="560" t="s">
        <v>677</v>
      </c>
      <c r="C28" s="540"/>
      <c r="D28" s="579"/>
      <c r="E28" s="535"/>
    </row>
    <row r="29" spans="1:5" s="506" customFormat="1" ht="12" customHeight="1" thickBot="1">
      <c r="A29" s="543" t="s">
        <v>11</v>
      </c>
      <c r="B29" s="354" t="s">
        <v>559</v>
      </c>
      <c r="C29" s="413">
        <f>+C30+C31+C32</f>
        <v>0</v>
      </c>
      <c r="D29" s="573">
        <f>+D30+D31+D32</f>
        <v>0</v>
      </c>
      <c r="E29" s="550">
        <f>+E30+E31+E32</f>
        <v>0</v>
      </c>
    </row>
    <row r="30" spans="1:5" s="506" customFormat="1" ht="12" customHeight="1">
      <c r="A30" s="557" t="s">
        <v>62</v>
      </c>
      <c r="B30" s="558" t="s">
        <v>342</v>
      </c>
      <c r="C30" s="81"/>
      <c r="D30" s="564"/>
      <c r="E30" s="537"/>
    </row>
    <row r="31" spans="1:5" s="506" customFormat="1" ht="12" customHeight="1">
      <c r="A31" s="557" t="s">
        <v>63</v>
      </c>
      <c r="B31" s="559" t="s">
        <v>343</v>
      </c>
      <c r="C31" s="414"/>
      <c r="D31" s="578"/>
      <c r="E31" s="536"/>
    </row>
    <row r="32" spans="1:5" s="506" customFormat="1" ht="12" customHeight="1" thickBot="1">
      <c r="A32" s="556" t="s">
        <v>64</v>
      </c>
      <c r="B32" s="542" t="s">
        <v>345</v>
      </c>
      <c r="C32" s="540"/>
      <c r="D32" s="579"/>
      <c r="E32" s="535"/>
    </row>
    <row r="33" spans="1:5" s="506" customFormat="1" ht="12" customHeight="1" thickBot="1">
      <c r="A33" s="543" t="s">
        <v>12</v>
      </c>
      <c r="B33" s="354" t="s">
        <v>470</v>
      </c>
      <c r="C33" s="42"/>
      <c r="D33" s="577"/>
      <c r="E33" s="549"/>
    </row>
    <row r="34" spans="1:5" s="506" customFormat="1" ht="12" customHeight="1" thickBot="1">
      <c r="A34" s="543" t="s">
        <v>13</v>
      </c>
      <c r="B34" s="354" t="s">
        <v>560</v>
      </c>
      <c r="C34" s="42"/>
      <c r="D34" s="577"/>
      <c r="E34" s="549"/>
    </row>
    <row r="35" spans="1:5" s="506" customFormat="1" ht="12" customHeight="1" thickBot="1">
      <c r="A35" s="481" t="s">
        <v>14</v>
      </c>
      <c r="B35" s="354" t="s">
        <v>561</v>
      </c>
      <c r="C35" s="413">
        <f>+C8+C19+C24+C25+C29+C33+C34</f>
        <v>1476382</v>
      </c>
      <c r="D35" s="573">
        <f>+D8+D19+D24+D25+D29+D33+D34</f>
        <v>1988413</v>
      </c>
      <c r="E35" s="550">
        <f>+E8+E19+E24+E25+E29+E33+E34</f>
        <v>1799377</v>
      </c>
    </row>
    <row r="36" spans="1:5" s="533" customFormat="1" ht="12" customHeight="1" thickBot="1">
      <c r="A36" s="545" t="s">
        <v>15</v>
      </c>
      <c r="B36" s="354" t="s">
        <v>562</v>
      </c>
      <c r="C36" s="413">
        <f>+C37+C38+C39</f>
        <v>46805418</v>
      </c>
      <c r="D36" s="573">
        <f>+D37+D38+D39</f>
        <v>47362777</v>
      </c>
      <c r="E36" s="550">
        <f>+E37+E38+E39</f>
        <v>46206354</v>
      </c>
    </row>
    <row r="37" spans="1:5" s="533" customFormat="1" ht="15" customHeight="1">
      <c r="A37" s="557" t="s">
        <v>563</v>
      </c>
      <c r="B37" s="558" t="s">
        <v>161</v>
      </c>
      <c r="C37" s="81">
        <v>122764</v>
      </c>
      <c r="D37" s="564">
        <v>680123</v>
      </c>
      <c r="E37" s="537">
        <v>680123</v>
      </c>
    </row>
    <row r="38" spans="1:5" s="533" customFormat="1" ht="15" customHeight="1">
      <c r="A38" s="557" t="s">
        <v>564</v>
      </c>
      <c r="B38" s="559" t="s">
        <v>3</v>
      </c>
      <c r="C38" s="414"/>
      <c r="D38" s="578"/>
      <c r="E38" s="536"/>
    </row>
    <row r="39" spans="1:5" ht="13.5" thickBot="1">
      <c r="A39" s="556" t="s">
        <v>565</v>
      </c>
      <c r="B39" s="542" t="s">
        <v>566</v>
      </c>
      <c r="C39" s="540">
        <v>46682654</v>
      </c>
      <c r="D39" s="579">
        <v>46682654</v>
      </c>
      <c r="E39" s="535">
        <v>45526231</v>
      </c>
    </row>
    <row r="40" spans="1:5" s="532" customFormat="1" ht="16.5" customHeight="1" thickBot="1">
      <c r="A40" s="545" t="s">
        <v>16</v>
      </c>
      <c r="B40" s="546" t="s">
        <v>567</v>
      </c>
      <c r="C40" s="87">
        <f>+C35+C36</f>
        <v>48281800</v>
      </c>
      <c r="D40" s="580">
        <f>+D35+D36</f>
        <v>49351190</v>
      </c>
      <c r="E40" s="551">
        <f>+E35+E36</f>
        <v>48005731</v>
      </c>
    </row>
    <row r="41" spans="1:5" s="309" customFormat="1" ht="12" customHeight="1">
      <c r="A41" s="489"/>
      <c r="B41" s="490"/>
      <c r="C41" s="504"/>
      <c r="D41" s="504"/>
      <c r="E41" s="504"/>
    </row>
    <row r="42" spans="1:5" ht="12" customHeight="1" thickBot="1">
      <c r="A42" s="491"/>
      <c r="B42" s="492"/>
      <c r="C42" s="505"/>
      <c r="D42" s="505"/>
      <c r="E42" s="505"/>
    </row>
    <row r="43" spans="1:5" ht="12" customHeight="1" thickBot="1">
      <c r="A43" s="758" t="s">
        <v>43</v>
      </c>
      <c r="B43" s="759"/>
      <c r="C43" s="759"/>
      <c r="D43" s="759"/>
      <c r="E43" s="760"/>
    </row>
    <row r="44" spans="1:5" ht="12" customHeight="1" thickBot="1">
      <c r="A44" s="543" t="s">
        <v>7</v>
      </c>
      <c r="B44" s="354" t="s">
        <v>568</v>
      </c>
      <c r="C44" s="413">
        <f>SUM(C45:C49)</f>
        <v>48281800</v>
      </c>
      <c r="D44" s="413">
        <f>SUM(D45:D49)</f>
        <v>49351190</v>
      </c>
      <c r="E44" s="550">
        <f>SUM(E45:E49)</f>
        <v>48005731</v>
      </c>
    </row>
    <row r="45" spans="1:5" ht="12" customHeight="1">
      <c r="A45" s="556" t="s">
        <v>69</v>
      </c>
      <c r="B45" s="335" t="s">
        <v>37</v>
      </c>
      <c r="C45" s="81">
        <v>28810000</v>
      </c>
      <c r="D45" s="81">
        <v>29039056</v>
      </c>
      <c r="E45" s="537">
        <v>28591172</v>
      </c>
    </row>
    <row r="46" spans="1:5" ht="12" customHeight="1">
      <c r="A46" s="556" t="s">
        <v>70</v>
      </c>
      <c r="B46" s="334" t="s">
        <v>131</v>
      </c>
      <c r="C46" s="407">
        <v>5643000</v>
      </c>
      <c r="D46" s="407">
        <v>5643000</v>
      </c>
      <c r="E46" s="561">
        <v>5467279</v>
      </c>
    </row>
    <row r="47" spans="1:5" ht="12" customHeight="1">
      <c r="A47" s="556" t="s">
        <v>71</v>
      </c>
      <c r="B47" s="334" t="s">
        <v>98</v>
      </c>
      <c r="C47" s="407">
        <v>13828800</v>
      </c>
      <c r="D47" s="407">
        <v>14669134</v>
      </c>
      <c r="E47" s="561">
        <v>13947280</v>
      </c>
    </row>
    <row r="48" spans="1:5" s="309" customFormat="1" ht="12" customHeight="1">
      <c r="A48" s="556" t="s">
        <v>72</v>
      </c>
      <c r="B48" s="334" t="s">
        <v>132</v>
      </c>
      <c r="C48" s="407"/>
      <c r="D48" s="407"/>
      <c r="E48" s="561"/>
    </row>
    <row r="49" spans="1:5" ht="12" customHeight="1" thickBot="1">
      <c r="A49" s="556" t="s">
        <v>105</v>
      </c>
      <c r="B49" s="334" t="s">
        <v>133</v>
      </c>
      <c r="C49" s="407"/>
      <c r="D49" s="407"/>
      <c r="E49" s="561"/>
    </row>
    <row r="50" spans="1:5" ht="12" customHeight="1" thickBot="1">
      <c r="A50" s="543" t="s">
        <v>8</v>
      </c>
      <c r="B50" s="354" t="s">
        <v>569</v>
      </c>
      <c r="C50" s="413">
        <f>SUM(C51:C53)</f>
        <v>0</v>
      </c>
      <c r="D50" s="413">
        <f>SUM(D51:D53)</f>
        <v>0</v>
      </c>
      <c r="E50" s="550">
        <f>SUM(E51:E53)</f>
        <v>0</v>
      </c>
    </row>
    <row r="51" spans="1:5" ht="12" customHeight="1">
      <c r="A51" s="556" t="s">
        <v>75</v>
      </c>
      <c r="B51" s="335" t="s">
        <v>155</v>
      </c>
      <c r="C51" s="81"/>
      <c r="D51" s="81"/>
      <c r="E51" s="537"/>
    </row>
    <row r="52" spans="1:5" ht="12" customHeight="1">
      <c r="A52" s="556" t="s">
        <v>76</v>
      </c>
      <c r="B52" s="334" t="s">
        <v>135</v>
      </c>
      <c r="C52" s="407"/>
      <c r="D52" s="407"/>
      <c r="E52" s="561"/>
    </row>
    <row r="53" spans="1:5" ht="15" customHeight="1">
      <c r="A53" s="556" t="s">
        <v>77</v>
      </c>
      <c r="B53" s="334" t="s">
        <v>44</v>
      </c>
      <c r="C53" s="407"/>
      <c r="D53" s="407"/>
      <c r="E53" s="561"/>
    </row>
    <row r="54" spans="1:5" ht="13.5" thickBot="1">
      <c r="A54" s="556" t="s">
        <v>78</v>
      </c>
      <c r="B54" s="334" t="s">
        <v>678</v>
      </c>
      <c r="C54" s="407"/>
      <c r="D54" s="407"/>
      <c r="E54" s="561"/>
    </row>
    <row r="55" spans="1:5" ht="15" customHeight="1" thickBot="1">
      <c r="A55" s="543" t="s">
        <v>9</v>
      </c>
      <c r="B55" s="547" t="s">
        <v>570</v>
      </c>
      <c r="C55" s="87">
        <f>+C44+C50</f>
        <v>48281800</v>
      </c>
      <c r="D55" s="87">
        <f>+D44+D50</f>
        <v>49351190</v>
      </c>
      <c r="E55" s="551">
        <f>+E44+E50</f>
        <v>48005731</v>
      </c>
    </row>
    <row r="56" spans="3:5" ht="13.5" thickBot="1">
      <c r="C56" s="552"/>
      <c r="D56" s="552"/>
      <c r="E56" s="552"/>
    </row>
    <row r="57" spans="1:5" ht="13.5" thickBot="1">
      <c r="A57" s="635" t="s">
        <v>735</v>
      </c>
      <c r="B57" s="636"/>
      <c r="C57" s="91"/>
      <c r="D57" s="91"/>
      <c r="E57" s="541"/>
    </row>
    <row r="58" spans="1:5" ht="13.5" thickBot="1">
      <c r="A58" s="637" t="s">
        <v>734</v>
      </c>
      <c r="B58" s="638"/>
      <c r="C58" s="91"/>
      <c r="D58" s="91"/>
      <c r="E58" s="541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58"/>
  <sheetViews>
    <sheetView view="pageLayout" zoomScaleSheetLayoutView="145" workbookViewId="0" topLeftCell="A1">
      <selection activeCell="E1" sqref="E1"/>
    </sheetView>
  </sheetViews>
  <sheetFormatPr defaultColWidth="9.00390625" defaultRowHeight="12.75"/>
  <cols>
    <col min="1" max="1" width="18.625" style="548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484" customFormat="1" ht="21" customHeight="1" thickBot="1">
      <c r="A1" s="483"/>
      <c r="B1" s="485"/>
      <c r="C1" s="529"/>
      <c r="D1" s="529"/>
      <c r="E1" s="618" t="s">
        <v>788</v>
      </c>
    </row>
    <row r="2" spans="1:5" s="530" customFormat="1" ht="25.5" customHeight="1">
      <c r="A2" s="510" t="s">
        <v>145</v>
      </c>
      <c r="B2" s="761" t="s">
        <v>748</v>
      </c>
      <c r="C2" s="762"/>
      <c r="D2" s="763"/>
      <c r="E2" s="553" t="s">
        <v>48</v>
      </c>
    </row>
    <row r="3" spans="1:5" s="530" customFormat="1" ht="24.75" thickBot="1">
      <c r="A3" s="528" t="s">
        <v>144</v>
      </c>
      <c r="B3" s="764" t="s">
        <v>675</v>
      </c>
      <c r="C3" s="767"/>
      <c r="D3" s="768"/>
      <c r="E3" s="554" t="s">
        <v>48</v>
      </c>
    </row>
    <row r="4" spans="1:5" s="531" customFormat="1" ht="15.75" customHeight="1" thickBot="1">
      <c r="A4" s="486"/>
      <c r="B4" s="486"/>
      <c r="C4" s="487"/>
      <c r="D4" s="487"/>
      <c r="E4" s="487" t="str">
        <f>'8.1.1. sz. mell.'!E4</f>
        <v>Forintban!</v>
      </c>
    </row>
    <row r="5" spans="1:5" ht="24.75" thickBot="1">
      <c r="A5" s="319" t="s">
        <v>146</v>
      </c>
      <c r="B5" s="320" t="s">
        <v>733</v>
      </c>
      <c r="C5" s="77" t="s">
        <v>174</v>
      </c>
      <c r="D5" s="77" t="s">
        <v>179</v>
      </c>
      <c r="E5" s="488" t="s">
        <v>180</v>
      </c>
    </row>
    <row r="6" spans="1:5" s="532" customFormat="1" ht="12.75" customHeight="1" thickBot="1">
      <c r="A6" s="481" t="s">
        <v>410</v>
      </c>
      <c r="B6" s="482" t="s">
        <v>411</v>
      </c>
      <c r="C6" s="482" t="s">
        <v>412</v>
      </c>
      <c r="D6" s="90" t="s">
        <v>413</v>
      </c>
      <c r="E6" s="88" t="s">
        <v>414</v>
      </c>
    </row>
    <row r="7" spans="1:5" s="532" customFormat="1" ht="15.75" customHeight="1" thickBot="1">
      <c r="A7" s="758" t="s">
        <v>42</v>
      </c>
      <c r="B7" s="759"/>
      <c r="C7" s="759"/>
      <c r="D7" s="759"/>
      <c r="E7" s="760"/>
    </row>
    <row r="8" spans="1:5" s="506" customFormat="1" ht="12" customHeight="1" thickBot="1">
      <c r="A8" s="481" t="s">
        <v>7</v>
      </c>
      <c r="B8" s="544" t="s">
        <v>551</v>
      </c>
      <c r="C8" s="413">
        <f>SUM(C9:C18)</f>
        <v>2771200</v>
      </c>
      <c r="D8" s="573">
        <f>SUM(D9:D18)</f>
        <v>3716368</v>
      </c>
      <c r="E8" s="550">
        <f>SUM(E9:E18)</f>
        <v>3671368</v>
      </c>
    </row>
    <row r="9" spans="1:5" s="506" customFormat="1" ht="12" customHeight="1">
      <c r="A9" s="555" t="s">
        <v>69</v>
      </c>
      <c r="B9" s="336" t="s">
        <v>329</v>
      </c>
      <c r="C9" s="84">
        <v>2711200</v>
      </c>
      <c r="D9" s="574">
        <v>3656368</v>
      </c>
      <c r="E9" s="539">
        <v>3656368</v>
      </c>
    </row>
    <row r="10" spans="1:5" s="506" customFormat="1" ht="12" customHeight="1">
      <c r="A10" s="556" t="s">
        <v>70</v>
      </c>
      <c r="B10" s="334" t="s">
        <v>330</v>
      </c>
      <c r="C10" s="410">
        <v>60000</v>
      </c>
      <c r="D10" s="575">
        <v>60000</v>
      </c>
      <c r="E10" s="93">
        <v>15000</v>
      </c>
    </row>
    <row r="11" spans="1:5" s="506" customFormat="1" ht="12" customHeight="1">
      <c r="A11" s="556" t="s">
        <v>71</v>
      </c>
      <c r="B11" s="334" t="s">
        <v>331</v>
      </c>
      <c r="C11" s="410"/>
      <c r="D11" s="575"/>
      <c r="E11" s="93"/>
    </row>
    <row r="12" spans="1:5" s="506" customFormat="1" ht="12" customHeight="1">
      <c r="A12" s="556" t="s">
        <v>72</v>
      </c>
      <c r="B12" s="334" t="s">
        <v>332</v>
      </c>
      <c r="C12" s="410"/>
      <c r="D12" s="575"/>
      <c r="E12" s="93"/>
    </row>
    <row r="13" spans="1:5" s="506" customFormat="1" ht="12" customHeight="1">
      <c r="A13" s="556" t="s">
        <v>105</v>
      </c>
      <c r="B13" s="334" t="s">
        <v>333</v>
      </c>
      <c r="C13" s="410"/>
      <c r="D13" s="575"/>
      <c r="E13" s="93"/>
    </row>
    <row r="14" spans="1:5" s="506" customFormat="1" ht="12" customHeight="1">
      <c r="A14" s="556" t="s">
        <v>73</v>
      </c>
      <c r="B14" s="334" t="s">
        <v>552</v>
      </c>
      <c r="C14" s="410"/>
      <c r="D14" s="575"/>
      <c r="E14" s="93"/>
    </row>
    <row r="15" spans="1:5" s="533" customFormat="1" ht="12" customHeight="1">
      <c r="A15" s="556" t="s">
        <v>74</v>
      </c>
      <c r="B15" s="333" t="s">
        <v>553</v>
      </c>
      <c r="C15" s="410"/>
      <c r="D15" s="575"/>
      <c r="E15" s="93"/>
    </row>
    <row r="16" spans="1:5" s="533" customFormat="1" ht="12" customHeight="1">
      <c r="A16" s="556" t="s">
        <v>82</v>
      </c>
      <c r="B16" s="334" t="s">
        <v>336</v>
      </c>
      <c r="C16" s="85"/>
      <c r="D16" s="576"/>
      <c r="E16" s="538"/>
    </row>
    <row r="17" spans="1:5" s="506" customFormat="1" ht="12" customHeight="1">
      <c r="A17" s="556" t="s">
        <v>83</v>
      </c>
      <c r="B17" s="334" t="s">
        <v>338</v>
      </c>
      <c r="C17" s="410"/>
      <c r="D17" s="575"/>
      <c r="E17" s="93"/>
    </row>
    <row r="18" spans="1:5" s="533" customFormat="1" ht="12" customHeight="1" thickBot="1">
      <c r="A18" s="556" t="s">
        <v>84</v>
      </c>
      <c r="B18" s="333" t="s">
        <v>340</v>
      </c>
      <c r="C18" s="412"/>
      <c r="D18" s="94"/>
      <c r="E18" s="534"/>
    </row>
    <row r="19" spans="1:5" s="533" customFormat="1" ht="12" customHeight="1" thickBot="1">
      <c r="A19" s="481" t="s">
        <v>8</v>
      </c>
      <c r="B19" s="544" t="s">
        <v>554</v>
      </c>
      <c r="C19" s="413">
        <f>SUM(C20:C22)</f>
        <v>0</v>
      </c>
      <c r="D19" s="573">
        <f>SUM(D20:D22)</f>
        <v>0</v>
      </c>
      <c r="E19" s="550">
        <f>SUM(E20:E22)</f>
        <v>0</v>
      </c>
    </row>
    <row r="20" spans="1:5" s="533" customFormat="1" ht="12" customHeight="1">
      <c r="A20" s="556" t="s">
        <v>75</v>
      </c>
      <c r="B20" s="335" t="s">
        <v>310</v>
      </c>
      <c r="C20" s="410"/>
      <c r="D20" s="575"/>
      <c r="E20" s="93"/>
    </row>
    <row r="21" spans="1:5" s="533" customFormat="1" ht="12" customHeight="1">
      <c r="A21" s="556" t="s">
        <v>76</v>
      </c>
      <c r="B21" s="334" t="s">
        <v>555</v>
      </c>
      <c r="C21" s="410"/>
      <c r="D21" s="575"/>
      <c r="E21" s="93"/>
    </row>
    <row r="22" spans="1:5" s="533" customFormat="1" ht="12" customHeight="1">
      <c r="A22" s="556" t="s">
        <v>77</v>
      </c>
      <c r="B22" s="334" t="s">
        <v>556</v>
      </c>
      <c r="C22" s="410"/>
      <c r="D22" s="575"/>
      <c r="E22" s="93"/>
    </row>
    <row r="23" spans="1:5" s="506" customFormat="1" ht="12" customHeight="1" thickBot="1">
      <c r="A23" s="556" t="s">
        <v>78</v>
      </c>
      <c r="B23" s="334" t="s">
        <v>676</v>
      </c>
      <c r="C23" s="410"/>
      <c r="D23" s="575"/>
      <c r="E23" s="93"/>
    </row>
    <row r="24" spans="1:5" s="506" customFormat="1" ht="12" customHeight="1" thickBot="1">
      <c r="A24" s="543" t="s">
        <v>9</v>
      </c>
      <c r="B24" s="354" t="s">
        <v>122</v>
      </c>
      <c r="C24" s="42"/>
      <c r="D24" s="577"/>
      <c r="E24" s="549"/>
    </row>
    <row r="25" spans="1:5" s="506" customFormat="1" ht="12" customHeight="1" thickBot="1">
      <c r="A25" s="543" t="s">
        <v>10</v>
      </c>
      <c r="B25" s="354" t="s">
        <v>557</v>
      </c>
      <c r="C25" s="413">
        <f>+C26+C27</f>
        <v>0</v>
      </c>
      <c r="D25" s="573">
        <f>+D26+D27</f>
        <v>0</v>
      </c>
      <c r="E25" s="550">
        <f>+E26+E27</f>
        <v>0</v>
      </c>
    </row>
    <row r="26" spans="1:5" s="506" customFormat="1" ht="12" customHeight="1">
      <c r="A26" s="557" t="s">
        <v>323</v>
      </c>
      <c r="B26" s="558" t="s">
        <v>555</v>
      </c>
      <c r="C26" s="81"/>
      <c r="D26" s="564"/>
      <c r="E26" s="537"/>
    </row>
    <row r="27" spans="1:5" s="506" customFormat="1" ht="12" customHeight="1">
      <c r="A27" s="557" t="s">
        <v>324</v>
      </c>
      <c r="B27" s="559" t="s">
        <v>558</v>
      </c>
      <c r="C27" s="414"/>
      <c r="D27" s="578"/>
      <c r="E27" s="536"/>
    </row>
    <row r="28" spans="1:5" s="506" customFormat="1" ht="12" customHeight="1" thickBot="1">
      <c r="A28" s="556" t="s">
        <v>325</v>
      </c>
      <c r="B28" s="560" t="s">
        <v>677</v>
      </c>
      <c r="C28" s="540"/>
      <c r="D28" s="579"/>
      <c r="E28" s="535"/>
    </row>
    <row r="29" spans="1:5" s="506" customFormat="1" ht="12" customHeight="1" thickBot="1">
      <c r="A29" s="543" t="s">
        <v>11</v>
      </c>
      <c r="B29" s="354" t="s">
        <v>559</v>
      </c>
      <c r="C29" s="413">
        <f>+C30+C31+C32</f>
        <v>0</v>
      </c>
      <c r="D29" s="573">
        <f>+D30+D31+D32</f>
        <v>0</v>
      </c>
      <c r="E29" s="550">
        <f>+E30+E31+E32</f>
        <v>0</v>
      </c>
    </row>
    <row r="30" spans="1:5" s="506" customFormat="1" ht="12" customHeight="1">
      <c r="A30" s="557" t="s">
        <v>62</v>
      </c>
      <c r="B30" s="558" t="s">
        <v>342</v>
      </c>
      <c r="C30" s="81"/>
      <c r="D30" s="564"/>
      <c r="E30" s="537"/>
    </row>
    <row r="31" spans="1:5" s="506" customFormat="1" ht="12" customHeight="1">
      <c r="A31" s="557" t="s">
        <v>63</v>
      </c>
      <c r="B31" s="559" t="s">
        <v>343</v>
      </c>
      <c r="C31" s="414"/>
      <c r="D31" s="578"/>
      <c r="E31" s="536"/>
    </row>
    <row r="32" spans="1:5" s="506" customFormat="1" ht="12" customHeight="1" thickBot="1">
      <c r="A32" s="556" t="s">
        <v>64</v>
      </c>
      <c r="B32" s="542" t="s">
        <v>345</v>
      </c>
      <c r="C32" s="540"/>
      <c r="D32" s="579"/>
      <c r="E32" s="535"/>
    </row>
    <row r="33" spans="1:5" s="506" customFormat="1" ht="12" customHeight="1" thickBot="1">
      <c r="A33" s="543" t="s">
        <v>12</v>
      </c>
      <c r="B33" s="354" t="s">
        <v>470</v>
      </c>
      <c r="C33" s="42"/>
      <c r="D33" s="577"/>
      <c r="E33" s="549"/>
    </row>
    <row r="34" spans="1:5" s="506" customFormat="1" ht="12" customHeight="1" thickBot="1">
      <c r="A34" s="543" t="s">
        <v>13</v>
      </c>
      <c r="B34" s="354" t="s">
        <v>560</v>
      </c>
      <c r="C34" s="42"/>
      <c r="D34" s="577"/>
      <c r="E34" s="549"/>
    </row>
    <row r="35" spans="1:5" s="506" customFormat="1" ht="12" customHeight="1" thickBot="1">
      <c r="A35" s="481" t="s">
        <v>14</v>
      </c>
      <c r="B35" s="354" t="s">
        <v>561</v>
      </c>
      <c r="C35" s="413">
        <f>+C8+C19+C24+C25+C29+C33+C34</f>
        <v>2771200</v>
      </c>
      <c r="D35" s="573">
        <f>+D8+D19+D24+D25+D29+D33+D34</f>
        <v>3716368</v>
      </c>
      <c r="E35" s="550">
        <f>+E8+E19+E24+E25+E29+E33+E34</f>
        <v>3671368</v>
      </c>
    </row>
    <row r="36" spans="1:5" s="533" customFormat="1" ht="12" customHeight="1" thickBot="1">
      <c r="A36" s="545" t="s">
        <v>15</v>
      </c>
      <c r="B36" s="354" t="s">
        <v>562</v>
      </c>
      <c r="C36" s="413">
        <f>+C37+C38+C39</f>
        <v>0</v>
      </c>
      <c r="D36" s="573">
        <f>+D37+D38+D39</f>
        <v>0</v>
      </c>
      <c r="E36" s="550">
        <f>+E37+E38+E39</f>
        <v>0</v>
      </c>
    </row>
    <row r="37" spans="1:5" s="533" customFormat="1" ht="15" customHeight="1">
      <c r="A37" s="557" t="s">
        <v>563</v>
      </c>
      <c r="B37" s="558" t="s">
        <v>161</v>
      </c>
      <c r="C37" s="81"/>
      <c r="D37" s="564"/>
      <c r="E37" s="537"/>
    </row>
    <row r="38" spans="1:5" s="533" customFormat="1" ht="15" customHeight="1">
      <c r="A38" s="557" t="s">
        <v>564</v>
      </c>
      <c r="B38" s="559" t="s">
        <v>3</v>
      </c>
      <c r="C38" s="414"/>
      <c r="D38" s="578"/>
      <c r="E38" s="536"/>
    </row>
    <row r="39" spans="1:5" ht="13.5" thickBot="1">
      <c r="A39" s="556" t="s">
        <v>565</v>
      </c>
      <c r="B39" s="542" t="s">
        <v>566</v>
      </c>
      <c r="C39" s="540"/>
      <c r="D39" s="579"/>
      <c r="E39" s="535"/>
    </row>
    <row r="40" spans="1:5" s="532" customFormat="1" ht="16.5" customHeight="1" thickBot="1">
      <c r="A40" s="545" t="s">
        <v>16</v>
      </c>
      <c r="B40" s="546" t="s">
        <v>567</v>
      </c>
      <c r="C40" s="87">
        <f>+C35+C36</f>
        <v>2771200</v>
      </c>
      <c r="D40" s="580">
        <f>+D35+D36</f>
        <v>3716368</v>
      </c>
      <c r="E40" s="551">
        <f>+E35+E36</f>
        <v>3671368</v>
      </c>
    </row>
    <row r="41" spans="1:5" s="309" customFormat="1" ht="12" customHeight="1">
      <c r="A41" s="489"/>
      <c r="B41" s="490"/>
      <c r="C41" s="504"/>
      <c r="D41" s="504"/>
      <c r="E41" s="504"/>
    </row>
    <row r="42" spans="1:5" ht="12" customHeight="1" thickBot="1">
      <c r="A42" s="491"/>
      <c r="B42" s="492"/>
      <c r="C42" s="505"/>
      <c r="D42" s="505"/>
      <c r="E42" s="505"/>
    </row>
    <row r="43" spans="1:5" ht="12" customHeight="1" thickBot="1">
      <c r="A43" s="758" t="s">
        <v>43</v>
      </c>
      <c r="B43" s="759"/>
      <c r="C43" s="759"/>
      <c r="D43" s="759"/>
      <c r="E43" s="760"/>
    </row>
    <row r="44" spans="1:5" ht="12" customHeight="1" thickBot="1">
      <c r="A44" s="543" t="s">
        <v>7</v>
      </c>
      <c r="B44" s="354" t="s">
        <v>568</v>
      </c>
      <c r="C44" s="413">
        <f>SUM(C45:C49)</f>
        <v>2771200</v>
      </c>
      <c r="D44" s="413">
        <f>SUM(D45:D49)</f>
        <v>3716368</v>
      </c>
      <c r="E44" s="550">
        <f>SUM(E45:E49)</f>
        <v>2671349</v>
      </c>
    </row>
    <row r="45" spans="1:5" ht="12" customHeight="1">
      <c r="A45" s="556" t="s">
        <v>69</v>
      </c>
      <c r="B45" s="335" t="s">
        <v>37</v>
      </c>
      <c r="C45" s="81"/>
      <c r="D45" s="81"/>
      <c r="E45" s="537"/>
    </row>
    <row r="46" spans="1:5" ht="12" customHeight="1">
      <c r="A46" s="556" t="s">
        <v>70</v>
      </c>
      <c r="B46" s="334" t="s">
        <v>131</v>
      </c>
      <c r="C46" s="407"/>
      <c r="D46" s="407"/>
      <c r="E46" s="561"/>
    </row>
    <row r="47" spans="1:5" ht="12" customHeight="1">
      <c r="A47" s="556" t="s">
        <v>71</v>
      </c>
      <c r="B47" s="334" t="s">
        <v>98</v>
      </c>
      <c r="C47" s="407">
        <v>2771200</v>
      </c>
      <c r="D47" s="407">
        <v>3716368</v>
      </c>
      <c r="E47" s="561">
        <v>2671349</v>
      </c>
    </row>
    <row r="48" spans="1:5" s="309" customFormat="1" ht="12" customHeight="1">
      <c r="A48" s="556" t="s">
        <v>72</v>
      </c>
      <c r="B48" s="334" t="s">
        <v>132</v>
      </c>
      <c r="C48" s="407"/>
      <c r="D48" s="407"/>
      <c r="E48" s="561"/>
    </row>
    <row r="49" spans="1:5" ht="12" customHeight="1" thickBot="1">
      <c r="A49" s="556" t="s">
        <v>105</v>
      </c>
      <c r="B49" s="334" t="s">
        <v>133</v>
      </c>
      <c r="C49" s="407"/>
      <c r="D49" s="407"/>
      <c r="E49" s="561"/>
    </row>
    <row r="50" spans="1:5" ht="12" customHeight="1" thickBot="1">
      <c r="A50" s="543" t="s">
        <v>8</v>
      </c>
      <c r="B50" s="354" t="s">
        <v>569</v>
      </c>
      <c r="C50" s="413">
        <f>SUM(C51:C53)</f>
        <v>0</v>
      </c>
      <c r="D50" s="413">
        <f>SUM(D51:D53)</f>
        <v>0</v>
      </c>
      <c r="E50" s="550">
        <f>SUM(E51:E53)</f>
        <v>0</v>
      </c>
    </row>
    <row r="51" spans="1:5" ht="12" customHeight="1">
      <c r="A51" s="556" t="s">
        <v>75</v>
      </c>
      <c r="B51" s="335" t="s">
        <v>155</v>
      </c>
      <c r="C51" s="81"/>
      <c r="D51" s="81"/>
      <c r="E51" s="537"/>
    </row>
    <row r="52" spans="1:5" ht="12" customHeight="1">
      <c r="A52" s="556" t="s">
        <v>76</v>
      </c>
      <c r="B52" s="334" t="s">
        <v>135</v>
      </c>
      <c r="C52" s="407"/>
      <c r="D52" s="407"/>
      <c r="E52" s="561"/>
    </row>
    <row r="53" spans="1:5" ht="15" customHeight="1">
      <c r="A53" s="556" t="s">
        <v>77</v>
      </c>
      <c r="B53" s="334" t="s">
        <v>44</v>
      </c>
      <c r="C53" s="407"/>
      <c r="D53" s="407"/>
      <c r="E53" s="561"/>
    </row>
    <row r="54" spans="1:5" ht="13.5" thickBot="1">
      <c r="A54" s="556" t="s">
        <v>78</v>
      </c>
      <c r="B54" s="334" t="s">
        <v>678</v>
      </c>
      <c r="C54" s="407"/>
      <c r="D54" s="407"/>
      <c r="E54" s="561"/>
    </row>
    <row r="55" spans="1:5" ht="15" customHeight="1" thickBot="1">
      <c r="A55" s="543" t="s">
        <v>9</v>
      </c>
      <c r="B55" s="547" t="s">
        <v>570</v>
      </c>
      <c r="C55" s="87">
        <f>+C44+C50</f>
        <v>2771200</v>
      </c>
      <c r="D55" s="87">
        <f>+D44+D50</f>
        <v>3716368</v>
      </c>
      <c r="E55" s="551">
        <f>+E44+E50</f>
        <v>2671349</v>
      </c>
    </row>
    <row r="56" spans="3:5" ht="13.5" thickBot="1">
      <c r="C56" s="552"/>
      <c r="D56" s="552"/>
      <c r="E56" s="552"/>
    </row>
    <row r="57" spans="1:5" ht="13.5" thickBot="1">
      <c r="A57" s="635" t="s">
        <v>735</v>
      </c>
      <c r="B57" s="636"/>
      <c r="C57" s="91"/>
      <c r="D57" s="91"/>
      <c r="E57" s="541"/>
    </row>
    <row r="58" spans="1:5" ht="13.5" thickBot="1">
      <c r="A58" s="637" t="s">
        <v>734</v>
      </c>
      <c r="B58" s="638"/>
      <c r="C58" s="91"/>
      <c r="D58" s="91"/>
      <c r="E58" s="541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58"/>
  <sheetViews>
    <sheetView view="pageLayout" zoomScaleSheetLayoutView="145" workbookViewId="0" topLeftCell="A1">
      <selection activeCell="E1" sqref="E1"/>
    </sheetView>
  </sheetViews>
  <sheetFormatPr defaultColWidth="9.00390625" defaultRowHeight="12.75"/>
  <cols>
    <col min="1" max="1" width="18.625" style="548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484" customFormat="1" ht="21" customHeight="1" thickBot="1">
      <c r="A1" s="483"/>
      <c r="B1" s="485"/>
      <c r="C1" s="529"/>
      <c r="D1" s="529"/>
      <c r="E1" s="618" t="s">
        <v>789</v>
      </c>
    </row>
    <row r="2" spans="1:5" s="530" customFormat="1" ht="25.5" customHeight="1">
      <c r="A2" s="510" t="s">
        <v>145</v>
      </c>
      <c r="B2" s="761" t="s">
        <v>147</v>
      </c>
      <c r="C2" s="762"/>
      <c r="D2" s="763"/>
      <c r="E2" s="553" t="s">
        <v>48</v>
      </c>
    </row>
    <row r="3" spans="1:5" s="530" customFormat="1" ht="24.75" thickBot="1">
      <c r="A3" s="528" t="s">
        <v>144</v>
      </c>
      <c r="B3" s="764" t="s">
        <v>685</v>
      </c>
      <c r="C3" s="767"/>
      <c r="D3" s="768"/>
      <c r="E3" s="554" t="s">
        <v>49</v>
      </c>
    </row>
    <row r="4" spans="1:5" s="531" customFormat="1" ht="15.75" customHeight="1" thickBot="1">
      <c r="A4" s="486"/>
      <c r="B4" s="486"/>
      <c r="C4" s="487"/>
      <c r="D4" s="487"/>
      <c r="E4" s="487" t="str">
        <f>'8.1.2. sz. mell.'!E4</f>
        <v>Forintban!</v>
      </c>
    </row>
    <row r="5" spans="1:5" ht="24.75" thickBot="1">
      <c r="A5" s="319" t="s">
        <v>146</v>
      </c>
      <c r="B5" s="320" t="s">
        <v>733</v>
      </c>
      <c r="C5" s="77" t="s">
        <v>174</v>
      </c>
      <c r="D5" s="77" t="s">
        <v>179</v>
      </c>
      <c r="E5" s="488" t="s">
        <v>180</v>
      </c>
    </row>
    <row r="6" spans="1:5" s="532" customFormat="1" ht="12.75" customHeight="1" thickBot="1">
      <c r="A6" s="481" t="s">
        <v>410</v>
      </c>
      <c r="B6" s="482" t="s">
        <v>411</v>
      </c>
      <c r="C6" s="482" t="s">
        <v>412</v>
      </c>
      <c r="D6" s="90" t="s">
        <v>413</v>
      </c>
      <c r="E6" s="88" t="s">
        <v>414</v>
      </c>
    </row>
    <row r="7" spans="1:5" s="532" customFormat="1" ht="15.75" customHeight="1" thickBot="1">
      <c r="A7" s="758" t="s">
        <v>42</v>
      </c>
      <c r="B7" s="759"/>
      <c r="C7" s="759"/>
      <c r="D7" s="759"/>
      <c r="E7" s="760"/>
    </row>
    <row r="8" spans="1:5" s="506" customFormat="1" ht="12" customHeight="1" thickBot="1">
      <c r="A8" s="481" t="s">
        <v>7</v>
      </c>
      <c r="B8" s="544" t="s">
        <v>551</v>
      </c>
      <c r="C8" s="413">
        <f>SUM(C9:C18)</f>
        <v>0</v>
      </c>
      <c r="D8" s="573">
        <f>SUM(D9:D18)</f>
        <v>0</v>
      </c>
      <c r="E8" s="550">
        <f>SUM(E9:E18)</f>
        <v>0</v>
      </c>
    </row>
    <row r="9" spans="1:5" s="506" customFormat="1" ht="12" customHeight="1">
      <c r="A9" s="555" t="s">
        <v>69</v>
      </c>
      <c r="B9" s="336" t="s">
        <v>329</v>
      </c>
      <c r="C9" s="84"/>
      <c r="D9" s="574"/>
      <c r="E9" s="539"/>
    </row>
    <row r="10" spans="1:5" s="506" customFormat="1" ht="12" customHeight="1">
      <c r="A10" s="556" t="s">
        <v>70</v>
      </c>
      <c r="B10" s="334" t="s">
        <v>330</v>
      </c>
      <c r="C10" s="410"/>
      <c r="D10" s="575"/>
      <c r="E10" s="93"/>
    </row>
    <row r="11" spans="1:5" s="506" customFormat="1" ht="12" customHeight="1">
      <c r="A11" s="556" t="s">
        <v>71</v>
      </c>
      <c r="B11" s="334" t="s">
        <v>331</v>
      </c>
      <c r="C11" s="410"/>
      <c r="D11" s="575"/>
      <c r="E11" s="93"/>
    </row>
    <row r="12" spans="1:5" s="506" customFormat="1" ht="12" customHeight="1">
      <c r="A12" s="556" t="s">
        <v>72</v>
      </c>
      <c r="B12" s="334" t="s">
        <v>332</v>
      </c>
      <c r="C12" s="410"/>
      <c r="D12" s="575"/>
      <c r="E12" s="93"/>
    </row>
    <row r="13" spans="1:5" s="506" customFormat="1" ht="12" customHeight="1">
      <c r="A13" s="556" t="s">
        <v>105</v>
      </c>
      <c r="B13" s="334" t="s">
        <v>333</v>
      </c>
      <c r="C13" s="410"/>
      <c r="D13" s="575"/>
      <c r="E13" s="93"/>
    </row>
    <row r="14" spans="1:5" s="506" customFormat="1" ht="12" customHeight="1">
      <c r="A14" s="556" t="s">
        <v>73</v>
      </c>
      <c r="B14" s="334" t="s">
        <v>552</v>
      </c>
      <c r="C14" s="410"/>
      <c r="D14" s="575"/>
      <c r="E14" s="93"/>
    </row>
    <row r="15" spans="1:5" s="533" customFormat="1" ht="12" customHeight="1">
      <c r="A15" s="556" t="s">
        <v>74</v>
      </c>
      <c r="B15" s="333" t="s">
        <v>553</v>
      </c>
      <c r="C15" s="410"/>
      <c r="D15" s="575"/>
      <c r="E15" s="93"/>
    </row>
    <row r="16" spans="1:5" s="533" customFormat="1" ht="12" customHeight="1">
      <c r="A16" s="556" t="s">
        <v>82</v>
      </c>
      <c r="B16" s="334" t="s">
        <v>336</v>
      </c>
      <c r="C16" s="85"/>
      <c r="D16" s="576"/>
      <c r="E16" s="538"/>
    </row>
    <row r="17" spans="1:5" s="506" customFormat="1" ht="12" customHeight="1">
      <c r="A17" s="556" t="s">
        <v>83</v>
      </c>
      <c r="B17" s="334" t="s">
        <v>338</v>
      </c>
      <c r="C17" s="410"/>
      <c r="D17" s="575"/>
      <c r="E17" s="93"/>
    </row>
    <row r="18" spans="1:5" s="533" customFormat="1" ht="12" customHeight="1" thickBot="1">
      <c r="A18" s="556" t="s">
        <v>84</v>
      </c>
      <c r="B18" s="333" t="s">
        <v>340</v>
      </c>
      <c r="C18" s="412"/>
      <c r="D18" s="94"/>
      <c r="E18" s="534"/>
    </row>
    <row r="19" spans="1:5" s="533" customFormat="1" ht="12" customHeight="1" thickBot="1">
      <c r="A19" s="481" t="s">
        <v>8</v>
      </c>
      <c r="B19" s="544" t="s">
        <v>554</v>
      </c>
      <c r="C19" s="413">
        <f>SUM(C20:C22)</f>
        <v>0</v>
      </c>
      <c r="D19" s="573">
        <f>SUM(D20:D22)</f>
        <v>0</v>
      </c>
      <c r="E19" s="550">
        <f>SUM(E20:E22)</f>
        <v>0</v>
      </c>
    </row>
    <row r="20" spans="1:5" s="533" customFormat="1" ht="12" customHeight="1">
      <c r="A20" s="556" t="s">
        <v>75</v>
      </c>
      <c r="B20" s="335" t="s">
        <v>310</v>
      </c>
      <c r="C20" s="410"/>
      <c r="D20" s="575"/>
      <c r="E20" s="93"/>
    </row>
    <row r="21" spans="1:5" s="533" customFormat="1" ht="12" customHeight="1">
      <c r="A21" s="556" t="s">
        <v>76</v>
      </c>
      <c r="B21" s="334" t="s">
        <v>555</v>
      </c>
      <c r="C21" s="410"/>
      <c r="D21" s="575"/>
      <c r="E21" s="93"/>
    </row>
    <row r="22" spans="1:5" s="533" customFormat="1" ht="12" customHeight="1">
      <c r="A22" s="556" t="s">
        <v>77</v>
      </c>
      <c r="B22" s="334" t="s">
        <v>556</v>
      </c>
      <c r="C22" s="410"/>
      <c r="D22" s="575"/>
      <c r="E22" s="93"/>
    </row>
    <row r="23" spans="1:5" s="506" customFormat="1" ht="12" customHeight="1" thickBot="1">
      <c r="A23" s="556" t="s">
        <v>78</v>
      </c>
      <c r="B23" s="334" t="s">
        <v>676</v>
      </c>
      <c r="C23" s="410"/>
      <c r="D23" s="575"/>
      <c r="E23" s="93"/>
    </row>
    <row r="24" spans="1:5" s="506" customFormat="1" ht="12" customHeight="1" thickBot="1">
      <c r="A24" s="543" t="s">
        <v>9</v>
      </c>
      <c r="B24" s="354" t="s">
        <v>122</v>
      </c>
      <c r="C24" s="42"/>
      <c r="D24" s="577"/>
      <c r="E24" s="549"/>
    </row>
    <row r="25" spans="1:5" s="506" customFormat="1" ht="12" customHeight="1" thickBot="1">
      <c r="A25" s="543" t="s">
        <v>10</v>
      </c>
      <c r="B25" s="354" t="s">
        <v>557</v>
      </c>
      <c r="C25" s="413">
        <f>+C26+C27</f>
        <v>0</v>
      </c>
      <c r="D25" s="573">
        <f>+D26+D27</f>
        <v>0</v>
      </c>
      <c r="E25" s="550">
        <f>+E26+E27</f>
        <v>0</v>
      </c>
    </row>
    <row r="26" spans="1:5" s="506" customFormat="1" ht="12" customHeight="1">
      <c r="A26" s="557" t="s">
        <v>323</v>
      </c>
      <c r="B26" s="558" t="s">
        <v>555</v>
      </c>
      <c r="C26" s="81"/>
      <c r="D26" s="564"/>
      <c r="E26" s="537"/>
    </row>
    <row r="27" spans="1:5" s="506" customFormat="1" ht="12" customHeight="1">
      <c r="A27" s="557" t="s">
        <v>324</v>
      </c>
      <c r="B27" s="559" t="s">
        <v>558</v>
      </c>
      <c r="C27" s="414"/>
      <c r="D27" s="578"/>
      <c r="E27" s="536"/>
    </row>
    <row r="28" spans="1:5" s="506" customFormat="1" ht="12" customHeight="1" thickBot="1">
      <c r="A28" s="556" t="s">
        <v>325</v>
      </c>
      <c r="B28" s="560" t="s">
        <v>677</v>
      </c>
      <c r="C28" s="540"/>
      <c r="D28" s="579"/>
      <c r="E28" s="535"/>
    </row>
    <row r="29" spans="1:5" s="506" customFormat="1" ht="12" customHeight="1" thickBot="1">
      <c r="A29" s="543" t="s">
        <v>11</v>
      </c>
      <c r="B29" s="354" t="s">
        <v>559</v>
      </c>
      <c r="C29" s="413">
        <f>+C30+C31+C32</f>
        <v>0</v>
      </c>
      <c r="D29" s="573">
        <f>+D30+D31+D32</f>
        <v>0</v>
      </c>
      <c r="E29" s="550">
        <f>+E30+E31+E32</f>
        <v>0</v>
      </c>
    </row>
    <row r="30" spans="1:5" s="506" customFormat="1" ht="12" customHeight="1">
      <c r="A30" s="557" t="s">
        <v>62</v>
      </c>
      <c r="B30" s="558" t="s">
        <v>342</v>
      </c>
      <c r="C30" s="81"/>
      <c r="D30" s="564"/>
      <c r="E30" s="537"/>
    </row>
    <row r="31" spans="1:5" s="506" customFormat="1" ht="12" customHeight="1">
      <c r="A31" s="557" t="s">
        <v>63</v>
      </c>
      <c r="B31" s="559" t="s">
        <v>343</v>
      </c>
      <c r="C31" s="414"/>
      <c r="D31" s="578"/>
      <c r="E31" s="536"/>
    </row>
    <row r="32" spans="1:5" s="506" customFormat="1" ht="12" customHeight="1" thickBot="1">
      <c r="A32" s="556" t="s">
        <v>64</v>
      </c>
      <c r="B32" s="542" t="s">
        <v>345</v>
      </c>
      <c r="C32" s="540"/>
      <c r="D32" s="579"/>
      <c r="E32" s="535"/>
    </row>
    <row r="33" spans="1:5" s="506" customFormat="1" ht="12" customHeight="1" thickBot="1">
      <c r="A33" s="543" t="s">
        <v>12</v>
      </c>
      <c r="B33" s="354" t="s">
        <v>470</v>
      </c>
      <c r="C33" s="42"/>
      <c r="D33" s="577"/>
      <c r="E33" s="549"/>
    </row>
    <row r="34" spans="1:5" s="506" customFormat="1" ht="12" customHeight="1" thickBot="1">
      <c r="A34" s="543" t="s">
        <v>13</v>
      </c>
      <c r="B34" s="354" t="s">
        <v>560</v>
      </c>
      <c r="C34" s="42"/>
      <c r="D34" s="577"/>
      <c r="E34" s="549"/>
    </row>
    <row r="35" spans="1:5" s="506" customFormat="1" ht="12" customHeight="1" thickBot="1">
      <c r="A35" s="481" t="s">
        <v>14</v>
      </c>
      <c r="B35" s="354" t="s">
        <v>561</v>
      </c>
      <c r="C35" s="413">
        <f>+C8+C19+C24+C25+C29+C33+C34</f>
        <v>0</v>
      </c>
      <c r="D35" s="573">
        <f>+D8+D19+D24+D25+D29+D33+D34</f>
        <v>0</v>
      </c>
      <c r="E35" s="550">
        <f>+E8+E19+E24+E25+E29+E33+E34</f>
        <v>0</v>
      </c>
    </row>
    <row r="36" spans="1:5" s="533" customFormat="1" ht="12" customHeight="1" thickBot="1">
      <c r="A36" s="545" t="s">
        <v>15</v>
      </c>
      <c r="B36" s="354" t="s">
        <v>562</v>
      </c>
      <c r="C36" s="413">
        <f>+C37+C38+C39</f>
        <v>0</v>
      </c>
      <c r="D36" s="573">
        <f>+D37+D38+D39</f>
        <v>0</v>
      </c>
      <c r="E36" s="550">
        <f>+E37+E38+E39</f>
        <v>0</v>
      </c>
    </row>
    <row r="37" spans="1:5" s="533" customFormat="1" ht="15" customHeight="1">
      <c r="A37" s="557" t="s">
        <v>563</v>
      </c>
      <c r="B37" s="558" t="s">
        <v>161</v>
      </c>
      <c r="C37" s="81"/>
      <c r="D37" s="564"/>
      <c r="E37" s="537"/>
    </row>
    <row r="38" spans="1:5" s="533" customFormat="1" ht="15" customHeight="1">
      <c r="A38" s="557" t="s">
        <v>564</v>
      </c>
      <c r="B38" s="559" t="s">
        <v>3</v>
      </c>
      <c r="C38" s="414"/>
      <c r="D38" s="578"/>
      <c r="E38" s="536"/>
    </row>
    <row r="39" spans="1:5" ht="13.5" thickBot="1">
      <c r="A39" s="556" t="s">
        <v>565</v>
      </c>
      <c r="B39" s="542" t="s">
        <v>566</v>
      </c>
      <c r="C39" s="540"/>
      <c r="D39" s="579"/>
      <c r="E39" s="535"/>
    </row>
    <row r="40" spans="1:5" s="532" customFormat="1" ht="16.5" customHeight="1" thickBot="1">
      <c r="A40" s="545" t="s">
        <v>16</v>
      </c>
      <c r="B40" s="546" t="s">
        <v>567</v>
      </c>
      <c r="C40" s="87">
        <f>+C35+C36</f>
        <v>0</v>
      </c>
      <c r="D40" s="580">
        <f>+D35+D36</f>
        <v>0</v>
      </c>
      <c r="E40" s="551">
        <f>+E35+E36</f>
        <v>0</v>
      </c>
    </row>
    <row r="41" spans="1:5" s="309" customFormat="1" ht="12" customHeight="1">
      <c r="A41" s="489"/>
      <c r="B41" s="490"/>
      <c r="C41" s="504"/>
      <c r="D41" s="504"/>
      <c r="E41" s="504"/>
    </row>
    <row r="42" spans="1:5" ht="12" customHeight="1" thickBot="1">
      <c r="A42" s="491"/>
      <c r="B42" s="492"/>
      <c r="C42" s="505"/>
      <c r="D42" s="505"/>
      <c r="E42" s="505"/>
    </row>
    <row r="43" spans="1:5" ht="12" customHeight="1" thickBot="1">
      <c r="A43" s="758" t="s">
        <v>43</v>
      </c>
      <c r="B43" s="759"/>
      <c r="C43" s="759"/>
      <c r="D43" s="759"/>
      <c r="E43" s="760"/>
    </row>
    <row r="44" spans="1:5" ht="12" customHeight="1" thickBot="1">
      <c r="A44" s="543" t="s">
        <v>7</v>
      </c>
      <c r="B44" s="354" t="s">
        <v>568</v>
      </c>
      <c r="C44" s="413">
        <f>SUM(C45:C49)</f>
        <v>0</v>
      </c>
      <c r="D44" s="413">
        <f>SUM(D45:D49)</f>
        <v>0</v>
      </c>
      <c r="E44" s="550">
        <f>SUM(E45:E49)</f>
        <v>0</v>
      </c>
    </row>
    <row r="45" spans="1:5" ht="12" customHeight="1">
      <c r="A45" s="556" t="s">
        <v>69</v>
      </c>
      <c r="B45" s="335" t="s">
        <v>37</v>
      </c>
      <c r="C45" s="81"/>
      <c r="D45" s="81"/>
      <c r="E45" s="537"/>
    </row>
    <row r="46" spans="1:5" ht="12" customHeight="1">
      <c r="A46" s="556" t="s">
        <v>70</v>
      </c>
      <c r="B46" s="334" t="s">
        <v>131</v>
      </c>
      <c r="C46" s="407"/>
      <c r="D46" s="407"/>
      <c r="E46" s="561"/>
    </row>
    <row r="47" spans="1:5" ht="12" customHeight="1">
      <c r="A47" s="556" t="s">
        <v>71</v>
      </c>
      <c r="B47" s="334" t="s">
        <v>98</v>
      </c>
      <c r="C47" s="407"/>
      <c r="D47" s="407"/>
      <c r="E47" s="561"/>
    </row>
    <row r="48" spans="1:5" s="309" customFormat="1" ht="12" customHeight="1">
      <c r="A48" s="556" t="s">
        <v>72</v>
      </c>
      <c r="B48" s="334" t="s">
        <v>132</v>
      </c>
      <c r="C48" s="407"/>
      <c r="D48" s="407"/>
      <c r="E48" s="561"/>
    </row>
    <row r="49" spans="1:5" ht="12" customHeight="1" thickBot="1">
      <c r="A49" s="556" t="s">
        <v>105</v>
      </c>
      <c r="B49" s="334" t="s">
        <v>133</v>
      </c>
      <c r="C49" s="407"/>
      <c r="D49" s="407"/>
      <c r="E49" s="561"/>
    </row>
    <row r="50" spans="1:5" ht="12" customHeight="1" thickBot="1">
      <c r="A50" s="543" t="s">
        <v>8</v>
      </c>
      <c r="B50" s="354" t="s">
        <v>569</v>
      </c>
      <c r="C50" s="413">
        <f>SUM(C51:C53)</f>
        <v>0</v>
      </c>
      <c r="D50" s="413">
        <f>SUM(D51:D53)</f>
        <v>0</v>
      </c>
      <c r="E50" s="550">
        <f>SUM(E51:E53)</f>
        <v>0</v>
      </c>
    </row>
    <row r="51" spans="1:5" ht="12" customHeight="1">
      <c r="A51" s="556" t="s">
        <v>75</v>
      </c>
      <c r="B51" s="335" t="s">
        <v>155</v>
      </c>
      <c r="C51" s="81"/>
      <c r="D51" s="81"/>
      <c r="E51" s="537"/>
    </row>
    <row r="52" spans="1:5" ht="12" customHeight="1">
      <c r="A52" s="556" t="s">
        <v>76</v>
      </c>
      <c r="B52" s="334" t="s">
        <v>135</v>
      </c>
      <c r="C52" s="407"/>
      <c r="D52" s="407"/>
      <c r="E52" s="561"/>
    </row>
    <row r="53" spans="1:5" ht="15" customHeight="1">
      <c r="A53" s="556" t="s">
        <v>77</v>
      </c>
      <c r="B53" s="334" t="s">
        <v>44</v>
      </c>
      <c r="C53" s="407"/>
      <c r="D53" s="407"/>
      <c r="E53" s="561"/>
    </row>
    <row r="54" spans="1:5" ht="13.5" thickBot="1">
      <c r="A54" s="556" t="s">
        <v>78</v>
      </c>
      <c r="B54" s="334" t="s">
        <v>678</v>
      </c>
      <c r="C54" s="407"/>
      <c r="D54" s="407"/>
      <c r="E54" s="561"/>
    </row>
    <row r="55" spans="1:5" ht="15" customHeight="1" thickBot="1">
      <c r="A55" s="543" t="s">
        <v>9</v>
      </c>
      <c r="B55" s="547" t="s">
        <v>570</v>
      </c>
      <c r="C55" s="87">
        <f>+C44+C50</f>
        <v>0</v>
      </c>
      <c r="D55" s="87">
        <f>+D44+D50</f>
        <v>0</v>
      </c>
      <c r="E55" s="551">
        <f>+E44+E50</f>
        <v>0</v>
      </c>
    </row>
    <row r="56" spans="3:5" ht="13.5" thickBot="1">
      <c r="C56" s="552"/>
      <c r="D56" s="552"/>
      <c r="E56" s="552"/>
    </row>
    <row r="57" spans="1:5" ht="13.5" thickBot="1">
      <c r="A57" s="635" t="s">
        <v>735</v>
      </c>
      <c r="B57" s="636"/>
      <c r="C57" s="91"/>
      <c r="D57" s="91"/>
      <c r="E57" s="541"/>
    </row>
    <row r="58" spans="1:5" ht="13.5" thickBot="1">
      <c r="A58" s="637" t="s">
        <v>734</v>
      </c>
      <c r="B58" s="638"/>
      <c r="C58" s="91"/>
      <c r="D58" s="91"/>
      <c r="E58" s="541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36"/>
  <sheetViews>
    <sheetView view="pageLayout" workbookViewId="0" topLeftCell="A1">
      <selection activeCell="E9" sqref="E9"/>
    </sheetView>
  </sheetViews>
  <sheetFormatPr defaultColWidth="9.00390625" defaultRowHeight="12.75"/>
  <cols>
    <col min="1" max="1" width="7.00390625" style="307" customWidth="1"/>
    <col min="2" max="2" width="32.00390625" style="33" customWidth="1"/>
    <col min="3" max="3" width="12.50390625" style="33" customWidth="1"/>
    <col min="4" max="6" width="11.875" style="33" customWidth="1"/>
    <col min="7" max="7" width="12.875" style="33" customWidth="1"/>
    <col min="8" max="16384" width="9.375" style="33" customWidth="1"/>
  </cols>
  <sheetData>
    <row r="1" ht="14.25" thickBot="1">
      <c r="G1" s="40"/>
    </row>
    <row r="2" spans="1:7" ht="17.25" customHeight="1" thickBot="1">
      <c r="A2" s="769" t="s">
        <v>5</v>
      </c>
      <c r="B2" s="771" t="s">
        <v>301</v>
      </c>
      <c r="C2" s="771" t="s">
        <v>679</v>
      </c>
      <c r="D2" s="771" t="s">
        <v>722</v>
      </c>
      <c r="E2" s="773" t="s">
        <v>680</v>
      </c>
      <c r="F2" s="773"/>
      <c r="G2" s="774"/>
    </row>
    <row r="3" spans="1:7" s="308" customFormat="1" ht="57.75" customHeight="1" thickBot="1">
      <c r="A3" s="770"/>
      <c r="B3" s="772"/>
      <c r="C3" s="772"/>
      <c r="D3" s="772"/>
      <c r="E3" s="31" t="s">
        <v>681</v>
      </c>
      <c r="F3" s="31" t="s">
        <v>682</v>
      </c>
      <c r="G3" s="633" t="s">
        <v>683</v>
      </c>
    </row>
    <row r="4" spans="1:7" s="309" customFormat="1" ht="15" customHeight="1" thickBot="1">
      <c r="A4" s="481" t="s">
        <v>410</v>
      </c>
      <c r="B4" s="482" t="s">
        <v>411</v>
      </c>
      <c r="C4" s="482" t="s">
        <v>412</v>
      </c>
      <c r="D4" s="482" t="s">
        <v>413</v>
      </c>
      <c r="E4" s="482" t="s">
        <v>723</v>
      </c>
      <c r="F4" s="482" t="s">
        <v>491</v>
      </c>
      <c r="G4" s="565" t="s">
        <v>492</v>
      </c>
    </row>
    <row r="5" spans="1:7" ht="15" customHeight="1">
      <c r="A5" s="310" t="s">
        <v>7</v>
      </c>
      <c r="B5" s="311" t="s">
        <v>749</v>
      </c>
      <c r="C5" s="312">
        <v>166012124</v>
      </c>
      <c r="D5" s="312"/>
      <c r="E5" s="313">
        <f>C5+D5</f>
        <v>166012124</v>
      </c>
      <c r="F5" s="312"/>
      <c r="G5" s="314"/>
    </row>
    <row r="6" spans="1:7" ht="15" customHeight="1">
      <c r="A6" s="315" t="s">
        <v>8</v>
      </c>
      <c r="B6" s="316" t="s">
        <v>750</v>
      </c>
      <c r="C6" s="2">
        <v>2187672</v>
      </c>
      <c r="D6" s="2"/>
      <c r="E6" s="313">
        <f aca="true" t="shared" si="0" ref="E6:E35">C6+D6</f>
        <v>2187672</v>
      </c>
      <c r="F6" s="2"/>
      <c r="G6" s="159"/>
    </row>
    <row r="7" spans="1:7" ht="23.25" customHeight="1">
      <c r="A7" s="315" t="s">
        <v>9</v>
      </c>
      <c r="B7" s="316" t="s">
        <v>748</v>
      </c>
      <c r="C7" s="2">
        <v>1000019</v>
      </c>
      <c r="D7" s="2"/>
      <c r="E7" s="313">
        <f t="shared" si="0"/>
        <v>1000019</v>
      </c>
      <c r="F7" s="2"/>
      <c r="G7" s="159"/>
    </row>
    <row r="8" spans="1:7" ht="15" customHeight="1">
      <c r="A8" s="315" t="s">
        <v>10</v>
      </c>
      <c r="B8" s="316"/>
      <c r="C8" s="2"/>
      <c r="D8" s="2"/>
      <c r="E8" s="313">
        <f t="shared" si="0"/>
        <v>0</v>
      </c>
      <c r="F8" s="2"/>
      <c r="G8" s="159"/>
    </row>
    <row r="9" spans="1:7" ht="15" customHeight="1">
      <c r="A9" s="315" t="s">
        <v>11</v>
      </c>
      <c r="B9" s="316"/>
      <c r="C9" s="2"/>
      <c r="D9" s="2"/>
      <c r="E9" s="313">
        <f t="shared" si="0"/>
        <v>0</v>
      </c>
      <c r="F9" s="2"/>
      <c r="G9" s="159"/>
    </row>
    <row r="10" spans="1:7" ht="15" customHeight="1">
      <c r="A10" s="315" t="s">
        <v>12</v>
      </c>
      <c r="B10" s="316"/>
      <c r="C10" s="2"/>
      <c r="D10" s="2"/>
      <c r="E10" s="313">
        <f t="shared" si="0"/>
        <v>0</v>
      </c>
      <c r="F10" s="2"/>
      <c r="G10" s="159"/>
    </row>
    <row r="11" spans="1:7" ht="15" customHeight="1">
      <c r="A11" s="315" t="s">
        <v>13</v>
      </c>
      <c r="B11" s="316"/>
      <c r="C11" s="2"/>
      <c r="D11" s="2"/>
      <c r="E11" s="313">
        <f t="shared" si="0"/>
        <v>0</v>
      </c>
      <c r="F11" s="2"/>
      <c r="G11" s="159"/>
    </row>
    <row r="12" spans="1:7" ht="15" customHeight="1">
      <c r="A12" s="315" t="s">
        <v>14</v>
      </c>
      <c r="B12" s="316"/>
      <c r="C12" s="2"/>
      <c r="D12" s="2"/>
      <c r="E12" s="313">
        <f t="shared" si="0"/>
        <v>0</v>
      </c>
      <c r="F12" s="2"/>
      <c r="G12" s="159"/>
    </row>
    <row r="13" spans="1:7" ht="15" customHeight="1">
      <c r="A13" s="315" t="s">
        <v>15</v>
      </c>
      <c r="B13" s="316"/>
      <c r="C13" s="2"/>
      <c r="D13" s="2"/>
      <c r="E13" s="313">
        <f t="shared" si="0"/>
        <v>0</v>
      </c>
      <c r="F13" s="2"/>
      <c r="G13" s="159"/>
    </row>
    <row r="14" spans="1:7" ht="15" customHeight="1">
      <c r="A14" s="315" t="s">
        <v>16</v>
      </c>
      <c r="B14" s="316"/>
      <c r="C14" s="2"/>
      <c r="D14" s="2"/>
      <c r="E14" s="313">
        <f t="shared" si="0"/>
        <v>0</v>
      </c>
      <c r="F14" s="2"/>
      <c r="G14" s="159"/>
    </row>
    <row r="15" spans="1:7" ht="15" customHeight="1">
      <c r="A15" s="315" t="s">
        <v>17</v>
      </c>
      <c r="B15" s="316"/>
      <c r="C15" s="2"/>
      <c r="D15" s="2"/>
      <c r="E15" s="313">
        <f t="shared" si="0"/>
        <v>0</v>
      </c>
      <c r="F15" s="2"/>
      <c r="G15" s="159"/>
    </row>
    <row r="16" spans="1:7" ht="15" customHeight="1">
      <c r="A16" s="315" t="s">
        <v>18</v>
      </c>
      <c r="B16" s="316"/>
      <c r="C16" s="2"/>
      <c r="D16" s="2"/>
      <c r="E16" s="313">
        <f t="shared" si="0"/>
        <v>0</v>
      </c>
      <c r="F16" s="2"/>
      <c r="G16" s="159"/>
    </row>
    <row r="17" spans="1:7" ht="15" customHeight="1">
      <c r="A17" s="315" t="s">
        <v>19</v>
      </c>
      <c r="B17" s="316"/>
      <c r="C17" s="2"/>
      <c r="D17" s="2"/>
      <c r="E17" s="313">
        <f t="shared" si="0"/>
        <v>0</v>
      </c>
      <c r="F17" s="2"/>
      <c r="G17" s="159"/>
    </row>
    <row r="18" spans="1:7" ht="15" customHeight="1">
      <c r="A18" s="315" t="s">
        <v>20</v>
      </c>
      <c r="B18" s="316"/>
      <c r="C18" s="2"/>
      <c r="D18" s="2"/>
      <c r="E18" s="313">
        <f t="shared" si="0"/>
        <v>0</v>
      </c>
      <c r="F18" s="2"/>
      <c r="G18" s="159"/>
    </row>
    <row r="19" spans="1:7" ht="15" customHeight="1">
      <c r="A19" s="315" t="s">
        <v>21</v>
      </c>
      <c r="B19" s="316"/>
      <c r="C19" s="2"/>
      <c r="D19" s="2"/>
      <c r="E19" s="313">
        <f t="shared" si="0"/>
        <v>0</v>
      </c>
      <c r="F19" s="2"/>
      <c r="G19" s="159"/>
    </row>
    <row r="20" spans="1:7" ht="15" customHeight="1">
      <c r="A20" s="315" t="s">
        <v>22</v>
      </c>
      <c r="B20" s="316"/>
      <c r="C20" s="2"/>
      <c r="D20" s="2"/>
      <c r="E20" s="313">
        <f t="shared" si="0"/>
        <v>0</v>
      </c>
      <c r="F20" s="2"/>
      <c r="G20" s="159"/>
    </row>
    <row r="21" spans="1:7" ht="15" customHeight="1">
      <c r="A21" s="315" t="s">
        <v>23</v>
      </c>
      <c r="B21" s="316"/>
      <c r="C21" s="2"/>
      <c r="D21" s="2"/>
      <c r="E21" s="313">
        <f t="shared" si="0"/>
        <v>0</v>
      </c>
      <c r="F21" s="2"/>
      <c r="G21" s="159"/>
    </row>
    <row r="22" spans="1:7" ht="15" customHeight="1">
      <c r="A22" s="315" t="s">
        <v>24</v>
      </c>
      <c r="B22" s="316"/>
      <c r="C22" s="2"/>
      <c r="D22" s="2"/>
      <c r="E22" s="313">
        <f t="shared" si="0"/>
        <v>0</v>
      </c>
      <c r="F22" s="2"/>
      <c r="G22" s="159"/>
    </row>
    <row r="23" spans="1:7" ht="15" customHeight="1">
      <c r="A23" s="315" t="s">
        <v>25</v>
      </c>
      <c r="B23" s="316"/>
      <c r="C23" s="2"/>
      <c r="D23" s="2"/>
      <c r="E23" s="313">
        <f t="shared" si="0"/>
        <v>0</v>
      </c>
      <c r="F23" s="2"/>
      <c r="G23" s="159"/>
    </row>
    <row r="24" spans="1:7" ht="15" customHeight="1">
      <c r="A24" s="315" t="s">
        <v>26</v>
      </c>
      <c r="B24" s="316"/>
      <c r="C24" s="2"/>
      <c r="D24" s="2"/>
      <c r="E24" s="313">
        <f t="shared" si="0"/>
        <v>0</v>
      </c>
      <c r="F24" s="2"/>
      <c r="G24" s="159"/>
    </row>
    <row r="25" spans="1:7" ht="15" customHeight="1">
      <c r="A25" s="315" t="s">
        <v>27</v>
      </c>
      <c r="B25" s="316"/>
      <c r="C25" s="2"/>
      <c r="D25" s="2"/>
      <c r="E25" s="313">
        <f t="shared" si="0"/>
        <v>0</v>
      </c>
      <c r="F25" s="2"/>
      <c r="G25" s="159"/>
    </row>
    <row r="26" spans="1:7" ht="15" customHeight="1">
      <c r="A26" s="315" t="s">
        <v>28</v>
      </c>
      <c r="B26" s="316"/>
      <c r="C26" s="2"/>
      <c r="D26" s="2"/>
      <c r="E26" s="313">
        <f t="shared" si="0"/>
        <v>0</v>
      </c>
      <c r="F26" s="2"/>
      <c r="G26" s="159"/>
    </row>
    <row r="27" spans="1:7" ht="15" customHeight="1">
      <c r="A27" s="315" t="s">
        <v>29</v>
      </c>
      <c r="B27" s="316"/>
      <c r="C27" s="2"/>
      <c r="D27" s="2"/>
      <c r="E27" s="313">
        <f t="shared" si="0"/>
        <v>0</v>
      </c>
      <c r="F27" s="2"/>
      <c r="G27" s="159"/>
    </row>
    <row r="28" spans="1:7" ht="15" customHeight="1">
      <c r="A28" s="315" t="s">
        <v>30</v>
      </c>
      <c r="B28" s="316"/>
      <c r="C28" s="2"/>
      <c r="D28" s="2"/>
      <c r="E28" s="313">
        <f t="shared" si="0"/>
        <v>0</v>
      </c>
      <c r="F28" s="2"/>
      <c r="G28" s="159"/>
    </row>
    <row r="29" spans="1:7" ht="15" customHeight="1">
      <c r="A29" s="315" t="s">
        <v>31</v>
      </c>
      <c r="B29" s="316"/>
      <c r="C29" s="2"/>
      <c r="D29" s="2"/>
      <c r="E29" s="313">
        <f t="shared" si="0"/>
        <v>0</v>
      </c>
      <c r="F29" s="2"/>
      <c r="G29" s="159"/>
    </row>
    <row r="30" spans="1:7" ht="15" customHeight="1">
      <c r="A30" s="315" t="s">
        <v>32</v>
      </c>
      <c r="B30" s="316"/>
      <c r="C30" s="2"/>
      <c r="D30" s="2"/>
      <c r="E30" s="313"/>
      <c r="F30" s="2"/>
      <c r="G30" s="159"/>
    </row>
    <row r="31" spans="1:7" ht="15" customHeight="1">
      <c r="A31" s="315" t="s">
        <v>33</v>
      </c>
      <c r="B31" s="316"/>
      <c r="C31" s="2"/>
      <c r="D31" s="2"/>
      <c r="E31" s="313">
        <f t="shared" si="0"/>
        <v>0</v>
      </c>
      <c r="F31" s="2"/>
      <c r="G31" s="159"/>
    </row>
    <row r="32" spans="1:7" ht="15" customHeight="1">
      <c r="A32" s="315" t="s">
        <v>34</v>
      </c>
      <c r="B32" s="316"/>
      <c r="C32" s="2"/>
      <c r="D32" s="2"/>
      <c r="E32" s="313">
        <f t="shared" si="0"/>
        <v>0</v>
      </c>
      <c r="F32" s="2"/>
      <c r="G32" s="159"/>
    </row>
    <row r="33" spans="1:7" ht="15" customHeight="1">
      <c r="A33" s="315" t="s">
        <v>35</v>
      </c>
      <c r="B33" s="316"/>
      <c r="C33" s="2"/>
      <c r="D33" s="2"/>
      <c r="E33" s="313">
        <f t="shared" si="0"/>
        <v>0</v>
      </c>
      <c r="F33" s="2"/>
      <c r="G33" s="159"/>
    </row>
    <row r="34" spans="1:7" ht="15" customHeight="1">
      <c r="A34" s="315" t="s">
        <v>89</v>
      </c>
      <c r="B34" s="316"/>
      <c r="C34" s="2"/>
      <c r="D34" s="2"/>
      <c r="E34" s="313">
        <f t="shared" si="0"/>
        <v>0</v>
      </c>
      <c r="F34" s="2"/>
      <c r="G34" s="159"/>
    </row>
    <row r="35" spans="1:7" ht="15" customHeight="1" thickBot="1">
      <c r="A35" s="315" t="s">
        <v>183</v>
      </c>
      <c r="B35" s="317"/>
      <c r="C35" s="3"/>
      <c r="D35" s="3"/>
      <c r="E35" s="313">
        <f t="shared" si="0"/>
        <v>0</v>
      </c>
      <c r="F35" s="3"/>
      <c r="G35" s="318"/>
    </row>
    <row r="36" spans="1:7" ht="15" customHeight="1" thickBot="1">
      <c r="A36" s="775" t="s">
        <v>40</v>
      </c>
      <c r="B36" s="776"/>
      <c r="C36" s="15">
        <f>SUM(C5:C35)</f>
        <v>169199815</v>
      </c>
      <c r="D36" s="15">
        <f>SUM(D5:D35)</f>
        <v>0</v>
      </c>
      <c r="E36" s="15">
        <f>SUM(E5:E35)</f>
        <v>169199815</v>
      </c>
      <c r="F36" s="15">
        <f>SUM(F5:F35)</f>
        <v>0</v>
      </c>
      <c r="G36" s="16">
        <f>SUM(G5:G35)</f>
        <v>0</v>
      </c>
    </row>
  </sheetData>
  <sheetProtection/>
  <mergeCells count="6">
    <mergeCell ref="A2:A3"/>
    <mergeCell ref="B2:B3"/>
    <mergeCell ref="C2:C3"/>
    <mergeCell ref="D2:D3"/>
    <mergeCell ref="E2:G2"/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Height="0" fitToWidth="1" horizontalDpi="300" verticalDpi="300" orientation="portrait" paperSize="9" scale="96" r:id="rId1"/>
  <headerFooter alignWithMargins="0">
    <oddHeader>&amp;C&amp;"Times New Roman CE,Félkövér"&amp;12
KÖLTSÉGVETÉSI SZERVEK PÉNZMARADVÁNYÁNAK ALAKULÁSA&amp;R&amp;"Times New Roman CE,Félkövér dőlt"&amp;12 9. melléklet a 4/2020. (VI.30.) önkormányzati rendelethez&amp;"Times New Roman CE,Dőlt"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145"/>
  <sheetViews>
    <sheetView view="pageLayout" zoomScaleNormal="120" zoomScaleSheetLayoutView="100" workbookViewId="0" topLeftCell="A64">
      <selection activeCell="E17" sqref="E17"/>
    </sheetView>
  </sheetViews>
  <sheetFormatPr defaultColWidth="9.00390625" defaultRowHeight="12.75"/>
  <cols>
    <col min="1" max="1" width="9.00390625" style="375" customWidth="1"/>
    <col min="2" max="2" width="64.875" style="375" customWidth="1"/>
    <col min="3" max="3" width="17.375" style="375" customWidth="1"/>
    <col min="4" max="5" width="17.375" style="376" customWidth="1"/>
    <col min="6" max="16384" width="9.375" style="386" customWidth="1"/>
  </cols>
  <sheetData>
    <row r="1" spans="1:5" ht="15.75" customHeight="1">
      <c r="A1" s="719" t="s">
        <v>4</v>
      </c>
      <c r="B1" s="719"/>
      <c r="C1" s="719"/>
      <c r="D1" s="719"/>
      <c r="E1" s="719"/>
    </row>
    <row r="2" spans="1:5" ht="15.75" customHeight="1" thickBot="1">
      <c r="A2" s="46" t="s">
        <v>109</v>
      </c>
      <c r="B2" s="46"/>
      <c r="C2" s="46"/>
      <c r="D2" s="373"/>
      <c r="E2" s="373">
        <f>'9. sz. mell'!G1</f>
        <v>0</v>
      </c>
    </row>
    <row r="3" spans="1:5" ht="15.75" customHeight="1">
      <c r="A3" s="720" t="s">
        <v>57</v>
      </c>
      <c r="B3" s="722" t="s">
        <v>6</v>
      </c>
      <c r="C3" s="777" t="str">
        <f>+CONCATENATE(LEFT(ÖSSZEFÜGGÉSEK!A4,4)-1,". évi tény")</f>
        <v>2018. évi tény</v>
      </c>
      <c r="D3" s="724" t="str">
        <f>+CONCATENATE(LEFT(ÖSSZEFÜGGÉSEK!A4,4),". évi")</f>
        <v>2019. évi</v>
      </c>
      <c r="E3" s="725"/>
    </row>
    <row r="4" spans="1:5" ht="37.5" customHeight="1" thickBot="1">
      <c r="A4" s="721"/>
      <c r="B4" s="723"/>
      <c r="C4" s="778"/>
      <c r="D4" s="48" t="s">
        <v>179</v>
      </c>
      <c r="E4" s="49" t="s">
        <v>180</v>
      </c>
    </row>
    <row r="5" spans="1:5" s="387" customFormat="1" ht="12" customHeight="1" thickBot="1">
      <c r="A5" s="351" t="s">
        <v>410</v>
      </c>
      <c r="B5" s="352" t="s">
        <v>411</v>
      </c>
      <c r="C5" s="352" t="s">
        <v>412</v>
      </c>
      <c r="D5" s="352" t="s">
        <v>414</v>
      </c>
      <c r="E5" s="353" t="s">
        <v>491</v>
      </c>
    </row>
    <row r="6" spans="1:5" s="388" customFormat="1" ht="12" customHeight="1" thickBot="1">
      <c r="A6" s="346" t="s">
        <v>7</v>
      </c>
      <c r="B6" s="581" t="s">
        <v>302</v>
      </c>
      <c r="C6" s="378">
        <f>+C7+C8+C9+C10+C11+C12</f>
        <v>0</v>
      </c>
      <c r="D6" s="378">
        <f>+D7+D8+D9+D10+D11+D12</f>
        <v>0</v>
      </c>
      <c r="E6" s="361">
        <f>+E7+E8+E9+E10+E11+E12</f>
        <v>0</v>
      </c>
    </row>
    <row r="7" spans="1:5" s="388" customFormat="1" ht="12" customHeight="1">
      <c r="A7" s="341" t="s">
        <v>69</v>
      </c>
      <c r="B7" s="582" t="s">
        <v>303</v>
      </c>
      <c r="C7" s="380"/>
      <c r="D7" s="380"/>
      <c r="E7" s="363"/>
    </row>
    <row r="8" spans="1:5" s="388" customFormat="1" ht="12" customHeight="1">
      <c r="A8" s="340" t="s">
        <v>70</v>
      </c>
      <c r="B8" s="583" t="s">
        <v>304</v>
      </c>
      <c r="C8" s="379"/>
      <c r="D8" s="379"/>
      <c r="E8" s="362"/>
    </row>
    <row r="9" spans="1:5" s="388" customFormat="1" ht="12" customHeight="1">
      <c r="A9" s="340" t="s">
        <v>71</v>
      </c>
      <c r="B9" s="583" t="s">
        <v>305</v>
      </c>
      <c r="C9" s="379"/>
      <c r="D9" s="379"/>
      <c r="E9" s="362"/>
    </row>
    <row r="10" spans="1:5" s="388" customFormat="1" ht="12" customHeight="1">
      <c r="A10" s="340" t="s">
        <v>72</v>
      </c>
      <c r="B10" s="583" t="s">
        <v>306</v>
      </c>
      <c r="C10" s="379"/>
      <c r="D10" s="379"/>
      <c r="E10" s="362"/>
    </row>
    <row r="11" spans="1:5" s="388" customFormat="1" ht="12" customHeight="1">
      <c r="A11" s="340" t="s">
        <v>105</v>
      </c>
      <c r="B11" s="583" t="s">
        <v>307</v>
      </c>
      <c r="C11" s="571"/>
      <c r="D11" s="379"/>
      <c r="E11" s="362"/>
    </row>
    <row r="12" spans="1:5" s="388" customFormat="1" ht="12" customHeight="1" thickBot="1">
      <c r="A12" s="342" t="s">
        <v>73</v>
      </c>
      <c r="B12" s="584" t="s">
        <v>308</v>
      </c>
      <c r="C12" s="572"/>
      <c r="D12" s="381"/>
      <c r="E12" s="364"/>
    </row>
    <row r="13" spans="1:5" s="388" customFormat="1" ht="12" customHeight="1" thickBot="1">
      <c r="A13" s="346" t="s">
        <v>8</v>
      </c>
      <c r="B13" s="585" t="s">
        <v>309</v>
      </c>
      <c r="C13" s="378">
        <f>+C14+C15+C16+C17+C18</f>
        <v>0</v>
      </c>
      <c r="D13" s="378">
        <f>+D14+D15+D16+D17+D18</f>
        <v>0</v>
      </c>
      <c r="E13" s="361">
        <f>+E14+E15+E16+E17+E18</f>
        <v>0</v>
      </c>
    </row>
    <row r="14" spans="1:5" s="388" customFormat="1" ht="12" customHeight="1">
      <c r="A14" s="341" t="s">
        <v>75</v>
      </c>
      <c r="B14" s="582" t="s">
        <v>310</v>
      </c>
      <c r="C14" s="380"/>
      <c r="D14" s="380"/>
      <c r="E14" s="363"/>
    </row>
    <row r="15" spans="1:5" s="388" customFormat="1" ht="12" customHeight="1">
      <c r="A15" s="340" t="s">
        <v>76</v>
      </c>
      <c r="B15" s="583" t="s">
        <v>311</v>
      </c>
      <c r="C15" s="379"/>
      <c r="D15" s="379"/>
      <c r="E15" s="362"/>
    </row>
    <row r="16" spans="1:5" s="388" customFormat="1" ht="12" customHeight="1">
      <c r="A16" s="340" t="s">
        <v>77</v>
      </c>
      <c r="B16" s="583" t="s">
        <v>312</v>
      </c>
      <c r="C16" s="379"/>
      <c r="D16" s="379"/>
      <c r="E16" s="362"/>
    </row>
    <row r="17" spans="1:5" s="388" customFormat="1" ht="12" customHeight="1">
      <c r="A17" s="340" t="s">
        <v>78</v>
      </c>
      <c r="B17" s="583" t="s">
        <v>313</v>
      </c>
      <c r="C17" s="379"/>
      <c r="D17" s="379"/>
      <c r="E17" s="362"/>
    </row>
    <row r="18" spans="1:5" s="388" customFormat="1" ht="12" customHeight="1">
      <c r="A18" s="340" t="s">
        <v>79</v>
      </c>
      <c r="B18" s="583" t="s">
        <v>314</v>
      </c>
      <c r="C18" s="379"/>
      <c r="D18" s="379"/>
      <c r="E18" s="362"/>
    </row>
    <row r="19" spans="1:5" s="388" customFormat="1" ht="12" customHeight="1" thickBot="1">
      <c r="A19" s="342" t="s">
        <v>86</v>
      </c>
      <c r="B19" s="584" t="s">
        <v>315</v>
      </c>
      <c r="C19" s="381"/>
      <c r="D19" s="381"/>
      <c r="E19" s="364"/>
    </row>
    <row r="20" spans="1:5" s="388" customFormat="1" ht="12" customHeight="1" thickBot="1">
      <c r="A20" s="346" t="s">
        <v>9</v>
      </c>
      <c r="B20" s="581" t="s">
        <v>316</v>
      </c>
      <c r="C20" s="378">
        <f>+C21+C22+C23+C24+C25</f>
        <v>0</v>
      </c>
      <c r="D20" s="378">
        <f>+D21+D22+D23+D24+D25</f>
        <v>0</v>
      </c>
      <c r="E20" s="361">
        <f>+E21+E22+E23+E24+E25</f>
        <v>0</v>
      </c>
    </row>
    <row r="21" spans="1:5" s="388" customFormat="1" ht="12" customHeight="1">
      <c r="A21" s="341" t="s">
        <v>58</v>
      </c>
      <c r="B21" s="582" t="s">
        <v>317</v>
      </c>
      <c r="C21" s="380"/>
      <c r="D21" s="380"/>
      <c r="E21" s="363"/>
    </row>
    <row r="22" spans="1:5" s="388" customFormat="1" ht="12" customHeight="1">
      <c r="A22" s="340" t="s">
        <v>59</v>
      </c>
      <c r="B22" s="583" t="s">
        <v>318</v>
      </c>
      <c r="C22" s="379"/>
      <c r="D22" s="379"/>
      <c r="E22" s="362"/>
    </row>
    <row r="23" spans="1:5" s="388" customFormat="1" ht="12" customHeight="1">
      <c r="A23" s="340" t="s">
        <v>60</v>
      </c>
      <c r="B23" s="583" t="s">
        <v>319</v>
      </c>
      <c r="C23" s="379"/>
      <c r="D23" s="379"/>
      <c r="E23" s="362"/>
    </row>
    <row r="24" spans="1:5" s="388" customFormat="1" ht="12" customHeight="1">
      <c r="A24" s="340" t="s">
        <v>61</v>
      </c>
      <c r="B24" s="583" t="s">
        <v>320</v>
      </c>
      <c r="C24" s="379"/>
      <c r="D24" s="379"/>
      <c r="E24" s="362"/>
    </row>
    <row r="25" spans="1:5" s="388" customFormat="1" ht="12" customHeight="1">
      <c r="A25" s="340" t="s">
        <v>119</v>
      </c>
      <c r="B25" s="583" t="s">
        <v>321</v>
      </c>
      <c r="C25" s="379"/>
      <c r="D25" s="379"/>
      <c r="E25" s="362"/>
    </row>
    <row r="26" spans="1:5" s="388" customFormat="1" ht="12" customHeight="1" thickBot="1">
      <c r="A26" s="342" t="s">
        <v>120</v>
      </c>
      <c r="B26" s="584" t="s">
        <v>322</v>
      </c>
      <c r="C26" s="381"/>
      <c r="D26" s="381"/>
      <c r="E26" s="364"/>
    </row>
    <row r="27" spans="1:5" s="388" customFormat="1" ht="12" customHeight="1" thickBot="1">
      <c r="A27" s="351" t="s">
        <v>121</v>
      </c>
      <c r="B27" s="347" t="s">
        <v>724</v>
      </c>
      <c r="C27" s="384">
        <f>SUM(C28:C33)</f>
        <v>0</v>
      </c>
      <c r="D27" s="384">
        <f>SUM(D28:D33)</f>
        <v>0</v>
      </c>
      <c r="E27" s="397">
        <f>SUM(E28:E33)</f>
        <v>0</v>
      </c>
    </row>
    <row r="28" spans="1:5" s="388" customFormat="1" ht="12" customHeight="1">
      <c r="A28" s="516" t="s">
        <v>323</v>
      </c>
      <c r="B28" s="389" t="s">
        <v>728</v>
      </c>
      <c r="C28" s="380"/>
      <c r="D28" s="380">
        <f>+D29+D30</f>
        <v>0</v>
      </c>
      <c r="E28" s="363">
        <f>+E29+E30</f>
        <v>0</v>
      </c>
    </row>
    <row r="29" spans="1:5" s="388" customFormat="1" ht="12" customHeight="1">
      <c r="A29" s="517" t="s">
        <v>324</v>
      </c>
      <c r="B29" s="390" t="s">
        <v>729</v>
      </c>
      <c r="C29" s="379"/>
      <c r="D29" s="379"/>
      <c r="E29" s="362"/>
    </row>
    <row r="30" spans="1:5" s="388" customFormat="1" ht="12" customHeight="1">
      <c r="A30" s="517" t="s">
        <v>325</v>
      </c>
      <c r="B30" s="390" t="s">
        <v>730</v>
      </c>
      <c r="C30" s="379"/>
      <c r="D30" s="379"/>
      <c r="E30" s="362"/>
    </row>
    <row r="31" spans="1:5" s="388" customFormat="1" ht="12" customHeight="1">
      <c r="A31" s="517" t="s">
        <v>725</v>
      </c>
      <c r="B31" s="390" t="s">
        <v>731</v>
      </c>
      <c r="C31" s="379"/>
      <c r="D31" s="379"/>
      <c r="E31" s="362"/>
    </row>
    <row r="32" spans="1:5" s="388" customFormat="1" ht="12" customHeight="1">
      <c r="A32" s="517" t="s">
        <v>726</v>
      </c>
      <c r="B32" s="390" t="s">
        <v>326</v>
      </c>
      <c r="C32" s="379"/>
      <c r="D32" s="379"/>
      <c r="E32" s="362"/>
    </row>
    <row r="33" spans="1:5" s="388" customFormat="1" ht="12" customHeight="1" thickBot="1">
      <c r="A33" s="518" t="s">
        <v>727</v>
      </c>
      <c r="B33" s="370" t="s">
        <v>327</v>
      </c>
      <c r="C33" s="381"/>
      <c r="D33" s="381"/>
      <c r="E33" s="364"/>
    </row>
    <row r="34" spans="1:5" s="388" customFormat="1" ht="12" customHeight="1" thickBot="1">
      <c r="A34" s="346" t="s">
        <v>11</v>
      </c>
      <c r="B34" s="581" t="s">
        <v>328</v>
      </c>
      <c r="C34" s="378">
        <f>SUM(C35:C44)</f>
        <v>0</v>
      </c>
      <c r="D34" s="378">
        <f>SUM(D35:D44)</f>
        <v>0</v>
      </c>
      <c r="E34" s="361">
        <f>SUM(E35:E44)</f>
        <v>0</v>
      </c>
    </row>
    <row r="35" spans="1:5" s="388" customFormat="1" ht="12" customHeight="1">
      <c r="A35" s="341" t="s">
        <v>62</v>
      </c>
      <c r="B35" s="582" t="s">
        <v>329</v>
      </c>
      <c r="C35" s="380"/>
      <c r="D35" s="380"/>
      <c r="E35" s="363"/>
    </row>
    <row r="36" spans="1:5" s="388" customFormat="1" ht="12" customHeight="1">
      <c r="A36" s="340" t="s">
        <v>63</v>
      </c>
      <c r="B36" s="583" t="s">
        <v>330</v>
      </c>
      <c r="C36" s="379"/>
      <c r="D36" s="379"/>
      <c r="E36" s="362"/>
    </row>
    <row r="37" spans="1:5" s="388" customFormat="1" ht="12" customHeight="1">
      <c r="A37" s="340" t="s">
        <v>64</v>
      </c>
      <c r="B37" s="583" t="s">
        <v>331</v>
      </c>
      <c r="C37" s="379"/>
      <c r="D37" s="379"/>
      <c r="E37" s="362"/>
    </row>
    <row r="38" spans="1:5" s="388" customFormat="1" ht="12" customHeight="1">
      <c r="A38" s="340" t="s">
        <v>123</v>
      </c>
      <c r="B38" s="583" t="s">
        <v>332</v>
      </c>
      <c r="C38" s="379"/>
      <c r="D38" s="379"/>
      <c r="E38" s="362"/>
    </row>
    <row r="39" spans="1:5" s="388" customFormat="1" ht="12" customHeight="1">
      <c r="A39" s="340" t="s">
        <v>124</v>
      </c>
      <c r="B39" s="583" t="s">
        <v>333</v>
      </c>
      <c r="C39" s="379"/>
      <c r="D39" s="379"/>
      <c r="E39" s="362"/>
    </row>
    <row r="40" spans="1:5" s="388" customFormat="1" ht="12" customHeight="1">
      <c r="A40" s="340" t="s">
        <v>125</v>
      </c>
      <c r="B40" s="583" t="s">
        <v>334</v>
      </c>
      <c r="C40" s="379"/>
      <c r="D40" s="379"/>
      <c r="E40" s="362"/>
    </row>
    <row r="41" spans="1:5" s="388" customFormat="1" ht="12" customHeight="1">
      <c r="A41" s="340" t="s">
        <v>126</v>
      </c>
      <c r="B41" s="583" t="s">
        <v>335</v>
      </c>
      <c r="C41" s="379"/>
      <c r="D41" s="379"/>
      <c r="E41" s="362"/>
    </row>
    <row r="42" spans="1:5" s="388" customFormat="1" ht="12" customHeight="1">
      <c r="A42" s="340" t="s">
        <v>127</v>
      </c>
      <c r="B42" s="583" t="s">
        <v>336</v>
      </c>
      <c r="C42" s="379"/>
      <c r="D42" s="379"/>
      <c r="E42" s="362"/>
    </row>
    <row r="43" spans="1:5" s="388" customFormat="1" ht="12" customHeight="1">
      <c r="A43" s="340" t="s">
        <v>337</v>
      </c>
      <c r="B43" s="583" t="s">
        <v>338</v>
      </c>
      <c r="C43" s="382"/>
      <c r="D43" s="382"/>
      <c r="E43" s="365"/>
    </row>
    <row r="44" spans="1:5" s="388" customFormat="1" ht="12" customHeight="1" thickBot="1">
      <c r="A44" s="342" t="s">
        <v>339</v>
      </c>
      <c r="B44" s="584" t="s">
        <v>340</v>
      </c>
      <c r="C44" s="383"/>
      <c r="D44" s="383"/>
      <c r="E44" s="366"/>
    </row>
    <row r="45" spans="1:5" s="388" customFormat="1" ht="12" customHeight="1" thickBot="1">
      <c r="A45" s="346" t="s">
        <v>12</v>
      </c>
      <c r="B45" s="581" t="s">
        <v>341</v>
      </c>
      <c r="C45" s="378">
        <f>SUM(C46:C50)</f>
        <v>0</v>
      </c>
      <c r="D45" s="378">
        <f>SUM(D46:D50)</f>
        <v>0</v>
      </c>
      <c r="E45" s="361">
        <f>SUM(E46:E50)</f>
        <v>0</v>
      </c>
    </row>
    <row r="46" spans="1:5" s="388" customFormat="1" ht="12" customHeight="1">
      <c r="A46" s="341" t="s">
        <v>65</v>
      </c>
      <c r="B46" s="582" t="s">
        <v>342</v>
      </c>
      <c r="C46" s="399"/>
      <c r="D46" s="399"/>
      <c r="E46" s="367"/>
    </row>
    <row r="47" spans="1:5" s="388" customFormat="1" ht="12" customHeight="1">
      <c r="A47" s="340" t="s">
        <v>66</v>
      </c>
      <c r="B47" s="583" t="s">
        <v>343</v>
      </c>
      <c r="C47" s="382"/>
      <c r="D47" s="382"/>
      <c r="E47" s="365"/>
    </row>
    <row r="48" spans="1:5" s="388" customFormat="1" ht="12" customHeight="1">
      <c r="A48" s="340" t="s">
        <v>344</v>
      </c>
      <c r="B48" s="583" t="s">
        <v>345</v>
      </c>
      <c r="C48" s="382"/>
      <c r="D48" s="382"/>
      <c r="E48" s="365"/>
    </row>
    <row r="49" spans="1:5" s="388" customFormat="1" ht="12" customHeight="1">
      <c r="A49" s="340" t="s">
        <v>346</v>
      </c>
      <c r="B49" s="583" t="s">
        <v>347</v>
      </c>
      <c r="C49" s="382"/>
      <c r="D49" s="382"/>
      <c r="E49" s="365"/>
    </row>
    <row r="50" spans="1:5" s="388" customFormat="1" ht="12" customHeight="1" thickBot="1">
      <c r="A50" s="342" t="s">
        <v>348</v>
      </c>
      <c r="B50" s="584" t="s">
        <v>349</v>
      </c>
      <c r="C50" s="383"/>
      <c r="D50" s="383"/>
      <c r="E50" s="366"/>
    </row>
    <row r="51" spans="1:5" s="388" customFormat="1" ht="13.5" thickBot="1">
      <c r="A51" s="346" t="s">
        <v>128</v>
      </c>
      <c r="B51" s="581" t="s">
        <v>350</v>
      </c>
      <c r="C51" s="378">
        <f>SUM(C52:C54)</f>
        <v>0</v>
      </c>
      <c r="D51" s="378">
        <f>SUM(D52:D54)</f>
        <v>0</v>
      </c>
      <c r="E51" s="361">
        <f>SUM(E52:E54)</f>
        <v>0</v>
      </c>
    </row>
    <row r="52" spans="1:5" s="388" customFormat="1" ht="12.75">
      <c r="A52" s="341" t="s">
        <v>67</v>
      </c>
      <c r="B52" s="582" t="s">
        <v>351</v>
      </c>
      <c r="C52" s="380"/>
      <c r="D52" s="380"/>
      <c r="E52" s="363"/>
    </row>
    <row r="53" spans="1:5" s="388" customFormat="1" ht="14.25" customHeight="1">
      <c r="A53" s="340" t="s">
        <v>68</v>
      </c>
      <c r="B53" s="583" t="s">
        <v>571</v>
      </c>
      <c r="C53" s="379"/>
      <c r="D53" s="379"/>
      <c r="E53" s="362"/>
    </row>
    <row r="54" spans="1:5" s="388" customFormat="1" ht="12.75">
      <c r="A54" s="340" t="s">
        <v>353</v>
      </c>
      <c r="B54" s="583" t="s">
        <v>354</v>
      </c>
      <c r="C54" s="379"/>
      <c r="D54" s="379"/>
      <c r="E54" s="362"/>
    </row>
    <row r="55" spans="1:5" s="388" customFormat="1" ht="13.5" thickBot="1">
      <c r="A55" s="342" t="s">
        <v>355</v>
      </c>
      <c r="B55" s="584" t="s">
        <v>356</v>
      </c>
      <c r="C55" s="381"/>
      <c r="D55" s="381"/>
      <c r="E55" s="364"/>
    </row>
    <row r="56" spans="1:5" s="388" customFormat="1" ht="13.5" thickBot="1">
      <c r="A56" s="346" t="s">
        <v>14</v>
      </c>
      <c r="B56" s="585" t="s">
        <v>357</v>
      </c>
      <c r="C56" s="378">
        <f>SUM(C57:C59)</f>
        <v>0</v>
      </c>
      <c r="D56" s="378">
        <f>SUM(D57:D59)</f>
        <v>0</v>
      </c>
      <c r="E56" s="361">
        <f>SUM(E57:E59)</f>
        <v>0</v>
      </c>
    </row>
    <row r="57" spans="1:5" s="388" customFormat="1" ht="12.75">
      <c r="A57" s="340" t="s">
        <v>129</v>
      </c>
      <c r="B57" s="582" t="s">
        <v>358</v>
      </c>
      <c r="C57" s="382"/>
      <c r="D57" s="382"/>
      <c r="E57" s="365"/>
    </row>
    <row r="58" spans="1:5" s="388" customFormat="1" ht="12.75" customHeight="1">
      <c r="A58" s="340" t="s">
        <v>130</v>
      </c>
      <c r="B58" s="583" t="s">
        <v>572</v>
      </c>
      <c r="C58" s="382"/>
      <c r="D58" s="382"/>
      <c r="E58" s="365"/>
    </row>
    <row r="59" spans="1:5" s="388" customFormat="1" ht="12.75">
      <c r="A59" s="340" t="s">
        <v>156</v>
      </c>
      <c r="B59" s="583" t="s">
        <v>360</v>
      </c>
      <c r="C59" s="382"/>
      <c r="D59" s="382"/>
      <c r="E59" s="365"/>
    </row>
    <row r="60" spans="1:5" s="388" customFormat="1" ht="13.5" thickBot="1">
      <c r="A60" s="340" t="s">
        <v>361</v>
      </c>
      <c r="B60" s="584" t="s">
        <v>362</v>
      </c>
      <c r="C60" s="382"/>
      <c r="D60" s="382"/>
      <c r="E60" s="365"/>
    </row>
    <row r="61" spans="1:5" s="388" customFormat="1" ht="13.5" thickBot="1">
      <c r="A61" s="346" t="s">
        <v>15</v>
      </c>
      <c r="B61" s="581" t="s">
        <v>363</v>
      </c>
      <c r="C61" s="384">
        <f>+C6+C13+C20+C27+C34+C45+C51+C56</f>
        <v>0</v>
      </c>
      <c r="D61" s="384">
        <f>+D6+D13+D20+D27+D34+D45+D51+D56</f>
        <v>0</v>
      </c>
      <c r="E61" s="397">
        <f>+E6+E13+E20+E27+E34+E45+E51+E56</f>
        <v>0</v>
      </c>
    </row>
    <row r="62" spans="1:5" s="388" customFormat="1" ht="13.5" thickBot="1">
      <c r="A62" s="400" t="s">
        <v>364</v>
      </c>
      <c r="B62" s="585" t="s">
        <v>686</v>
      </c>
      <c r="C62" s="378">
        <f>SUM(C63:C65)</f>
        <v>0</v>
      </c>
      <c r="D62" s="378">
        <f>SUM(D63:D65)</f>
        <v>0</v>
      </c>
      <c r="E62" s="361">
        <f>SUM(E63:E65)</f>
        <v>0</v>
      </c>
    </row>
    <row r="63" spans="1:5" s="388" customFormat="1" ht="12.75">
      <c r="A63" s="340" t="s">
        <v>366</v>
      </c>
      <c r="B63" s="582" t="s">
        <v>367</v>
      </c>
      <c r="C63" s="382"/>
      <c r="D63" s="382"/>
      <c r="E63" s="365"/>
    </row>
    <row r="64" spans="1:5" s="388" customFormat="1" ht="12.75">
      <c r="A64" s="340" t="s">
        <v>368</v>
      </c>
      <c r="B64" s="583" t="s">
        <v>369</v>
      </c>
      <c r="C64" s="382"/>
      <c r="D64" s="382"/>
      <c r="E64" s="365"/>
    </row>
    <row r="65" spans="1:5" s="388" customFormat="1" ht="13.5" thickBot="1">
      <c r="A65" s="340" t="s">
        <v>370</v>
      </c>
      <c r="B65" s="326" t="s">
        <v>415</v>
      </c>
      <c r="C65" s="382"/>
      <c r="D65" s="382"/>
      <c r="E65" s="365"/>
    </row>
    <row r="66" spans="1:5" s="388" customFormat="1" ht="13.5" thickBot="1">
      <c r="A66" s="400" t="s">
        <v>372</v>
      </c>
      <c r="B66" s="585" t="s">
        <v>373</v>
      </c>
      <c r="C66" s="378">
        <f>SUM(C67:C70)</f>
        <v>0</v>
      </c>
      <c r="D66" s="378">
        <f>SUM(D67:D70)</f>
        <v>0</v>
      </c>
      <c r="E66" s="361">
        <f>SUM(E67:E70)</f>
        <v>0</v>
      </c>
    </row>
    <row r="67" spans="1:5" s="388" customFormat="1" ht="12.75">
      <c r="A67" s="340" t="s">
        <v>106</v>
      </c>
      <c r="B67" s="582" t="s">
        <v>374</v>
      </c>
      <c r="C67" s="382"/>
      <c r="D67" s="382"/>
      <c r="E67" s="365"/>
    </row>
    <row r="68" spans="1:5" s="388" customFormat="1" ht="12.75">
      <c r="A68" s="340" t="s">
        <v>107</v>
      </c>
      <c r="B68" s="583" t="s">
        <v>375</v>
      </c>
      <c r="C68" s="382"/>
      <c r="D68" s="382"/>
      <c r="E68" s="365"/>
    </row>
    <row r="69" spans="1:5" s="388" customFormat="1" ht="12" customHeight="1">
      <c r="A69" s="340" t="s">
        <v>376</v>
      </c>
      <c r="B69" s="583" t="s">
        <v>377</v>
      </c>
      <c r="C69" s="382"/>
      <c r="D69" s="382"/>
      <c r="E69" s="365"/>
    </row>
    <row r="70" spans="1:5" s="388" customFormat="1" ht="12" customHeight="1" thickBot="1">
      <c r="A70" s="340" t="s">
        <v>378</v>
      </c>
      <c r="B70" s="584" t="s">
        <v>379</v>
      </c>
      <c r="C70" s="382"/>
      <c r="D70" s="382"/>
      <c r="E70" s="365"/>
    </row>
    <row r="71" spans="1:5" s="388" customFormat="1" ht="12" customHeight="1" thickBot="1">
      <c r="A71" s="400" t="s">
        <v>380</v>
      </c>
      <c r="B71" s="585" t="s">
        <v>381</v>
      </c>
      <c r="C71" s="378">
        <f>SUM(C72:C73)</f>
        <v>0</v>
      </c>
      <c r="D71" s="378">
        <f>SUM(D72:D73)</f>
        <v>0</v>
      </c>
      <c r="E71" s="361">
        <f>SUM(E72:E73)</f>
        <v>0</v>
      </c>
    </row>
    <row r="72" spans="1:5" s="388" customFormat="1" ht="12" customHeight="1">
      <c r="A72" s="340" t="s">
        <v>382</v>
      </c>
      <c r="B72" s="582" t="s">
        <v>383</v>
      </c>
      <c r="C72" s="382"/>
      <c r="D72" s="382"/>
      <c r="E72" s="365"/>
    </row>
    <row r="73" spans="1:5" s="388" customFormat="1" ht="12" customHeight="1" thickBot="1">
      <c r="A73" s="340" t="s">
        <v>384</v>
      </c>
      <c r="B73" s="584" t="s">
        <v>385</v>
      </c>
      <c r="C73" s="382"/>
      <c r="D73" s="382"/>
      <c r="E73" s="365"/>
    </row>
    <row r="74" spans="1:5" s="388" customFormat="1" ht="12" customHeight="1" thickBot="1">
      <c r="A74" s="400" t="s">
        <v>386</v>
      </c>
      <c r="B74" s="585" t="s">
        <v>387</v>
      </c>
      <c r="C74" s="378">
        <f>SUM(C75:C77)</f>
        <v>0</v>
      </c>
      <c r="D74" s="378">
        <f>SUM(D75:D77)</f>
        <v>0</v>
      </c>
      <c r="E74" s="361">
        <f>SUM(E75:E77)</f>
        <v>0</v>
      </c>
    </row>
    <row r="75" spans="1:5" s="388" customFormat="1" ht="12" customHeight="1">
      <c r="A75" s="340" t="s">
        <v>388</v>
      </c>
      <c r="B75" s="582" t="s">
        <v>389</v>
      </c>
      <c r="C75" s="382"/>
      <c r="D75" s="382"/>
      <c r="E75" s="365"/>
    </row>
    <row r="76" spans="1:5" s="388" customFormat="1" ht="12" customHeight="1">
      <c r="A76" s="340" t="s">
        <v>390</v>
      </c>
      <c r="B76" s="583" t="s">
        <v>391</v>
      </c>
      <c r="C76" s="382"/>
      <c r="D76" s="382"/>
      <c r="E76" s="365"/>
    </row>
    <row r="77" spans="1:5" s="388" customFormat="1" ht="12" customHeight="1" thickBot="1">
      <c r="A77" s="340" t="s">
        <v>392</v>
      </c>
      <c r="B77" s="584" t="s">
        <v>393</v>
      </c>
      <c r="C77" s="382"/>
      <c r="D77" s="382"/>
      <c r="E77" s="365"/>
    </row>
    <row r="78" spans="1:5" s="388" customFormat="1" ht="12" customHeight="1" thickBot="1">
      <c r="A78" s="400" t="s">
        <v>394</v>
      </c>
      <c r="B78" s="585" t="s">
        <v>395</v>
      </c>
      <c r="C78" s="378">
        <f>SUM(C79:C82)</f>
        <v>0</v>
      </c>
      <c r="D78" s="378">
        <f>SUM(D79:D82)</f>
        <v>0</v>
      </c>
      <c r="E78" s="361">
        <f>SUM(E79:E82)</f>
        <v>0</v>
      </c>
    </row>
    <row r="79" spans="1:5" s="388" customFormat="1" ht="12" customHeight="1">
      <c r="A79" s="569" t="s">
        <v>396</v>
      </c>
      <c r="B79" s="582" t="s">
        <v>397</v>
      </c>
      <c r="C79" s="382"/>
      <c r="D79" s="382"/>
      <c r="E79" s="365"/>
    </row>
    <row r="80" spans="1:5" s="388" customFormat="1" ht="12" customHeight="1">
      <c r="A80" s="570" t="s">
        <v>398</v>
      </c>
      <c r="B80" s="583" t="s">
        <v>399</v>
      </c>
      <c r="C80" s="382"/>
      <c r="D80" s="382"/>
      <c r="E80" s="365"/>
    </row>
    <row r="81" spans="1:5" s="388" customFormat="1" ht="12" customHeight="1">
      <c r="A81" s="570" t="s">
        <v>400</v>
      </c>
      <c r="B81" s="583" t="s">
        <v>401</v>
      </c>
      <c r="C81" s="382"/>
      <c r="D81" s="382"/>
      <c r="E81" s="365"/>
    </row>
    <row r="82" spans="1:5" s="388" customFormat="1" ht="12" customHeight="1" thickBot="1">
      <c r="A82" s="401" t="s">
        <v>402</v>
      </c>
      <c r="B82" s="584" t="s">
        <v>403</v>
      </c>
      <c r="C82" s="382"/>
      <c r="D82" s="382"/>
      <c r="E82" s="365"/>
    </row>
    <row r="83" spans="1:5" s="388" customFormat="1" ht="12" customHeight="1" thickBot="1">
      <c r="A83" s="400" t="s">
        <v>404</v>
      </c>
      <c r="B83" s="585" t="s">
        <v>405</v>
      </c>
      <c r="C83" s="403"/>
      <c r="D83" s="403"/>
      <c r="E83" s="404"/>
    </row>
    <row r="84" spans="1:5" s="388" customFormat="1" ht="13.5" customHeight="1" thickBot="1">
      <c r="A84" s="400" t="s">
        <v>406</v>
      </c>
      <c r="B84" s="324" t="s">
        <v>407</v>
      </c>
      <c r="C84" s="384">
        <f>+C62+C66+C71+C74+C78+C83</f>
        <v>0</v>
      </c>
      <c r="D84" s="384">
        <f>+D62+D66+D71+D74+D78+D83</f>
        <v>0</v>
      </c>
      <c r="E84" s="397">
        <f>+E62+E66+E71+E74+E78+E83</f>
        <v>0</v>
      </c>
    </row>
    <row r="85" spans="1:5" s="388" customFormat="1" ht="12" customHeight="1" thickBot="1">
      <c r="A85" s="402" t="s">
        <v>408</v>
      </c>
      <c r="B85" s="327" t="s">
        <v>409</v>
      </c>
      <c r="C85" s="384">
        <f>+C61+C84</f>
        <v>0</v>
      </c>
      <c r="D85" s="384">
        <f>+D61+D84</f>
        <v>0</v>
      </c>
      <c r="E85" s="397">
        <f>+E61+E84</f>
        <v>0</v>
      </c>
    </row>
    <row r="86" spans="1:5" ht="16.5" customHeight="1">
      <c r="A86" s="719" t="s">
        <v>36</v>
      </c>
      <c r="B86" s="719"/>
      <c r="C86" s="719"/>
      <c r="D86" s="719"/>
      <c r="E86" s="719"/>
    </row>
    <row r="87" spans="1:5" s="394" customFormat="1" ht="16.5" customHeight="1" thickBot="1">
      <c r="A87" s="47" t="s">
        <v>110</v>
      </c>
      <c r="B87" s="47"/>
      <c r="C87" s="47"/>
      <c r="D87" s="355"/>
      <c r="E87" s="355">
        <f>E2</f>
        <v>0</v>
      </c>
    </row>
    <row r="88" spans="1:5" s="394" customFormat="1" ht="16.5" customHeight="1">
      <c r="A88" s="720" t="s">
        <v>57</v>
      </c>
      <c r="B88" s="722" t="s">
        <v>173</v>
      </c>
      <c r="C88" s="777" t="str">
        <f>+C3</f>
        <v>2018. évi tény</v>
      </c>
      <c r="D88" s="724" t="str">
        <f>+D3</f>
        <v>2019. évi</v>
      </c>
      <c r="E88" s="725"/>
    </row>
    <row r="89" spans="1:5" ht="37.5" customHeight="1" thickBot="1">
      <c r="A89" s="721"/>
      <c r="B89" s="723"/>
      <c r="C89" s="778"/>
      <c r="D89" s="48" t="s">
        <v>179</v>
      </c>
      <c r="E89" s="49" t="s">
        <v>180</v>
      </c>
    </row>
    <row r="90" spans="1:5" s="387" customFormat="1" ht="12" customHeight="1" thickBot="1">
      <c r="A90" s="351" t="s">
        <v>410</v>
      </c>
      <c r="B90" s="352" t="s">
        <v>411</v>
      </c>
      <c r="C90" s="352" t="s">
        <v>412</v>
      </c>
      <c r="D90" s="352" t="s">
        <v>414</v>
      </c>
      <c r="E90" s="398" t="s">
        <v>491</v>
      </c>
    </row>
    <row r="91" spans="1:5" ht="12" customHeight="1" thickBot="1">
      <c r="A91" s="348" t="s">
        <v>7</v>
      </c>
      <c r="B91" s="350" t="s">
        <v>573</v>
      </c>
      <c r="C91" s="377">
        <f>SUM(C92:C96)</f>
        <v>0</v>
      </c>
      <c r="D91" s="377">
        <f>+D92+D93+D94+D95+D96</f>
        <v>0</v>
      </c>
      <c r="E91" s="332">
        <f>+E92+E93+E94+E95+E96</f>
        <v>0</v>
      </c>
    </row>
    <row r="92" spans="1:5" ht="12" customHeight="1">
      <c r="A92" s="343" t="s">
        <v>69</v>
      </c>
      <c r="B92" s="586" t="s">
        <v>37</v>
      </c>
      <c r="C92" s="78"/>
      <c r="D92" s="78"/>
      <c r="E92" s="331"/>
    </row>
    <row r="93" spans="1:5" ht="12" customHeight="1">
      <c r="A93" s="340" t="s">
        <v>70</v>
      </c>
      <c r="B93" s="587" t="s">
        <v>131</v>
      </c>
      <c r="C93" s="379"/>
      <c r="D93" s="379"/>
      <c r="E93" s="362"/>
    </row>
    <row r="94" spans="1:5" ht="12" customHeight="1">
      <c r="A94" s="340" t="s">
        <v>71</v>
      </c>
      <c r="B94" s="587" t="s">
        <v>98</v>
      </c>
      <c r="C94" s="381"/>
      <c r="D94" s="381"/>
      <c r="E94" s="364"/>
    </row>
    <row r="95" spans="1:5" ht="12" customHeight="1">
      <c r="A95" s="340" t="s">
        <v>72</v>
      </c>
      <c r="B95" s="588" t="s">
        <v>132</v>
      </c>
      <c r="C95" s="381"/>
      <c r="D95" s="381"/>
      <c r="E95" s="364"/>
    </row>
    <row r="96" spans="1:5" ht="12" customHeight="1">
      <c r="A96" s="340" t="s">
        <v>81</v>
      </c>
      <c r="B96" s="589" t="s">
        <v>133</v>
      </c>
      <c r="C96" s="381"/>
      <c r="D96" s="381"/>
      <c r="E96" s="364"/>
    </row>
    <row r="97" spans="1:5" ht="12" customHeight="1">
      <c r="A97" s="340" t="s">
        <v>73</v>
      </c>
      <c r="B97" s="587" t="s">
        <v>417</v>
      </c>
      <c r="C97" s="381"/>
      <c r="D97" s="381"/>
      <c r="E97" s="364"/>
    </row>
    <row r="98" spans="1:5" ht="12" customHeight="1">
      <c r="A98" s="340" t="s">
        <v>74</v>
      </c>
      <c r="B98" s="590" t="s">
        <v>418</v>
      </c>
      <c r="C98" s="381"/>
      <c r="D98" s="381"/>
      <c r="E98" s="364"/>
    </row>
    <row r="99" spans="1:5" ht="12" customHeight="1">
      <c r="A99" s="340" t="s">
        <v>82</v>
      </c>
      <c r="B99" s="587" t="s">
        <v>419</v>
      </c>
      <c r="C99" s="381"/>
      <c r="D99" s="381"/>
      <c r="E99" s="364"/>
    </row>
    <row r="100" spans="1:5" ht="12" customHeight="1">
      <c r="A100" s="340" t="s">
        <v>83</v>
      </c>
      <c r="B100" s="587" t="s">
        <v>420</v>
      </c>
      <c r="C100" s="381"/>
      <c r="D100" s="381"/>
      <c r="E100" s="364"/>
    </row>
    <row r="101" spans="1:5" ht="12" customHeight="1">
      <c r="A101" s="340" t="s">
        <v>84</v>
      </c>
      <c r="B101" s="590" t="s">
        <v>421</v>
      </c>
      <c r="C101" s="381"/>
      <c r="D101" s="381"/>
      <c r="E101" s="364"/>
    </row>
    <row r="102" spans="1:5" ht="12" customHeight="1">
      <c r="A102" s="340" t="s">
        <v>85</v>
      </c>
      <c r="B102" s="590" t="s">
        <v>422</v>
      </c>
      <c r="C102" s="381"/>
      <c r="D102" s="381"/>
      <c r="E102" s="364"/>
    </row>
    <row r="103" spans="1:5" ht="12" customHeight="1">
      <c r="A103" s="340" t="s">
        <v>87</v>
      </c>
      <c r="B103" s="587" t="s">
        <v>423</v>
      </c>
      <c r="C103" s="381"/>
      <c r="D103" s="381"/>
      <c r="E103" s="364"/>
    </row>
    <row r="104" spans="1:5" ht="12" customHeight="1">
      <c r="A104" s="339" t="s">
        <v>134</v>
      </c>
      <c r="B104" s="591" t="s">
        <v>424</v>
      </c>
      <c r="C104" s="381"/>
      <c r="D104" s="381"/>
      <c r="E104" s="364"/>
    </row>
    <row r="105" spans="1:5" ht="12" customHeight="1">
      <c r="A105" s="340" t="s">
        <v>425</v>
      </c>
      <c r="B105" s="591" t="s">
        <v>426</v>
      </c>
      <c r="C105" s="381"/>
      <c r="D105" s="381"/>
      <c r="E105" s="364"/>
    </row>
    <row r="106" spans="1:5" ht="12" customHeight="1" thickBot="1">
      <c r="A106" s="344" t="s">
        <v>427</v>
      </c>
      <c r="B106" s="592" t="s">
        <v>428</v>
      </c>
      <c r="C106" s="79"/>
      <c r="D106" s="79"/>
      <c r="E106" s="325"/>
    </row>
    <row r="107" spans="1:5" ht="12" customHeight="1" thickBot="1">
      <c r="A107" s="346" t="s">
        <v>8</v>
      </c>
      <c r="B107" s="349" t="s">
        <v>574</v>
      </c>
      <c r="C107" s="378">
        <f>+C108+C110+C112</f>
        <v>0</v>
      </c>
      <c r="D107" s="378">
        <f>+D108+D110+D112</f>
        <v>0</v>
      </c>
      <c r="E107" s="361">
        <f>+E108+E110+E112</f>
        <v>0</v>
      </c>
    </row>
    <row r="108" spans="1:5" ht="12" customHeight="1">
      <c r="A108" s="341" t="s">
        <v>75</v>
      </c>
      <c r="B108" s="587" t="s">
        <v>155</v>
      </c>
      <c r="C108" s="380"/>
      <c r="D108" s="380"/>
      <c r="E108" s="363"/>
    </row>
    <row r="109" spans="1:5" ht="12" customHeight="1">
      <c r="A109" s="341" t="s">
        <v>76</v>
      </c>
      <c r="B109" s="591" t="s">
        <v>430</v>
      </c>
      <c r="C109" s="380"/>
      <c r="D109" s="380"/>
      <c r="E109" s="363"/>
    </row>
    <row r="110" spans="1:5" ht="15.75">
      <c r="A110" s="341" t="s">
        <v>77</v>
      </c>
      <c r="B110" s="591" t="s">
        <v>135</v>
      </c>
      <c r="C110" s="379"/>
      <c r="D110" s="379"/>
      <c r="E110" s="362"/>
    </row>
    <row r="111" spans="1:5" ht="12" customHeight="1">
      <c r="A111" s="341" t="s">
        <v>78</v>
      </c>
      <c r="B111" s="591" t="s">
        <v>431</v>
      </c>
      <c r="C111" s="379"/>
      <c r="D111" s="379"/>
      <c r="E111" s="362"/>
    </row>
    <row r="112" spans="1:5" ht="12" customHeight="1">
      <c r="A112" s="341" t="s">
        <v>79</v>
      </c>
      <c r="B112" s="584" t="s">
        <v>157</v>
      </c>
      <c r="C112" s="379"/>
      <c r="D112" s="379"/>
      <c r="E112" s="362"/>
    </row>
    <row r="113" spans="1:5" ht="15.75">
      <c r="A113" s="341" t="s">
        <v>86</v>
      </c>
      <c r="B113" s="583" t="s">
        <v>432</v>
      </c>
      <c r="C113" s="379"/>
      <c r="D113" s="379"/>
      <c r="E113" s="362"/>
    </row>
    <row r="114" spans="1:5" ht="15.75">
      <c r="A114" s="341" t="s">
        <v>88</v>
      </c>
      <c r="B114" s="593" t="s">
        <v>433</v>
      </c>
      <c r="C114" s="379"/>
      <c r="D114" s="379"/>
      <c r="E114" s="362"/>
    </row>
    <row r="115" spans="1:5" ht="12" customHeight="1">
      <c r="A115" s="341" t="s">
        <v>136</v>
      </c>
      <c r="B115" s="587" t="s">
        <v>420</v>
      </c>
      <c r="C115" s="379"/>
      <c r="D115" s="379"/>
      <c r="E115" s="362"/>
    </row>
    <row r="116" spans="1:5" ht="12" customHeight="1">
      <c r="A116" s="341" t="s">
        <v>137</v>
      </c>
      <c r="B116" s="587" t="s">
        <v>434</v>
      </c>
      <c r="C116" s="379"/>
      <c r="D116" s="379"/>
      <c r="E116" s="362"/>
    </row>
    <row r="117" spans="1:5" ht="12" customHeight="1">
      <c r="A117" s="341" t="s">
        <v>138</v>
      </c>
      <c r="B117" s="587" t="s">
        <v>435</v>
      </c>
      <c r="C117" s="379"/>
      <c r="D117" s="379"/>
      <c r="E117" s="362"/>
    </row>
    <row r="118" spans="1:5" s="405" customFormat="1" ht="12" customHeight="1">
      <c r="A118" s="341" t="s">
        <v>436</v>
      </c>
      <c r="B118" s="587" t="s">
        <v>423</v>
      </c>
      <c r="C118" s="379"/>
      <c r="D118" s="379"/>
      <c r="E118" s="362"/>
    </row>
    <row r="119" spans="1:5" ht="12" customHeight="1">
      <c r="A119" s="341" t="s">
        <v>437</v>
      </c>
      <c r="B119" s="587" t="s">
        <v>438</v>
      </c>
      <c r="C119" s="379"/>
      <c r="D119" s="379"/>
      <c r="E119" s="362"/>
    </row>
    <row r="120" spans="1:5" ht="12" customHeight="1" thickBot="1">
      <c r="A120" s="339" t="s">
        <v>439</v>
      </c>
      <c r="B120" s="587" t="s">
        <v>440</v>
      </c>
      <c r="C120" s="381"/>
      <c r="D120" s="381"/>
      <c r="E120" s="364"/>
    </row>
    <row r="121" spans="1:5" ht="12" customHeight="1" thickBot="1">
      <c r="A121" s="346" t="s">
        <v>9</v>
      </c>
      <c r="B121" s="563" t="s">
        <v>441</v>
      </c>
      <c r="C121" s="378">
        <f>+C122+C123</f>
        <v>0</v>
      </c>
      <c r="D121" s="378">
        <f>+D122+D123</f>
        <v>0</v>
      </c>
      <c r="E121" s="361">
        <f>+E122+E123</f>
        <v>0</v>
      </c>
    </row>
    <row r="122" spans="1:5" ht="12" customHeight="1">
      <c r="A122" s="341" t="s">
        <v>58</v>
      </c>
      <c r="B122" s="593" t="s">
        <v>45</v>
      </c>
      <c r="C122" s="380"/>
      <c r="D122" s="380"/>
      <c r="E122" s="363"/>
    </row>
    <row r="123" spans="1:5" ht="12" customHeight="1" thickBot="1">
      <c r="A123" s="342" t="s">
        <v>59</v>
      </c>
      <c r="B123" s="591" t="s">
        <v>46</v>
      </c>
      <c r="C123" s="381"/>
      <c r="D123" s="381"/>
      <c r="E123" s="364"/>
    </row>
    <row r="124" spans="1:5" ht="12" customHeight="1" thickBot="1">
      <c r="A124" s="346" t="s">
        <v>10</v>
      </c>
      <c r="B124" s="563" t="s">
        <v>442</v>
      </c>
      <c r="C124" s="378">
        <f>+C91+C107+C121</f>
        <v>0</v>
      </c>
      <c r="D124" s="378">
        <f>+D91+D107+D121</f>
        <v>0</v>
      </c>
      <c r="E124" s="361">
        <f>+E91+E107+E121</f>
        <v>0</v>
      </c>
    </row>
    <row r="125" spans="1:5" ht="12" customHeight="1" thickBot="1">
      <c r="A125" s="346" t="s">
        <v>11</v>
      </c>
      <c r="B125" s="563" t="s">
        <v>443</v>
      </c>
      <c r="C125" s="378">
        <f>+C126+C127+C128</f>
        <v>0</v>
      </c>
      <c r="D125" s="378">
        <f>+D126+D127+D128</f>
        <v>0</v>
      </c>
      <c r="E125" s="361">
        <f>+E126+E127+E128</f>
        <v>0</v>
      </c>
    </row>
    <row r="126" spans="1:5" ht="12" customHeight="1">
      <c r="A126" s="341" t="s">
        <v>62</v>
      </c>
      <c r="B126" s="593" t="s">
        <v>575</v>
      </c>
      <c r="C126" s="379"/>
      <c r="D126" s="379"/>
      <c r="E126" s="362"/>
    </row>
    <row r="127" spans="1:5" ht="12" customHeight="1">
      <c r="A127" s="341" t="s">
        <v>63</v>
      </c>
      <c r="B127" s="593" t="s">
        <v>576</v>
      </c>
      <c r="C127" s="379"/>
      <c r="D127" s="379"/>
      <c r="E127" s="362"/>
    </row>
    <row r="128" spans="1:5" ht="12" customHeight="1" thickBot="1">
      <c r="A128" s="339" t="s">
        <v>64</v>
      </c>
      <c r="B128" s="594" t="s">
        <v>577</v>
      </c>
      <c r="C128" s="379"/>
      <c r="D128" s="379"/>
      <c r="E128" s="362"/>
    </row>
    <row r="129" spans="1:5" ht="12" customHeight="1" thickBot="1">
      <c r="A129" s="346" t="s">
        <v>12</v>
      </c>
      <c r="B129" s="563" t="s">
        <v>447</v>
      </c>
      <c r="C129" s="378">
        <f>+C130+C131+C132+C133</f>
        <v>0</v>
      </c>
      <c r="D129" s="378">
        <f>+D130+D131+D132+D133</f>
        <v>0</v>
      </c>
      <c r="E129" s="361">
        <f>+E130+E131+E132+E133</f>
        <v>0</v>
      </c>
    </row>
    <row r="130" spans="1:5" ht="12" customHeight="1">
      <c r="A130" s="341" t="s">
        <v>65</v>
      </c>
      <c r="B130" s="593" t="s">
        <v>578</v>
      </c>
      <c r="C130" s="379"/>
      <c r="D130" s="379"/>
      <c r="E130" s="362"/>
    </row>
    <row r="131" spans="1:5" ht="12" customHeight="1">
      <c r="A131" s="341" t="s">
        <v>66</v>
      </c>
      <c r="B131" s="593" t="s">
        <v>579</v>
      </c>
      <c r="C131" s="379"/>
      <c r="D131" s="379"/>
      <c r="E131" s="362"/>
    </row>
    <row r="132" spans="1:5" ht="12" customHeight="1">
      <c r="A132" s="341" t="s">
        <v>344</v>
      </c>
      <c r="B132" s="593" t="s">
        <v>580</v>
      </c>
      <c r="C132" s="379"/>
      <c r="D132" s="379"/>
      <c r="E132" s="362"/>
    </row>
    <row r="133" spans="1:5" ht="12" customHeight="1" thickBot="1">
      <c r="A133" s="339" t="s">
        <v>346</v>
      </c>
      <c r="B133" s="594" t="s">
        <v>581</v>
      </c>
      <c r="C133" s="379"/>
      <c r="D133" s="379"/>
      <c r="E133" s="362"/>
    </row>
    <row r="134" spans="1:5" ht="12" customHeight="1" thickBot="1">
      <c r="A134" s="346" t="s">
        <v>13</v>
      </c>
      <c r="B134" s="563" t="s">
        <v>452</v>
      </c>
      <c r="C134" s="384">
        <f>+C135+C136+C137+C138</f>
        <v>0</v>
      </c>
      <c r="D134" s="384">
        <f>+D135+D136+D137+D138</f>
        <v>0</v>
      </c>
      <c r="E134" s="397">
        <f>+E135+E136+E137+E138</f>
        <v>0</v>
      </c>
    </row>
    <row r="135" spans="1:5" ht="12" customHeight="1">
      <c r="A135" s="341" t="s">
        <v>67</v>
      </c>
      <c r="B135" s="593" t="s">
        <v>453</v>
      </c>
      <c r="C135" s="379"/>
      <c r="D135" s="379"/>
      <c r="E135" s="362"/>
    </row>
    <row r="136" spans="1:5" ht="12" customHeight="1">
      <c r="A136" s="341" t="s">
        <v>68</v>
      </c>
      <c r="B136" s="593" t="s">
        <v>454</v>
      </c>
      <c r="C136" s="379"/>
      <c r="D136" s="379"/>
      <c r="E136" s="362"/>
    </row>
    <row r="137" spans="1:5" ht="12" customHeight="1">
      <c r="A137" s="341" t="s">
        <v>353</v>
      </c>
      <c r="B137" s="593" t="s">
        <v>582</v>
      </c>
      <c r="C137" s="379"/>
      <c r="D137" s="379"/>
      <c r="E137" s="362"/>
    </row>
    <row r="138" spans="1:5" ht="12" customHeight="1" thickBot="1">
      <c r="A138" s="339" t="s">
        <v>355</v>
      </c>
      <c r="B138" s="594" t="s">
        <v>498</v>
      </c>
      <c r="C138" s="379"/>
      <c r="D138" s="379"/>
      <c r="E138" s="362"/>
    </row>
    <row r="139" spans="1:9" ht="15" customHeight="1" thickBot="1">
      <c r="A139" s="346" t="s">
        <v>14</v>
      </c>
      <c r="B139" s="563" t="s">
        <v>548</v>
      </c>
      <c r="C139" s="80">
        <f>+C140+C141+C142+C143</f>
        <v>0</v>
      </c>
      <c r="D139" s="80">
        <f>+D140+D141+D142+D143</f>
        <v>0</v>
      </c>
      <c r="E139" s="330">
        <f>+E140+E141+E142+E143</f>
        <v>0</v>
      </c>
      <c r="F139" s="395"/>
      <c r="G139" s="396"/>
      <c r="H139" s="396"/>
      <c r="I139" s="396"/>
    </row>
    <row r="140" spans="1:5" s="388" customFormat="1" ht="12.75" customHeight="1">
      <c r="A140" s="341" t="s">
        <v>129</v>
      </c>
      <c r="B140" s="593" t="s">
        <v>458</v>
      </c>
      <c r="C140" s="379"/>
      <c r="D140" s="379"/>
      <c r="E140" s="362"/>
    </row>
    <row r="141" spans="1:5" ht="13.5" customHeight="1">
      <c r="A141" s="341" t="s">
        <v>130</v>
      </c>
      <c r="B141" s="593" t="s">
        <v>459</v>
      </c>
      <c r="C141" s="379"/>
      <c r="D141" s="379"/>
      <c r="E141" s="362"/>
    </row>
    <row r="142" spans="1:5" ht="13.5" customHeight="1">
      <c r="A142" s="341" t="s">
        <v>156</v>
      </c>
      <c r="B142" s="593" t="s">
        <v>460</v>
      </c>
      <c r="C142" s="379"/>
      <c r="D142" s="379"/>
      <c r="E142" s="362"/>
    </row>
    <row r="143" spans="1:5" ht="13.5" customHeight="1" thickBot="1">
      <c r="A143" s="341" t="s">
        <v>361</v>
      </c>
      <c r="B143" s="593" t="s">
        <v>461</v>
      </c>
      <c r="C143" s="379"/>
      <c r="D143" s="379"/>
      <c r="E143" s="362"/>
    </row>
    <row r="144" spans="1:5" ht="12.75" customHeight="1" thickBot="1">
      <c r="A144" s="346" t="s">
        <v>15</v>
      </c>
      <c r="B144" s="563" t="s">
        <v>462</v>
      </c>
      <c r="C144" s="328">
        <f>+C125+C129+C134+C139</f>
        <v>0</v>
      </c>
      <c r="D144" s="328">
        <f>+D125+D129+D134+D139</f>
        <v>0</v>
      </c>
      <c r="E144" s="329">
        <f>+E125+E129+E134+E139</f>
        <v>0</v>
      </c>
    </row>
    <row r="145" spans="1:5" ht="13.5" customHeight="1" thickBot="1">
      <c r="A145" s="371" t="s">
        <v>16</v>
      </c>
      <c r="B145" s="595" t="s">
        <v>463</v>
      </c>
      <c r="C145" s="328">
        <f>+C124+C144</f>
        <v>0</v>
      </c>
      <c r="D145" s="328">
        <f>+D124+D144</f>
        <v>0</v>
      </c>
      <c r="E145" s="329">
        <f>+E124+E144</f>
        <v>0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 sheet="1"/>
  <mergeCells count="10">
    <mergeCell ref="A1:E1"/>
    <mergeCell ref="A3:A4"/>
    <mergeCell ref="B3:B4"/>
    <mergeCell ref="D3:E3"/>
    <mergeCell ref="A86:E86"/>
    <mergeCell ref="A88:A89"/>
    <mergeCell ref="B88:B89"/>
    <mergeCell ref="D88:E88"/>
    <mergeCell ref="C3:C4"/>
    <mergeCell ref="C88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Borsodszirák Község Önkormányzat
2017. ÉVI ZÁRSZÁMADÁSÁNAK PÉNZÜGYI MÉRLEGE&amp;10
&amp;R&amp;"Times New Roman CE,Félkövér dőlt"&amp;11 1. tájékoztató tábla a 4/2020. (VI.30.) önkormányzati rendelethez</oddHeader>
  </headerFooter>
  <rowBreaks count="1" manualBreakCount="1">
    <brk id="85" max="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</sheetPr>
  <dimension ref="A1:K18"/>
  <sheetViews>
    <sheetView view="pageLayout" zoomScaleNormal="130" workbookViewId="0" topLeftCell="A1">
      <selection activeCell="K19" sqref="K19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4" width="12.875" style="4" customWidth="1"/>
    <col min="5" max="5" width="9.50390625" style="4" bestFit="1" customWidth="1"/>
    <col min="6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33.75" customHeight="1" thickBot="1">
      <c r="A1" s="96"/>
      <c r="B1" s="97"/>
      <c r="C1" s="97"/>
      <c r="D1" s="97"/>
      <c r="E1" s="97"/>
      <c r="F1" s="97"/>
      <c r="G1" s="97"/>
      <c r="H1" s="97"/>
      <c r="I1" s="97"/>
      <c r="J1" s="98"/>
      <c r="K1" s="734" t="str">
        <f>+CONCATENATE("2. tájékoztató tábla a 4/",LEFT(ÖSSZEFÜGGÉSEK!A4,4)+1,". (IV.30.) önkormányzati rendelethez")</f>
        <v>2. tájékoztató tábla a 4/2020. (IV.30.) önkormányzati rendelethez</v>
      </c>
    </row>
    <row r="2" spans="1:11" s="102" customFormat="1" ht="26.25" customHeight="1">
      <c r="A2" s="779" t="s">
        <v>57</v>
      </c>
      <c r="B2" s="781" t="s">
        <v>184</v>
      </c>
      <c r="C2" s="781" t="s">
        <v>185</v>
      </c>
      <c r="D2" s="781" t="s">
        <v>186</v>
      </c>
      <c r="E2" s="781" t="str">
        <f>+CONCATENATE(LEFT(ÖSSZEFÜGGÉSEK!A4,4),". évi teljesítés")</f>
        <v>2019. évi teljesítés</v>
      </c>
      <c r="F2" s="99" t="s">
        <v>187</v>
      </c>
      <c r="G2" s="100"/>
      <c r="H2" s="100"/>
      <c r="I2" s="101"/>
      <c r="J2" s="784" t="s">
        <v>188</v>
      </c>
      <c r="K2" s="734"/>
    </row>
    <row r="3" spans="1:11" s="106" customFormat="1" ht="32.25" customHeight="1" thickBot="1">
      <c r="A3" s="780"/>
      <c r="B3" s="782"/>
      <c r="C3" s="782"/>
      <c r="D3" s="783"/>
      <c r="E3" s="783"/>
      <c r="F3" s="103" t="str">
        <f>+CONCATENATE(LEFT(ÖSSZEFÜGGÉSEK!A4,4)+1,".")</f>
        <v>2020.</v>
      </c>
      <c r="G3" s="104" t="str">
        <f>+CONCATENATE(LEFT(ÖSSZEFÜGGÉSEK!A4,4)+2,".")</f>
        <v>2021.</v>
      </c>
      <c r="H3" s="104" t="str">
        <f>+CONCATENATE(LEFT(ÖSSZEFÜGGÉSEK!A4,4)+3,".")</f>
        <v>2022.</v>
      </c>
      <c r="I3" s="105" t="str">
        <f>+CONCATENATE(LEFT(ÖSSZEFÜGGÉSEK!A4,4)+3,". után")</f>
        <v>2022. után</v>
      </c>
      <c r="J3" s="785"/>
      <c r="K3" s="734"/>
    </row>
    <row r="4" spans="1:11" s="108" customFormat="1" ht="13.5" customHeight="1" thickBot="1">
      <c r="A4" s="566" t="s">
        <v>410</v>
      </c>
      <c r="B4" s="107" t="s">
        <v>583</v>
      </c>
      <c r="C4" s="567" t="s">
        <v>412</v>
      </c>
      <c r="D4" s="567" t="s">
        <v>413</v>
      </c>
      <c r="E4" s="567" t="s">
        <v>414</v>
      </c>
      <c r="F4" s="567" t="s">
        <v>491</v>
      </c>
      <c r="G4" s="567" t="s">
        <v>492</v>
      </c>
      <c r="H4" s="567" t="s">
        <v>493</v>
      </c>
      <c r="I4" s="567" t="s">
        <v>494</v>
      </c>
      <c r="J4" s="568" t="s">
        <v>687</v>
      </c>
      <c r="K4" s="734"/>
    </row>
    <row r="5" spans="1:11" ht="33.75" customHeight="1">
      <c r="A5" s="109" t="s">
        <v>7</v>
      </c>
      <c r="B5" s="110" t="s">
        <v>189</v>
      </c>
      <c r="C5" s="111"/>
      <c r="D5" s="112">
        <f aca="true" t="shared" si="0" ref="D5:I5">SUM(D6:D7)</f>
        <v>0</v>
      </c>
      <c r="E5" s="112">
        <f t="shared" si="0"/>
        <v>0</v>
      </c>
      <c r="F5" s="112">
        <f t="shared" si="0"/>
        <v>0</v>
      </c>
      <c r="G5" s="112">
        <f t="shared" si="0"/>
        <v>0</v>
      </c>
      <c r="H5" s="112">
        <f t="shared" si="0"/>
        <v>0</v>
      </c>
      <c r="I5" s="113">
        <f t="shared" si="0"/>
        <v>0</v>
      </c>
      <c r="J5" s="114">
        <f aca="true" t="shared" si="1" ref="J5:J17">SUM(F5:I5)</f>
        <v>0</v>
      </c>
      <c r="K5" s="734"/>
    </row>
    <row r="6" spans="1:11" ht="21" customHeight="1">
      <c r="A6" s="115" t="s">
        <v>8</v>
      </c>
      <c r="B6" s="116" t="s">
        <v>190</v>
      </c>
      <c r="C6" s="117"/>
      <c r="D6" s="2"/>
      <c r="E6" s="2"/>
      <c r="F6" s="2"/>
      <c r="G6" s="2"/>
      <c r="H6" s="2"/>
      <c r="I6" s="51"/>
      <c r="J6" s="118">
        <f t="shared" si="1"/>
        <v>0</v>
      </c>
      <c r="K6" s="734"/>
    </row>
    <row r="7" spans="1:11" ht="21" customHeight="1">
      <c r="A7" s="115" t="s">
        <v>9</v>
      </c>
      <c r="B7" s="116" t="s">
        <v>190</v>
      </c>
      <c r="C7" s="117"/>
      <c r="D7" s="2"/>
      <c r="E7" s="2"/>
      <c r="F7" s="2"/>
      <c r="G7" s="2"/>
      <c r="H7" s="2"/>
      <c r="I7" s="51"/>
      <c r="J7" s="118">
        <f t="shared" si="1"/>
        <v>0</v>
      </c>
      <c r="K7" s="734"/>
    </row>
    <row r="8" spans="1:11" ht="36" customHeight="1">
      <c r="A8" s="115" t="s">
        <v>10</v>
      </c>
      <c r="B8" s="119" t="s">
        <v>191</v>
      </c>
      <c r="C8" s="120"/>
      <c r="D8" s="121">
        <f aca="true" t="shared" si="2" ref="D8:I8">SUM(D9:D10)</f>
        <v>0</v>
      </c>
      <c r="E8" s="121">
        <f t="shared" si="2"/>
        <v>0</v>
      </c>
      <c r="F8" s="121">
        <f t="shared" si="2"/>
        <v>0</v>
      </c>
      <c r="G8" s="121">
        <f t="shared" si="2"/>
        <v>0</v>
      </c>
      <c r="H8" s="121">
        <f t="shared" si="2"/>
        <v>0</v>
      </c>
      <c r="I8" s="122">
        <f t="shared" si="2"/>
        <v>0</v>
      </c>
      <c r="J8" s="123">
        <f t="shared" si="1"/>
        <v>0</v>
      </c>
      <c r="K8" s="734"/>
    </row>
    <row r="9" spans="1:11" ht="21" customHeight="1">
      <c r="A9" s="115" t="s">
        <v>11</v>
      </c>
      <c r="B9" s="116" t="s">
        <v>190</v>
      </c>
      <c r="C9" s="117"/>
      <c r="D9" s="2"/>
      <c r="E9" s="2"/>
      <c r="F9" s="2"/>
      <c r="G9" s="2"/>
      <c r="H9" s="2"/>
      <c r="I9" s="51"/>
      <c r="J9" s="118">
        <f t="shared" si="1"/>
        <v>0</v>
      </c>
      <c r="K9" s="734"/>
    </row>
    <row r="10" spans="1:11" ht="18" customHeight="1">
      <c r="A10" s="115" t="s">
        <v>12</v>
      </c>
      <c r="B10" s="116" t="s">
        <v>190</v>
      </c>
      <c r="C10" s="117"/>
      <c r="D10" s="2"/>
      <c r="E10" s="2"/>
      <c r="F10" s="2"/>
      <c r="G10" s="2"/>
      <c r="H10" s="2"/>
      <c r="I10" s="51"/>
      <c r="J10" s="118">
        <f t="shared" si="1"/>
        <v>0</v>
      </c>
      <c r="K10" s="734"/>
    </row>
    <row r="11" spans="1:11" ht="21" customHeight="1">
      <c r="A11" s="115" t="s">
        <v>13</v>
      </c>
      <c r="B11" s="124" t="s">
        <v>192</v>
      </c>
      <c r="C11" s="120"/>
      <c r="D11" s="121">
        <f aca="true" t="shared" si="3" ref="D11:I11">SUM(D12:D12)</f>
        <v>0</v>
      </c>
      <c r="E11" s="121">
        <f t="shared" si="3"/>
        <v>0</v>
      </c>
      <c r="F11" s="121">
        <f t="shared" si="3"/>
        <v>0</v>
      </c>
      <c r="G11" s="121">
        <f t="shared" si="3"/>
        <v>0</v>
      </c>
      <c r="H11" s="121">
        <f t="shared" si="3"/>
        <v>0</v>
      </c>
      <c r="I11" s="122">
        <f t="shared" si="3"/>
        <v>0</v>
      </c>
      <c r="J11" s="123">
        <f t="shared" si="1"/>
        <v>0</v>
      </c>
      <c r="K11" s="734"/>
    </row>
    <row r="12" spans="1:11" ht="21" customHeight="1">
      <c r="A12" s="115" t="s">
        <v>14</v>
      </c>
      <c r="B12" s="116" t="s">
        <v>190</v>
      </c>
      <c r="C12" s="117"/>
      <c r="D12" s="2"/>
      <c r="E12" s="2"/>
      <c r="F12" s="2"/>
      <c r="G12" s="2"/>
      <c r="H12" s="2"/>
      <c r="I12" s="51"/>
      <c r="J12" s="118">
        <f t="shared" si="1"/>
        <v>0</v>
      </c>
      <c r="K12" s="734"/>
    </row>
    <row r="13" spans="1:11" ht="21" customHeight="1">
      <c r="A13" s="115" t="s">
        <v>15</v>
      </c>
      <c r="B13" s="124" t="s">
        <v>193</v>
      </c>
      <c r="C13" s="120"/>
      <c r="D13" s="121">
        <f aca="true" t="shared" si="4" ref="D13:I13">SUM(D14:D14)</f>
        <v>0</v>
      </c>
      <c r="E13" s="121">
        <f t="shared" si="4"/>
        <v>0</v>
      </c>
      <c r="F13" s="121">
        <f t="shared" si="4"/>
        <v>0</v>
      </c>
      <c r="G13" s="121">
        <f t="shared" si="4"/>
        <v>0</v>
      </c>
      <c r="H13" s="121">
        <f t="shared" si="4"/>
        <v>0</v>
      </c>
      <c r="I13" s="122">
        <f t="shared" si="4"/>
        <v>0</v>
      </c>
      <c r="J13" s="123">
        <f t="shared" si="1"/>
        <v>0</v>
      </c>
      <c r="K13" s="734"/>
    </row>
    <row r="14" spans="1:11" ht="21" customHeight="1">
      <c r="A14" s="115" t="s">
        <v>16</v>
      </c>
      <c r="B14" s="116" t="s">
        <v>190</v>
      </c>
      <c r="C14" s="117"/>
      <c r="D14" s="2"/>
      <c r="E14" s="2"/>
      <c r="F14" s="2"/>
      <c r="G14" s="2"/>
      <c r="H14" s="2"/>
      <c r="I14" s="51"/>
      <c r="J14" s="118">
        <f t="shared" si="1"/>
        <v>0</v>
      </c>
      <c r="K14" s="734"/>
    </row>
    <row r="15" spans="1:11" ht="21" customHeight="1">
      <c r="A15" s="125" t="s">
        <v>17</v>
      </c>
      <c r="B15" s="126" t="s">
        <v>194</v>
      </c>
      <c r="C15" s="127"/>
      <c r="D15" s="128">
        <f aca="true" t="shared" si="5" ref="D15:I15">SUM(D16:D17)</f>
        <v>0</v>
      </c>
      <c r="E15" s="128">
        <f t="shared" si="5"/>
        <v>0</v>
      </c>
      <c r="F15" s="128">
        <f t="shared" si="5"/>
        <v>0</v>
      </c>
      <c r="G15" s="128">
        <f t="shared" si="5"/>
        <v>0</v>
      </c>
      <c r="H15" s="128">
        <f t="shared" si="5"/>
        <v>0</v>
      </c>
      <c r="I15" s="129">
        <f t="shared" si="5"/>
        <v>0</v>
      </c>
      <c r="J15" s="123">
        <f t="shared" si="1"/>
        <v>0</v>
      </c>
      <c r="K15" s="734"/>
    </row>
    <row r="16" spans="1:11" ht="21" customHeight="1">
      <c r="A16" s="125" t="s">
        <v>18</v>
      </c>
      <c r="B16" s="116" t="s">
        <v>190</v>
      </c>
      <c r="C16" s="117"/>
      <c r="D16" s="2"/>
      <c r="E16" s="2"/>
      <c r="F16" s="2"/>
      <c r="G16" s="2"/>
      <c r="H16" s="2"/>
      <c r="I16" s="51"/>
      <c r="J16" s="118">
        <f t="shared" si="1"/>
        <v>0</v>
      </c>
      <c r="K16" s="734"/>
    </row>
    <row r="17" spans="1:11" ht="21" customHeight="1" thickBot="1">
      <c r="A17" s="125" t="s">
        <v>19</v>
      </c>
      <c r="B17" s="116" t="s">
        <v>190</v>
      </c>
      <c r="C17" s="130"/>
      <c r="D17" s="131"/>
      <c r="E17" s="131"/>
      <c r="F17" s="131"/>
      <c r="G17" s="131"/>
      <c r="H17" s="131"/>
      <c r="I17" s="132"/>
      <c r="J17" s="118">
        <f t="shared" si="1"/>
        <v>0</v>
      </c>
      <c r="K17" s="734"/>
    </row>
    <row r="18" spans="1:11" ht="21" customHeight="1" thickBot="1">
      <c r="A18" s="133" t="s">
        <v>20</v>
      </c>
      <c r="B18" s="134" t="s">
        <v>195</v>
      </c>
      <c r="C18" s="135"/>
      <c r="D18" s="136">
        <f aca="true" t="shared" si="6" ref="D18:J18">D5+D8+D11+D13+D15</f>
        <v>0</v>
      </c>
      <c r="E18" s="136">
        <f t="shared" si="6"/>
        <v>0</v>
      </c>
      <c r="F18" s="136">
        <f t="shared" si="6"/>
        <v>0</v>
      </c>
      <c r="G18" s="136">
        <f t="shared" si="6"/>
        <v>0</v>
      </c>
      <c r="H18" s="136">
        <f t="shared" si="6"/>
        <v>0</v>
      </c>
      <c r="I18" s="137">
        <f t="shared" si="6"/>
        <v>0</v>
      </c>
      <c r="J18" s="138">
        <f t="shared" si="6"/>
        <v>0</v>
      </c>
      <c r="K18" s="734"/>
    </row>
  </sheetData>
  <sheetProtection/>
  <mergeCells count="7">
    <mergeCell ref="K1:K18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4546875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NEMLEGES
Többéves kihatással járó döntésekből származó kötelezettségek
célok szerint, évenkénti bontásban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19"/>
  <sheetViews>
    <sheetView view="pageLayout" zoomScaleNormal="130" workbookViewId="0" topLeftCell="A1">
      <selection activeCell="I20" sqref="I20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20" customFormat="1" ht="15.75" thickBot="1">
      <c r="A1" s="139"/>
      <c r="H1" s="140">
        <f>'2. tájékoztató tábla'!J1</f>
        <v>0</v>
      </c>
      <c r="I1" s="786" t="str">
        <f>+CONCATENATE("3. tájékoztató tábla a .4/",LEFT(ÖSSZEFÜGGÉSEK!A4,4)+1,". (IV.30.) önkormányzati rendelethez")</f>
        <v>3. tájékoztató tábla a .4/2020. (IV.30.) önkormányzati rendelethez</v>
      </c>
    </row>
    <row r="2" spans="1:9" s="102" customFormat="1" ht="26.25" customHeight="1">
      <c r="A2" s="744" t="s">
        <v>57</v>
      </c>
      <c r="B2" s="790" t="s">
        <v>196</v>
      </c>
      <c r="C2" s="744" t="s">
        <v>197</v>
      </c>
      <c r="D2" s="744" t="s">
        <v>198</v>
      </c>
      <c r="E2" s="792" t="str">
        <f>+CONCATENATE("Hitel, kölcsön állomány ",LEFT(ÖSSZEFÜGGÉSEK!A4,4),". dec. 31-én")</f>
        <v>Hitel, kölcsön állomány 2019. dec. 31-én</v>
      </c>
      <c r="F2" s="794" t="s">
        <v>199</v>
      </c>
      <c r="G2" s="795"/>
      <c r="H2" s="787" t="str">
        <f>+CONCATENATE(LEFT(ÖSSZEFÜGGÉSEK!A4,4)+2,". után")</f>
        <v>2021. után</v>
      </c>
      <c r="I2" s="786"/>
    </row>
    <row r="3" spans="1:9" s="106" customFormat="1" ht="40.5" customHeight="1" thickBot="1">
      <c r="A3" s="789"/>
      <c r="B3" s="791"/>
      <c r="C3" s="791"/>
      <c r="D3" s="789"/>
      <c r="E3" s="793"/>
      <c r="F3" s="141" t="str">
        <f>+CONCATENATE(LEFT(ÖSSZEFÜGGÉSEK!A4,4)+1,".")</f>
        <v>2020.</v>
      </c>
      <c r="G3" s="142" t="str">
        <f>+CONCATENATE(LEFT(ÖSSZEFÜGGÉSEK!A4,4)+2,".")</f>
        <v>2021.</v>
      </c>
      <c r="H3" s="788"/>
      <c r="I3" s="786"/>
    </row>
    <row r="4" spans="1:9" s="146" customFormat="1" ht="12.75" customHeight="1" thickBot="1">
      <c r="A4" s="143" t="s">
        <v>410</v>
      </c>
      <c r="B4" s="95" t="s">
        <v>411</v>
      </c>
      <c r="C4" s="95" t="s">
        <v>412</v>
      </c>
      <c r="D4" s="144" t="s">
        <v>413</v>
      </c>
      <c r="E4" s="143" t="s">
        <v>414</v>
      </c>
      <c r="F4" s="144" t="s">
        <v>491</v>
      </c>
      <c r="G4" s="144" t="s">
        <v>492</v>
      </c>
      <c r="H4" s="145" t="s">
        <v>493</v>
      </c>
      <c r="I4" s="786"/>
    </row>
    <row r="5" spans="1:9" ht="22.5" customHeight="1" thickBot="1">
      <c r="A5" s="147" t="s">
        <v>7</v>
      </c>
      <c r="B5" s="148" t="s">
        <v>200</v>
      </c>
      <c r="C5" s="149"/>
      <c r="D5" s="150"/>
      <c r="E5" s="151">
        <f>SUM(E6:E11)</f>
        <v>0</v>
      </c>
      <c r="F5" s="152">
        <f>SUM(F6:F11)</f>
        <v>0</v>
      </c>
      <c r="G5" s="152">
        <f>SUM(G6:G11)</f>
        <v>0</v>
      </c>
      <c r="H5" s="153">
        <f>SUM(H6:H11)</f>
        <v>0</v>
      </c>
      <c r="I5" s="786"/>
    </row>
    <row r="6" spans="1:9" ht="22.5" customHeight="1">
      <c r="A6" s="154" t="s">
        <v>8</v>
      </c>
      <c r="B6" s="155" t="s">
        <v>190</v>
      </c>
      <c r="C6" s="156"/>
      <c r="D6" s="157"/>
      <c r="E6" s="158"/>
      <c r="F6" s="2"/>
      <c r="G6" s="2"/>
      <c r="H6" s="159"/>
      <c r="I6" s="786"/>
    </row>
    <row r="7" spans="1:9" ht="22.5" customHeight="1">
      <c r="A7" s="154" t="s">
        <v>9</v>
      </c>
      <c r="B7" s="155" t="s">
        <v>190</v>
      </c>
      <c r="C7" s="156"/>
      <c r="D7" s="157"/>
      <c r="E7" s="158"/>
      <c r="F7" s="2"/>
      <c r="G7" s="2"/>
      <c r="H7" s="159"/>
      <c r="I7" s="786"/>
    </row>
    <row r="8" spans="1:9" ht="22.5" customHeight="1">
      <c r="A8" s="154" t="s">
        <v>10</v>
      </c>
      <c r="B8" s="155" t="s">
        <v>190</v>
      </c>
      <c r="C8" s="156"/>
      <c r="D8" s="157"/>
      <c r="E8" s="158"/>
      <c r="F8" s="2"/>
      <c r="G8" s="2"/>
      <c r="H8" s="159"/>
      <c r="I8" s="786"/>
    </row>
    <row r="9" spans="1:9" ht="22.5" customHeight="1">
      <c r="A9" s="154" t="s">
        <v>11</v>
      </c>
      <c r="B9" s="155" t="s">
        <v>190</v>
      </c>
      <c r="C9" s="156"/>
      <c r="D9" s="157"/>
      <c r="E9" s="158"/>
      <c r="F9" s="2"/>
      <c r="G9" s="2"/>
      <c r="H9" s="159"/>
      <c r="I9" s="786"/>
    </row>
    <row r="10" spans="1:9" ht="22.5" customHeight="1">
      <c r="A10" s="154" t="s">
        <v>12</v>
      </c>
      <c r="B10" s="155" t="s">
        <v>190</v>
      </c>
      <c r="C10" s="156"/>
      <c r="D10" s="157"/>
      <c r="E10" s="158"/>
      <c r="F10" s="2"/>
      <c r="G10" s="2"/>
      <c r="H10" s="159"/>
      <c r="I10" s="786"/>
    </row>
    <row r="11" spans="1:9" ht="22.5" customHeight="1" thickBot="1">
      <c r="A11" s="154" t="s">
        <v>13</v>
      </c>
      <c r="B11" s="155" t="s">
        <v>190</v>
      </c>
      <c r="C11" s="156"/>
      <c r="D11" s="157"/>
      <c r="E11" s="158"/>
      <c r="F11" s="2"/>
      <c r="G11" s="2"/>
      <c r="H11" s="159"/>
      <c r="I11" s="786"/>
    </row>
    <row r="12" spans="1:9" ht="22.5" customHeight="1" thickBot="1">
      <c r="A12" s="147" t="s">
        <v>14</v>
      </c>
      <c r="B12" s="148" t="s">
        <v>201</v>
      </c>
      <c r="C12" s="160"/>
      <c r="D12" s="161"/>
      <c r="E12" s="151">
        <f>SUM(E13:E18)</f>
        <v>0</v>
      </c>
      <c r="F12" s="152">
        <f>SUM(F13:F18)</f>
        <v>0</v>
      </c>
      <c r="G12" s="152">
        <f>SUM(G13:G18)</f>
        <v>0</v>
      </c>
      <c r="H12" s="153">
        <f>SUM(H13:H18)</f>
        <v>0</v>
      </c>
      <c r="I12" s="786"/>
    </row>
    <row r="13" spans="1:9" ht="22.5" customHeight="1">
      <c r="A13" s="154" t="s">
        <v>15</v>
      </c>
      <c r="B13" s="155" t="s">
        <v>190</v>
      </c>
      <c r="C13" s="156"/>
      <c r="D13" s="157"/>
      <c r="E13" s="158"/>
      <c r="F13" s="2"/>
      <c r="G13" s="2"/>
      <c r="H13" s="159"/>
      <c r="I13" s="786"/>
    </row>
    <row r="14" spans="1:9" ht="22.5" customHeight="1">
      <c r="A14" s="154" t="s">
        <v>16</v>
      </c>
      <c r="B14" s="155" t="s">
        <v>190</v>
      </c>
      <c r="C14" s="156"/>
      <c r="D14" s="157"/>
      <c r="E14" s="158"/>
      <c r="F14" s="2"/>
      <c r="G14" s="2"/>
      <c r="H14" s="159"/>
      <c r="I14" s="786"/>
    </row>
    <row r="15" spans="1:9" ht="22.5" customHeight="1">
      <c r="A15" s="154" t="s">
        <v>17</v>
      </c>
      <c r="B15" s="155" t="s">
        <v>190</v>
      </c>
      <c r="C15" s="156"/>
      <c r="D15" s="157"/>
      <c r="E15" s="158"/>
      <c r="F15" s="2"/>
      <c r="G15" s="2"/>
      <c r="H15" s="159"/>
      <c r="I15" s="786"/>
    </row>
    <row r="16" spans="1:9" ht="22.5" customHeight="1">
      <c r="A16" s="154" t="s">
        <v>18</v>
      </c>
      <c r="B16" s="155" t="s">
        <v>190</v>
      </c>
      <c r="C16" s="156"/>
      <c r="D16" s="157"/>
      <c r="E16" s="158"/>
      <c r="F16" s="2"/>
      <c r="G16" s="2"/>
      <c r="H16" s="159"/>
      <c r="I16" s="786"/>
    </row>
    <row r="17" spans="1:9" ht="22.5" customHeight="1">
      <c r="A17" s="154" t="s">
        <v>19</v>
      </c>
      <c r="B17" s="155" t="s">
        <v>190</v>
      </c>
      <c r="C17" s="156"/>
      <c r="D17" s="157"/>
      <c r="E17" s="158"/>
      <c r="F17" s="2"/>
      <c r="G17" s="2"/>
      <c r="H17" s="159"/>
      <c r="I17" s="786"/>
    </row>
    <row r="18" spans="1:9" ht="22.5" customHeight="1" thickBot="1">
      <c r="A18" s="154" t="s">
        <v>20</v>
      </c>
      <c r="B18" s="155" t="s">
        <v>190</v>
      </c>
      <c r="C18" s="156"/>
      <c r="D18" s="157"/>
      <c r="E18" s="158"/>
      <c r="F18" s="2"/>
      <c r="G18" s="2"/>
      <c r="H18" s="159"/>
      <c r="I18" s="786"/>
    </row>
    <row r="19" spans="1:9" ht="22.5" customHeight="1" thickBot="1">
      <c r="A19" s="147" t="s">
        <v>21</v>
      </c>
      <c r="B19" s="148" t="s">
        <v>688</v>
      </c>
      <c r="C19" s="149"/>
      <c r="D19" s="150"/>
      <c r="E19" s="151">
        <f>E5+E12</f>
        <v>0</v>
      </c>
      <c r="F19" s="152">
        <f>F5+F12</f>
        <v>0</v>
      </c>
      <c r="G19" s="152">
        <f>G5+G12</f>
        <v>0</v>
      </c>
      <c r="H19" s="153">
        <f>H5+H12</f>
        <v>0</v>
      </c>
      <c r="I19" s="786"/>
    </row>
    <row r="20" ht="19.5" customHeight="1"/>
  </sheetData>
  <sheetProtection/>
  <mergeCells count="8">
    <mergeCell ref="I1:I19"/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6526041666666667" bottom="0.984251968503937" header="0.7874015748031497" footer="0.7874015748031497"/>
  <pageSetup fitToHeight="1" fitToWidth="1" horizontalDpi="600" verticalDpi="600" orientation="landscape" paperSize="9" scale="93" r:id="rId1"/>
  <headerFooter alignWithMargins="0">
    <oddHeader>&amp;C&amp;"Times New Roman CE,Félkövér"&amp;12
NEMLEGES
Az önkormányzat által nyújtott hitel és kölcsön alakulása
 lejárat és eszközök szerinti bontásban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A1:J20"/>
  <sheetViews>
    <sheetView view="pageLayout" workbookViewId="0" topLeftCell="A1">
      <selection activeCell="J2" sqref="J2:J20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20.25">
      <c r="A1" s="809" t="s">
        <v>752</v>
      </c>
      <c r="B1" s="810"/>
      <c r="C1" s="810"/>
      <c r="D1" s="810"/>
      <c r="E1" s="810"/>
      <c r="F1" s="810"/>
      <c r="G1" s="810"/>
      <c r="H1" s="810"/>
      <c r="I1" s="810"/>
      <c r="J1" s="810"/>
    </row>
    <row r="2" spans="1:10" ht="34.5" customHeight="1">
      <c r="A2" s="816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2019. december 31-én</v>
      </c>
      <c r="B2" s="817"/>
      <c r="C2" s="817"/>
      <c r="D2" s="817"/>
      <c r="E2" s="817"/>
      <c r="F2" s="817"/>
      <c r="G2" s="817"/>
      <c r="H2" s="817"/>
      <c r="I2" s="817"/>
      <c r="J2" s="786" t="str">
        <f>+CONCATENATE("4. tájékoztató tábla a 4/",LEFT(ÖSSZEFÜGGÉSEK!A4,4)+1,". (IV.30.) önkormányzati rendelethez")</f>
        <v>4. tájékoztató tábla a 4/2020. (IV.30.) önkormányzati rendelethez</v>
      </c>
    </row>
    <row r="3" spans="8:10" ht="14.25" thickBot="1">
      <c r="H3" s="818">
        <f>'3. tájékoztató tábla'!H1</f>
        <v>0</v>
      </c>
      <c r="I3" s="818"/>
      <c r="J3" s="786"/>
    </row>
    <row r="4" spans="1:10" ht="13.5" thickBot="1">
      <c r="A4" s="819" t="s">
        <v>5</v>
      </c>
      <c r="B4" s="796" t="s">
        <v>202</v>
      </c>
      <c r="C4" s="798" t="s">
        <v>203</v>
      </c>
      <c r="D4" s="800" t="s">
        <v>204</v>
      </c>
      <c r="E4" s="801"/>
      <c r="F4" s="801"/>
      <c r="G4" s="801"/>
      <c r="H4" s="801"/>
      <c r="I4" s="802" t="s">
        <v>205</v>
      </c>
      <c r="J4" s="786"/>
    </row>
    <row r="5" spans="1:10" s="21" customFormat="1" ht="42" customHeight="1" thickBot="1">
      <c r="A5" s="820"/>
      <c r="B5" s="797"/>
      <c r="C5" s="799"/>
      <c r="D5" s="162" t="s">
        <v>206</v>
      </c>
      <c r="E5" s="162" t="s">
        <v>207</v>
      </c>
      <c r="F5" s="162" t="s">
        <v>208</v>
      </c>
      <c r="G5" s="163" t="s">
        <v>209</v>
      </c>
      <c r="H5" s="163" t="s">
        <v>210</v>
      </c>
      <c r="I5" s="803"/>
      <c r="J5" s="786"/>
    </row>
    <row r="6" spans="1:10" s="21" customFormat="1" ht="12" customHeight="1" thickBot="1">
      <c r="A6" s="562" t="s">
        <v>410</v>
      </c>
      <c r="B6" s="164" t="s">
        <v>411</v>
      </c>
      <c r="C6" s="164" t="s">
        <v>412</v>
      </c>
      <c r="D6" s="164" t="s">
        <v>413</v>
      </c>
      <c r="E6" s="164" t="s">
        <v>414</v>
      </c>
      <c r="F6" s="164" t="s">
        <v>491</v>
      </c>
      <c r="G6" s="164" t="s">
        <v>492</v>
      </c>
      <c r="H6" s="164" t="s">
        <v>584</v>
      </c>
      <c r="I6" s="165" t="s">
        <v>585</v>
      </c>
      <c r="J6" s="786"/>
    </row>
    <row r="7" spans="1:10" s="21" customFormat="1" ht="18" customHeight="1">
      <c r="A7" s="804" t="s">
        <v>211</v>
      </c>
      <c r="B7" s="805"/>
      <c r="C7" s="805"/>
      <c r="D7" s="805"/>
      <c r="E7" s="805"/>
      <c r="F7" s="805"/>
      <c r="G7" s="805"/>
      <c r="H7" s="805"/>
      <c r="I7" s="806"/>
      <c r="J7" s="786"/>
    </row>
    <row r="8" spans="1:10" ht="15.75" customHeight="1">
      <c r="A8" s="34" t="s">
        <v>7</v>
      </c>
      <c r="B8" s="32" t="s">
        <v>212</v>
      </c>
      <c r="C8" s="24"/>
      <c r="D8" s="24"/>
      <c r="E8" s="24"/>
      <c r="F8" s="24"/>
      <c r="G8" s="167"/>
      <c r="H8" s="168">
        <f aca="true" t="shared" si="0" ref="H8:H14">SUM(D8:G8)</f>
        <v>0</v>
      </c>
      <c r="I8" s="35">
        <f aca="true" t="shared" si="1" ref="I8:I14">C8+H8</f>
        <v>0</v>
      </c>
      <c r="J8" s="786"/>
    </row>
    <row r="9" spans="1:10" ht="22.5">
      <c r="A9" s="34" t="s">
        <v>8</v>
      </c>
      <c r="B9" s="32" t="s">
        <v>148</v>
      </c>
      <c r="C9" s="24"/>
      <c r="D9" s="24"/>
      <c r="E9" s="24"/>
      <c r="F9" s="24"/>
      <c r="G9" s="167"/>
      <c r="H9" s="168">
        <f t="shared" si="0"/>
        <v>0</v>
      </c>
      <c r="I9" s="35">
        <f t="shared" si="1"/>
        <v>0</v>
      </c>
      <c r="J9" s="786"/>
    </row>
    <row r="10" spans="1:10" ht="22.5">
      <c r="A10" s="34" t="s">
        <v>9</v>
      </c>
      <c r="B10" s="32" t="s">
        <v>149</v>
      </c>
      <c r="C10" s="24"/>
      <c r="D10" s="24"/>
      <c r="E10" s="24"/>
      <c r="F10" s="24"/>
      <c r="G10" s="167"/>
      <c r="H10" s="168">
        <f t="shared" si="0"/>
        <v>0</v>
      </c>
      <c r="I10" s="35">
        <f t="shared" si="1"/>
        <v>0</v>
      </c>
      <c r="J10" s="786"/>
    </row>
    <row r="11" spans="1:10" ht="15.75" customHeight="1">
      <c r="A11" s="34" t="s">
        <v>10</v>
      </c>
      <c r="B11" s="32" t="s">
        <v>150</v>
      </c>
      <c r="C11" s="24"/>
      <c r="D11" s="24"/>
      <c r="E11" s="24"/>
      <c r="F11" s="24"/>
      <c r="G11" s="167"/>
      <c r="H11" s="168">
        <f t="shared" si="0"/>
        <v>0</v>
      </c>
      <c r="I11" s="35">
        <f t="shared" si="1"/>
        <v>0</v>
      </c>
      <c r="J11" s="786"/>
    </row>
    <row r="12" spans="1:10" ht="22.5">
      <c r="A12" s="34" t="s">
        <v>11</v>
      </c>
      <c r="B12" s="32" t="s">
        <v>151</v>
      </c>
      <c r="C12" s="24"/>
      <c r="D12" s="24"/>
      <c r="E12" s="24"/>
      <c r="F12" s="24"/>
      <c r="G12" s="167"/>
      <c r="H12" s="168">
        <f t="shared" si="0"/>
        <v>0</v>
      </c>
      <c r="I12" s="35">
        <f t="shared" si="1"/>
        <v>0</v>
      </c>
      <c r="J12" s="786"/>
    </row>
    <row r="13" spans="1:10" ht="15.75" customHeight="1">
      <c r="A13" s="36" t="s">
        <v>12</v>
      </c>
      <c r="B13" s="37" t="s">
        <v>213</v>
      </c>
      <c r="C13" s="25"/>
      <c r="D13" s="25"/>
      <c r="E13" s="25"/>
      <c r="F13" s="25"/>
      <c r="G13" s="169"/>
      <c r="H13" s="168">
        <f t="shared" si="0"/>
        <v>0</v>
      </c>
      <c r="I13" s="35">
        <f t="shared" si="1"/>
        <v>0</v>
      </c>
      <c r="J13" s="786"/>
    </row>
    <row r="14" spans="1:10" ht="15.75" customHeight="1" thickBot="1">
      <c r="A14" s="170" t="s">
        <v>13</v>
      </c>
      <c r="B14" s="171" t="s">
        <v>214</v>
      </c>
      <c r="C14" s="173"/>
      <c r="D14" s="173"/>
      <c r="E14" s="173"/>
      <c r="F14" s="173"/>
      <c r="G14" s="174"/>
      <c r="H14" s="168">
        <f t="shared" si="0"/>
        <v>0</v>
      </c>
      <c r="I14" s="35">
        <f t="shared" si="1"/>
        <v>0</v>
      </c>
      <c r="J14" s="786"/>
    </row>
    <row r="15" spans="1:10" s="26" customFormat="1" ht="18" customHeight="1" thickBot="1">
      <c r="A15" s="807" t="s">
        <v>215</v>
      </c>
      <c r="B15" s="808"/>
      <c r="C15" s="38">
        <f aca="true" t="shared" si="2" ref="C15:I15">SUM(C8:C14)</f>
        <v>0</v>
      </c>
      <c r="D15" s="38">
        <f>SUM(D8:D14)</f>
        <v>0</v>
      </c>
      <c r="E15" s="38">
        <f t="shared" si="2"/>
        <v>0</v>
      </c>
      <c r="F15" s="38">
        <f t="shared" si="2"/>
        <v>0</v>
      </c>
      <c r="G15" s="175">
        <f t="shared" si="2"/>
        <v>0</v>
      </c>
      <c r="H15" s="175">
        <f t="shared" si="2"/>
        <v>0</v>
      </c>
      <c r="I15" s="39">
        <f t="shared" si="2"/>
        <v>0</v>
      </c>
      <c r="J15" s="786"/>
    </row>
    <row r="16" spans="1:10" s="23" customFormat="1" ht="18" customHeight="1">
      <c r="A16" s="811" t="s">
        <v>216</v>
      </c>
      <c r="B16" s="812"/>
      <c r="C16" s="812"/>
      <c r="D16" s="812"/>
      <c r="E16" s="812"/>
      <c r="F16" s="812"/>
      <c r="G16" s="812"/>
      <c r="H16" s="812"/>
      <c r="I16" s="813"/>
      <c r="J16" s="786"/>
    </row>
    <row r="17" spans="1:10" s="23" customFormat="1" ht="12.75">
      <c r="A17" s="34" t="s">
        <v>7</v>
      </c>
      <c r="B17" s="32" t="s">
        <v>217</v>
      </c>
      <c r="C17" s="24"/>
      <c r="D17" s="24"/>
      <c r="E17" s="24"/>
      <c r="F17" s="24"/>
      <c r="G17" s="167"/>
      <c r="H17" s="168">
        <f>SUM(D17:G17)</f>
        <v>0</v>
      </c>
      <c r="I17" s="35">
        <f>C17+H17</f>
        <v>0</v>
      </c>
      <c r="J17" s="786"/>
    </row>
    <row r="18" spans="1:10" ht="13.5" thickBot="1">
      <c r="A18" s="170" t="s">
        <v>8</v>
      </c>
      <c r="B18" s="171" t="s">
        <v>214</v>
      </c>
      <c r="C18" s="173"/>
      <c r="D18" s="173"/>
      <c r="E18" s="173"/>
      <c r="F18" s="173"/>
      <c r="G18" s="174"/>
      <c r="H18" s="168">
        <f>SUM(D18:G18)</f>
        <v>0</v>
      </c>
      <c r="I18" s="176">
        <f>C18+H18</f>
        <v>0</v>
      </c>
      <c r="J18" s="786"/>
    </row>
    <row r="19" spans="1:10" ht="15.75" customHeight="1" thickBot="1">
      <c r="A19" s="807" t="s">
        <v>218</v>
      </c>
      <c r="B19" s="808"/>
      <c r="C19" s="38">
        <f aca="true" t="shared" si="3" ref="C19:I19">SUM(C17:C18)</f>
        <v>0</v>
      </c>
      <c r="D19" s="38">
        <f t="shared" si="3"/>
        <v>0</v>
      </c>
      <c r="E19" s="38">
        <f t="shared" si="3"/>
        <v>0</v>
      </c>
      <c r="F19" s="38">
        <f t="shared" si="3"/>
        <v>0</v>
      </c>
      <c r="G19" s="175">
        <f t="shared" si="3"/>
        <v>0</v>
      </c>
      <c r="H19" s="175">
        <f t="shared" si="3"/>
        <v>0</v>
      </c>
      <c r="I19" s="39">
        <f t="shared" si="3"/>
        <v>0</v>
      </c>
      <c r="J19" s="786"/>
    </row>
    <row r="20" spans="1:10" ht="18" customHeight="1" thickBot="1">
      <c r="A20" s="814" t="s">
        <v>219</v>
      </c>
      <c r="B20" s="815"/>
      <c r="C20" s="177">
        <f aca="true" t="shared" si="4" ref="C20:I20">C15+C19</f>
        <v>0</v>
      </c>
      <c r="D20" s="177">
        <f t="shared" si="4"/>
        <v>0</v>
      </c>
      <c r="E20" s="177">
        <f t="shared" si="4"/>
        <v>0</v>
      </c>
      <c r="F20" s="177">
        <f t="shared" si="4"/>
        <v>0</v>
      </c>
      <c r="G20" s="177">
        <f t="shared" si="4"/>
        <v>0</v>
      </c>
      <c r="H20" s="177">
        <f t="shared" si="4"/>
        <v>0</v>
      </c>
      <c r="I20" s="39">
        <f t="shared" si="4"/>
        <v>0</v>
      </c>
      <c r="J20" s="786"/>
    </row>
  </sheetData>
  <sheetProtection/>
  <mergeCells count="14">
    <mergeCell ref="A1:J1"/>
    <mergeCell ref="A16:I16"/>
    <mergeCell ref="A19:B19"/>
    <mergeCell ref="J2:J20"/>
    <mergeCell ref="A20:B20"/>
    <mergeCell ref="A2:I2"/>
    <mergeCell ref="H3:I3"/>
    <mergeCell ref="A4:A5"/>
    <mergeCell ref="B4:B5"/>
    <mergeCell ref="C4:C5"/>
    <mergeCell ref="D4:H4"/>
    <mergeCell ref="I4:I5"/>
    <mergeCell ref="A7:I7"/>
    <mergeCell ref="A15:B15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163"/>
  <sheetViews>
    <sheetView view="pageLayout" zoomScaleNormal="130" zoomScaleSheetLayoutView="100" workbookViewId="0" topLeftCell="A1">
      <selection activeCell="C97" sqref="C97"/>
    </sheetView>
  </sheetViews>
  <sheetFormatPr defaultColWidth="9.00390625" defaultRowHeight="12.75"/>
  <cols>
    <col min="1" max="1" width="9.50390625" style="375" customWidth="1"/>
    <col min="2" max="2" width="60.875" style="375" customWidth="1"/>
    <col min="3" max="5" width="15.875" style="376" customWidth="1"/>
    <col min="6" max="16384" width="9.375" style="386" customWidth="1"/>
  </cols>
  <sheetData>
    <row r="1" spans="1:5" ht="15.75" customHeight="1">
      <c r="A1" s="719" t="s">
        <v>4</v>
      </c>
      <c r="B1" s="719"/>
      <c r="C1" s="719"/>
      <c r="D1" s="719"/>
      <c r="E1" s="719"/>
    </row>
    <row r="2" spans="1:5" ht="15.75" customHeight="1" thickBot="1">
      <c r="A2" s="46" t="s">
        <v>109</v>
      </c>
      <c r="B2" s="46"/>
      <c r="C2" s="373"/>
      <c r="D2" s="373"/>
      <c r="E2" s="373" t="str">
        <f>'1.1.sz.mell.'!E2</f>
        <v>Forintban!</v>
      </c>
    </row>
    <row r="3" spans="1:5" ht="15.75" customHeight="1">
      <c r="A3" s="720" t="s">
        <v>57</v>
      </c>
      <c r="B3" s="722" t="s">
        <v>6</v>
      </c>
      <c r="C3" s="724" t="str">
        <f>+'1.1.sz.mell.'!C3:E3</f>
        <v>2019. évi</v>
      </c>
      <c r="D3" s="724"/>
      <c r="E3" s="725"/>
    </row>
    <row r="4" spans="1:5" ht="37.5" customHeight="1" thickBot="1">
      <c r="A4" s="721"/>
      <c r="B4" s="723"/>
      <c r="C4" s="48" t="s">
        <v>174</v>
      </c>
      <c r="D4" s="48" t="s">
        <v>179</v>
      </c>
      <c r="E4" s="49" t="s">
        <v>180</v>
      </c>
    </row>
    <row r="5" spans="1:5" s="387" customFormat="1" ht="12" customHeight="1" thickBot="1">
      <c r="A5" s="351" t="s">
        <v>410</v>
      </c>
      <c r="B5" s="352" t="s">
        <v>411</v>
      </c>
      <c r="C5" s="352" t="s">
        <v>412</v>
      </c>
      <c r="D5" s="352" t="s">
        <v>413</v>
      </c>
      <c r="E5" s="398" t="s">
        <v>414</v>
      </c>
    </row>
    <row r="6" spans="1:5" s="388" customFormat="1" ht="12" customHeight="1" thickBot="1">
      <c r="A6" s="346" t="s">
        <v>7</v>
      </c>
      <c r="B6" s="347" t="s">
        <v>302</v>
      </c>
      <c r="C6" s="378">
        <f>SUM(C7:C12)</f>
        <v>136620875</v>
      </c>
      <c r="D6" s="378">
        <f>SUM(D7:D12)</f>
        <v>169702262</v>
      </c>
      <c r="E6" s="361">
        <f>SUM(E7:E12)</f>
        <v>169702262</v>
      </c>
    </row>
    <row r="7" spans="1:5" s="388" customFormat="1" ht="12" customHeight="1">
      <c r="A7" s="341" t="s">
        <v>69</v>
      </c>
      <c r="B7" s="389" t="s">
        <v>303</v>
      </c>
      <c r="C7" s="380">
        <v>70039327</v>
      </c>
      <c r="D7" s="380">
        <v>73362954</v>
      </c>
      <c r="E7" s="363">
        <v>73362954</v>
      </c>
    </row>
    <row r="8" spans="1:5" s="388" customFormat="1" ht="12" customHeight="1">
      <c r="A8" s="340" t="s">
        <v>70</v>
      </c>
      <c r="B8" s="390" t="s">
        <v>304</v>
      </c>
      <c r="C8" s="379">
        <v>22294800</v>
      </c>
      <c r="D8" s="379">
        <v>22684800</v>
      </c>
      <c r="E8" s="362">
        <v>22684800</v>
      </c>
    </row>
    <row r="9" spans="1:5" s="388" customFormat="1" ht="12" customHeight="1">
      <c r="A9" s="340" t="s">
        <v>71</v>
      </c>
      <c r="B9" s="390" t="s">
        <v>305</v>
      </c>
      <c r="C9" s="379">
        <v>42486748</v>
      </c>
      <c r="D9" s="379">
        <v>45854846</v>
      </c>
      <c r="E9" s="362">
        <v>45854846</v>
      </c>
    </row>
    <row r="10" spans="1:5" s="388" customFormat="1" ht="12" customHeight="1">
      <c r="A10" s="340" t="s">
        <v>72</v>
      </c>
      <c r="B10" s="390" t="s">
        <v>306</v>
      </c>
      <c r="C10" s="379">
        <v>1800000</v>
      </c>
      <c r="D10" s="379">
        <v>1800000</v>
      </c>
      <c r="E10" s="362">
        <v>1800000</v>
      </c>
    </row>
    <row r="11" spans="1:5" s="388" customFormat="1" ht="12" customHeight="1">
      <c r="A11" s="340" t="s">
        <v>105</v>
      </c>
      <c r="B11" s="390" t="s">
        <v>307</v>
      </c>
      <c r="C11" s="379"/>
      <c r="D11" s="379">
        <v>196782</v>
      </c>
      <c r="E11" s="362">
        <v>196782</v>
      </c>
    </row>
    <row r="12" spans="1:5" s="388" customFormat="1" ht="12" customHeight="1" thickBot="1">
      <c r="A12" s="342" t="s">
        <v>73</v>
      </c>
      <c r="B12" s="391" t="s">
        <v>308</v>
      </c>
      <c r="C12" s="381"/>
      <c r="D12" s="381">
        <v>25802880</v>
      </c>
      <c r="E12" s="364">
        <v>25802880</v>
      </c>
    </row>
    <row r="13" spans="1:5" s="388" customFormat="1" ht="21.75" thickBot="1">
      <c r="A13" s="346" t="s">
        <v>8</v>
      </c>
      <c r="B13" s="368" t="s">
        <v>309</v>
      </c>
      <c r="C13" s="378">
        <f>SUM(C14:C18)</f>
        <v>58793000</v>
      </c>
      <c r="D13" s="378">
        <f>SUM(D14:D18)</f>
        <v>50175688</v>
      </c>
      <c r="E13" s="361">
        <f>SUM(E14:E18)</f>
        <v>45714603</v>
      </c>
    </row>
    <row r="14" spans="1:5" s="388" customFormat="1" ht="12" customHeight="1">
      <c r="A14" s="341" t="s">
        <v>75</v>
      </c>
      <c r="B14" s="389" t="s">
        <v>310</v>
      </c>
      <c r="C14" s="380"/>
      <c r="D14" s="380"/>
      <c r="E14" s="363"/>
    </row>
    <row r="15" spans="1:5" s="388" customFormat="1" ht="12" customHeight="1">
      <c r="A15" s="340" t="s">
        <v>76</v>
      </c>
      <c r="B15" s="390" t="s">
        <v>311</v>
      </c>
      <c r="C15" s="379"/>
      <c r="D15" s="379"/>
      <c r="E15" s="362"/>
    </row>
    <row r="16" spans="1:5" s="388" customFormat="1" ht="12" customHeight="1">
      <c r="A16" s="340" t="s">
        <v>77</v>
      </c>
      <c r="B16" s="390" t="s">
        <v>312</v>
      </c>
      <c r="C16" s="379"/>
      <c r="D16" s="379"/>
      <c r="E16" s="362"/>
    </row>
    <row r="17" spans="1:5" s="388" customFormat="1" ht="12" customHeight="1">
      <c r="A17" s="340" t="s">
        <v>78</v>
      </c>
      <c r="B17" s="390" t="s">
        <v>313</v>
      </c>
      <c r="C17" s="379"/>
      <c r="D17" s="379"/>
      <c r="E17" s="362"/>
    </row>
    <row r="18" spans="1:5" s="388" customFormat="1" ht="12" customHeight="1">
      <c r="A18" s="340" t="s">
        <v>79</v>
      </c>
      <c r="B18" s="390" t="s">
        <v>314</v>
      </c>
      <c r="C18" s="379">
        <v>58793000</v>
      </c>
      <c r="D18" s="379">
        <v>50175688</v>
      </c>
      <c r="E18" s="362">
        <v>45714603</v>
      </c>
    </row>
    <row r="19" spans="1:5" s="388" customFormat="1" ht="12" customHeight="1" thickBot="1">
      <c r="A19" s="342" t="s">
        <v>86</v>
      </c>
      <c r="B19" s="391" t="s">
        <v>315</v>
      </c>
      <c r="C19" s="381"/>
      <c r="D19" s="381"/>
      <c r="E19" s="364"/>
    </row>
    <row r="20" spans="1:5" s="388" customFormat="1" ht="21.75" thickBot="1">
      <c r="A20" s="346" t="s">
        <v>9</v>
      </c>
      <c r="B20" s="347" t="s">
        <v>316</v>
      </c>
      <c r="C20" s="378">
        <f>SUM(C21:C25)</f>
        <v>0</v>
      </c>
      <c r="D20" s="378">
        <f>SUM(D21:D25)</f>
        <v>0</v>
      </c>
      <c r="E20" s="361">
        <f>SUM(E21:E25)</f>
        <v>0</v>
      </c>
    </row>
    <row r="21" spans="1:5" s="388" customFormat="1" ht="12" customHeight="1">
      <c r="A21" s="341" t="s">
        <v>58</v>
      </c>
      <c r="B21" s="389" t="s">
        <v>317</v>
      </c>
      <c r="C21" s="380"/>
      <c r="D21" s="380"/>
      <c r="E21" s="363"/>
    </row>
    <row r="22" spans="1:5" s="388" customFormat="1" ht="12" customHeight="1">
      <c r="A22" s="340" t="s">
        <v>59</v>
      </c>
      <c r="B22" s="390" t="s">
        <v>318</v>
      </c>
      <c r="C22" s="379"/>
      <c r="D22" s="379"/>
      <c r="E22" s="362"/>
    </row>
    <row r="23" spans="1:5" s="388" customFormat="1" ht="12" customHeight="1">
      <c r="A23" s="340" t="s">
        <v>60</v>
      </c>
      <c r="B23" s="390" t="s">
        <v>319</v>
      </c>
      <c r="C23" s="379"/>
      <c r="D23" s="379"/>
      <c r="E23" s="362"/>
    </row>
    <row r="24" spans="1:5" s="388" customFormat="1" ht="12" customHeight="1">
      <c r="A24" s="340" t="s">
        <v>61</v>
      </c>
      <c r="B24" s="390" t="s">
        <v>320</v>
      </c>
      <c r="C24" s="379"/>
      <c r="D24" s="379"/>
      <c r="E24" s="362"/>
    </row>
    <row r="25" spans="1:5" s="388" customFormat="1" ht="12" customHeight="1">
      <c r="A25" s="340" t="s">
        <v>119</v>
      </c>
      <c r="B25" s="390" t="s">
        <v>321</v>
      </c>
      <c r="C25" s="379"/>
      <c r="D25" s="379"/>
      <c r="E25" s="362"/>
    </row>
    <row r="26" spans="1:5" s="388" customFormat="1" ht="12" customHeight="1" thickBot="1">
      <c r="A26" s="342" t="s">
        <v>120</v>
      </c>
      <c r="B26" s="391" t="s">
        <v>322</v>
      </c>
      <c r="C26" s="381"/>
      <c r="D26" s="381"/>
      <c r="E26" s="364"/>
    </row>
    <row r="27" spans="1:5" s="388" customFormat="1" ht="12" customHeight="1" thickBot="1">
      <c r="A27" s="346" t="s">
        <v>121</v>
      </c>
      <c r="B27" s="347" t="s">
        <v>724</v>
      </c>
      <c r="C27" s="384">
        <f>SUM(C28:C33)</f>
        <v>4200000</v>
      </c>
      <c r="D27" s="384">
        <f>SUM(D28:D33)</f>
        <v>4996285</v>
      </c>
      <c r="E27" s="397">
        <f>SUM(E28:E33)</f>
        <v>4996285</v>
      </c>
    </row>
    <row r="28" spans="1:5" s="388" customFormat="1" ht="12" customHeight="1">
      <c r="A28" s="341" t="s">
        <v>323</v>
      </c>
      <c r="B28" s="389" t="s">
        <v>728</v>
      </c>
      <c r="C28" s="380"/>
      <c r="D28" s="380"/>
      <c r="E28" s="363"/>
    </row>
    <row r="29" spans="1:5" s="388" customFormat="1" ht="12" customHeight="1">
      <c r="A29" s="340" t="s">
        <v>324</v>
      </c>
      <c r="B29" s="390" t="s">
        <v>753</v>
      </c>
      <c r="C29" s="379">
        <v>4200000</v>
      </c>
      <c r="D29" s="379">
        <v>4996285</v>
      </c>
      <c r="E29" s="362">
        <v>4996285</v>
      </c>
    </row>
    <row r="30" spans="1:5" s="388" customFormat="1" ht="12" customHeight="1">
      <c r="A30" s="340" t="s">
        <v>325</v>
      </c>
      <c r="B30" s="390" t="s">
        <v>730</v>
      </c>
      <c r="C30" s="379"/>
      <c r="D30" s="379"/>
      <c r="E30" s="362"/>
    </row>
    <row r="31" spans="1:5" s="388" customFormat="1" ht="12" customHeight="1">
      <c r="A31" s="340" t="s">
        <v>725</v>
      </c>
      <c r="B31" s="390" t="s">
        <v>731</v>
      </c>
      <c r="C31" s="379"/>
      <c r="D31" s="379"/>
      <c r="E31" s="362"/>
    </row>
    <row r="32" spans="1:5" s="388" customFormat="1" ht="12" customHeight="1">
      <c r="A32" s="340" t="s">
        <v>726</v>
      </c>
      <c r="B32" s="390" t="s">
        <v>326</v>
      </c>
      <c r="C32" s="379"/>
      <c r="D32" s="379"/>
      <c r="E32" s="362"/>
    </row>
    <row r="33" spans="1:5" s="388" customFormat="1" ht="12" customHeight="1" thickBot="1">
      <c r="A33" s="342" t="s">
        <v>727</v>
      </c>
      <c r="B33" s="370" t="s">
        <v>327</v>
      </c>
      <c r="C33" s="381"/>
      <c r="D33" s="381"/>
      <c r="E33" s="364"/>
    </row>
    <row r="34" spans="1:5" s="388" customFormat="1" ht="12" customHeight="1" thickBot="1">
      <c r="A34" s="346" t="s">
        <v>11</v>
      </c>
      <c r="B34" s="347" t="s">
        <v>328</v>
      </c>
      <c r="C34" s="378">
        <f>SUM(C35:C44)</f>
        <v>1476382</v>
      </c>
      <c r="D34" s="378">
        <f>SUM(D35:D44)</f>
        <v>1988413</v>
      </c>
      <c r="E34" s="361">
        <f>SUM(E35:E44)</f>
        <v>1799377</v>
      </c>
    </row>
    <row r="35" spans="1:5" s="388" customFormat="1" ht="12" customHeight="1">
      <c r="A35" s="341" t="s">
        <v>62</v>
      </c>
      <c r="B35" s="389" t="s">
        <v>329</v>
      </c>
      <c r="C35" s="380"/>
      <c r="D35" s="380"/>
      <c r="E35" s="363"/>
    </row>
    <row r="36" spans="1:5" s="388" customFormat="1" ht="12" customHeight="1">
      <c r="A36" s="340" t="s">
        <v>63</v>
      </c>
      <c r="B36" s="390" t="s">
        <v>330</v>
      </c>
      <c r="C36" s="379"/>
      <c r="D36" s="379"/>
      <c r="E36" s="362"/>
    </row>
    <row r="37" spans="1:5" s="388" customFormat="1" ht="12" customHeight="1">
      <c r="A37" s="340" t="s">
        <v>64</v>
      </c>
      <c r="B37" s="390" t="s">
        <v>331</v>
      </c>
      <c r="C37" s="379"/>
      <c r="D37" s="379"/>
      <c r="E37" s="362"/>
    </row>
    <row r="38" spans="1:5" s="388" customFormat="1" ht="12" customHeight="1">
      <c r="A38" s="340" t="s">
        <v>123</v>
      </c>
      <c r="B38" s="390" t="s">
        <v>332</v>
      </c>
      <c r="C38" s="379"/>
      <c r="D38" s="379"/>
      <c r="E38" s="362"/>
    </row>
    <row r="39" spans="1:5" s="388" customFormat="1" ht="12" customHeight="1">
      <c r="A39" s="340" t="s">
        <v>124</v>
      </c>
      <c r="B39" s="390" t="s">
        <v>333</v>
      </c>
      <c r="C39" s="379">
        <v>572750</v>
      </c>
      <c r="D39" s="379">
        <v>825312</v>
      </c>
      <c r="E39" s="362">
        <v>636276</v>
      </c>
    </row>
    <row r="40" spans="1:5" s="388" customFormat="1" ht="12" customHeight="1">
      <c r="A40" s="340" t="s">
        <v>125</v>
      </c>
      <c r="B40" s="390" t="s">
        <v>334</v>
      </c>
      <c r="C40" s="379">
        <f>903632</f>
        <v>903632</v>
      </c>
      <c r="D40" s="379">
        <v>1163071</v>
      </c>
      <c r="E40" s="362">
        <v>1163071</v>
      </c>
    </row>
    <row r="41" spans="1:5" s="388" customFormat="1" ht="12" customHeight="1">
      <c r="A41" s="340" t="s">
        <v>126</v>
      </c>
      <c r="B41" s="390" t="s">
        <v>335</v>
      </c>
      <c r="C41" s="379"/>
      <c r="D41" s="379"/>
      <c r="E41" s="362"/>
    </row>
    <row r="42" spans="1:5" s="388" customFormat="1" ht="12" customHeight="1">
      <c r="A42" s="340" t="s">
        <v>127</v>
      </c>
      <c r="B42" s="390" t="s">
        <v>336</v>
      </c>
      <c r="C42" s="379"/>
      <c r="D42" s="379">
        <v>30</v>
      </c>
      <c r="E42" s="362">
        <v>30</v>
      </c>
    </row>
    <row r="43" spans="1:5" s="388" customFormat="1" ht="12" customHeight="1">
      <c r="A43" s="340" t="s">
        <v>337</v>
      </c>
      <c r="B43" s="390" t="s">
        <v>338</v>
      </c>
      <c r="C43" s="382"/>
      <c r="D43" s="382"/>
      <c r="E43" s="365"/>
    </row>
    <row r="44" spans="1:5" s="388" customFormat="1" ht="12" customHeight="1" thickBot="1">
      <c r="A44" s="342" t="s">
        <v>339</v>
      </c>
      <c r="B44" s="391" t="s">
        <v>340</v>
      </c>
      <c r="C44" s="383"/>
      <c r="D44" s="383"/>
      <c r="E44" s="366"/>
    </row>
    <row r="45" spans="1:5" s="388" customFormat="1" ht="12" customHeight="1" thickBot="1">
      <c r="A45" s="346" t="s">
        <v>12</v>
      </c>
      <c r="B45" s="347" t="s">
        <v>341</v>
      </c>
      <c r="C45" s="378">
        <f>SUM(C46:C50)</f>
        <v>0</v>
      </c>
      <c r="D45" s="378">
        <f>SUM(D46:D50)</f>
        <v>0</v>
      </c>
      <c r="E45" s="361">
        <f>SUM(E46:E50)</f>
        <v>0</v>
      </c>
    </row>
    <row r="46" spans="1:5" s="388" customFormat="1" ht="12" customHeight="1">
      <c r="A46" s="341" t="s">
        <v>65</v>
      </c>
      <c r="B46" s="389" t="s">
        <v>342</v>
      </c>
      <c r="C46" s="399"/>
      <c r="D46" s="399"/>
      <c r="E46" s="367"/>
    </row>
    <row r="47" spans="1:5" s="388" customFormat="1" ht="12" customHeight="1">
      <c r="A47" s="340" t="s">
        <v>66</v>
      </c>
      <c r="B47" s="390" t="s">
        <v>343</v>
      </c>
      <c r="C47" s="382"/>
      <c r="D47" s="382"/>
      <c r="E47" s="365"/>
    </row>
    <row r="48" spans="1:5" s="388" customFormat="1" ht="12" customHeight="1">
      <c r="A48" s="340" t="s">
        <v>344</v>
      </c>
      <c r="B48" s="390" t="s">
        <v>345</v>
      </c>
      <c r="C48" s="382"/>
      <c r="D48" s="382"/>
      <c r="E48" s="365"/>
    </row>
    <row r="49" spans="1:5" s="388" customFormat="1" ht="12" customHeight="1">
      <c r="A49" s="340" t="s">
        <v>346</v>
      </c>
      <c r="B49" s="390" t="s">
        <v>347</v>
      </c>
      <c r="C49" s="382"/>
      <c r="D49" s="382"/>
      <c r="E49" s="365"/>
    </row>
    <row r="50" spans="1:5" s="388" customFormat="1" ht="12" customHeight="1" thickBot="1">
      <c r="A50" s="342" t="s">
        <v>348</v>
      </c>
      <c r="B50" s="391" t="s">
        <v>349</v>
      </c>
      <c r="C50" s="383"/>
      <c r="D50" s="383"/>
      <c r="E50" s="366"/>
    </row>
    <row r="51" spans="1:5" s="388" customFormat="1" ht="17.25" customHeight="1" thickBot="1">
      <c r="A51" s="346" t="s">
        <v>128</v>
      </c>
      <c r="B51" s="347" t="s">
        <v>350</v>
      </c>
      <c r="C51" s="378">
        <f>SUM(C52:C54)</f>
        <v>0</v>
      </c>
      <c r="D51" s="378">
        <f>SUM(D52:D54)</f>
        <v>0</v>
      </c>
      <c r="E51" s="361">
        <f>SUM(E52:E54)</f>
        <v>0</v>
      </c>
    </row>
    <row r="52" spans="1:5" s="388" customFormat="1" ht="12" customHeight="1">
      <c r="A52" s="341" t="s">
        <v>67</v>
      </c>
      <c r="B52" s="389" t="s">
        <v>351</v>
      </c>
      <c r="C52" s="380"/>
      <c r="D52" s="380"/>
      <c r="E52" s="363"/>
    </row>
    <row r="53" spans="1:5" s="388" customFormat="1" ht="12" customHeight="1">
      <c r="A53" s="340" t="s">
        <v>68</v>
      </c>
      <c r="B53" s="390" t="s">
        <v>352</v>
      </c>
      <c r="C53" s="379"/>
      <c r="D53" s="379"/>
      <c r="E53" s="362"/>
    </row>
    <row r="54" spans="1:5" s="388" customFormat="1" ht="12" customHeight="1">
      <c r="A54" s="340" t="s">
        <v>353</v>
      </c>
      <c r="B54" s="390" t="s">
        <v>354</v>
      </c>
      <c r="C54" s="379"/>
      <c r="D54" s="379"/>
      <c r="E54" s="362"/>
    </row>
    <row r="55" spans="1:5" s="388" customFormat="1" ht="12" customHeight="1" thickBot="1">
      <c r="A55" s="342" t="s">
        <v>355</v>
      </c>
      <c r="B55" s="391" t="s">
        <v>356</v>
      </c>
      <c r="C55" s="381"/>
      <c r="D55" s="381"/>
      <c r="E55" s="364"/>
    </row>
    <row r="56" spans="1:5" s="388" customFormat="1" ht="12" customHeight="1" thickBot="1">
      <c r="A56" s="346" t="s">
        <v>14</v>
      </c>
      <c r="B56" s="368" t="s">
        <v>357</v>
      </c>
      <c r="C56" s="378">
        <f>SUM(C57:C59)</f>
        <v>0</v>
      </c>
      <c r="D56" s="378">
        <f>SUM(D57:D59)</f>
        <v>0</v>
      </c>
      <c r="E56" s="361">
        <f>SUM(E57:E59)</f>
        <v>0</v>
      </c>
    </row>
    <row r="57" spans="1:5" s="388" customFormat="1" ht="12" customHeight="1">
      <c r="A57" s="341" t="s">
        <v>129</v>
      </c>
      <c r="B57" s="389" t="s">
        <v>358</v>
      </c>
      <c r="C57" s="382"/>
      <c r="D57" s="382"/>
      <c r="E57" s="365"/>
    </row>
    <row r="58" spans="1:5" s="388" customFormat="1" ht="12" customHeight="1">
      <c r="A58" s="340" t="s">
        <v>130</v>
      </c>
      <c r="B58" s="390" t="s">
        <v>359</v>
      </c>
      <c r="C58" s="382"/>
      <c r="D58" s="382"/>
      <c r="E58" s="365"/>
    </row>
    <row r="59" spans="1:5" s="388" customFormat="1" ht="12" customHeight="1">
      <c r="A59" s="340" t="s">
        <v>156</v>
      </c>
      <c r="B59" s="390" t="s">
        <v>360</v>
      </c>
      <c r="C59" s="382"/>
      <c r="D59" s="382"/>
      <c r="E59" s="365"/>
    </row>
    <row r="60" spans="1:5" s="388" customFormat="1" ht="12" customHeight="1" thickBot="1">
      <c r="A60" s="342" t="s">
        <v>361</v>
      </c>
      <c r="B60" s="391" t="s">
        <v>362</v>
      </c>
      <c r="C60" s="382"/>
      <c r="D60" s="382"/>
      <c r="E60" s="365"/>
    </row>
    <row r="61" spans="1:5" s="388" customFormat="1" ht="12" customHeight="1" thickBot="1">
      <c r="A61" s="346" t="s">
        <v>15</v>
      </c>
      <c r="B61" s="347" t="s">
        <v>363</v>
      </c>
      <c r="C61" s="384">
        <f>+C6+C13+C20+C27+C34+C45+C51+C56</f>
        <v>201090257</v>
      </c>
      <c r="D61" s="384">
        <f>+D6+D13+D20+D27+D34+D45+D51+D56</f>
        <v>226862648</v>
      </c>
      <c r="E61" s="397">
        <f>+E6+E13+E20+E27+E34+E45+E51+E56</f>
        <v>222212527</v>
      </c>
    </row>
    <row r="62" spans="1:5" s="388" customFormat="1" ht="12" customHeight="1" thickBot="1">
      <c r="A62" s="400" t="s">
        <v>364</v>
      </c>
      <c r="B62" s="368" t="s">
        <v>365</v>
      </c>
      <c r="C62" s="378">
        <f>+C63+C64+C65</f>
        <v>0</v>
      </c>
      <c r="D62" s="378">
        <f>+D63+D64+D65</f>
        <v>0</v>
      </c>
      <c r="E62" s="361">
        <f>+E63+E64+E65</f>
        <v>0</v>
      </c>
    </row>
    <row r="63" spans="1:5" s="388" customFormat="1" ht="12" customHeight="1">
      <c r="A63" s="341" t="s">
        <v>366</v>
      </c>
      <c r="B63" s="389" t="s">
        <v>367</v>
      </c>
      <c r="C63" s="382"/>
      <c r="D63" s="382"/>
      <c r="E63" s="365"/>
    </row>
    <row r="64" spans="1:5" s="388" customFormat="1" ht="12" customHeight="1">
      <c r="A64" s="340" t="s">
        <v>368</v>
      </c>
      <c r="B64" s="390" t="s">
        <v>369</v>
      </c>
      <c r="C64" s="382"/>
      <c r="D64" s="382"/>
      <c r="E64" s="365"/>
    </row>
    <row r="65" spans="1:5" s="388" customFormat="1" ht="12" customHeight="1" thickBot="1">
      <c r="A65" s="342" t="s">
        <v>370</v>
      </c>
      <c r="B65" s="326" t="s">
        <v>415</v>
      </c>
      <c r="C65" s="382"/>
      <c r="D65" s="382"/>
      <c r="E65" s="365"/>
    </row>
    <row r="66" spans="1:5" s="388" customFormat="1" ht="12" customHeight="1" thickBot="1">
      <c r="A66" s="400" t="s">
        <v>372</v>
      </c>
      <c r="B66" s="368" t="s">
        <v>373</v>
      </c>
      <c r="C66" s="378">
        <f>+C67+C68+C69+C70</f>
        <v>0</v>
      </c>
      <c r="D66" s="378">
        <f>+D67+D68+D69+D70</f>
        <v>0</v>
      </c>
      <c r="E66" s="361">
        <f>+E67+E68+E69+E70</f>
        <v>0</v>
      </c>
    </row>
    <row r="67" spans="1:5" s="388" customFormat="1" ht="13.5" customHeight="1">
      <c r="A67" s="341" t="s">
        <v>106</v>
      </c>
      <c r="B67" s="389" t="s">
        <v>374</v>
      </c>
      <c r="C67" s="382"/>
      <c r="D67" s="382"/>
      <c r="E67" s="365"/>
    </row>
    <row r="68" spans="1:5" s="388" customFormat="1" ht="12" customHeight="1">
      <c r="A68" s="340" t="s">
        <v>107</v>
      </c>
      <c r="B68" s="390" t="s">
        <v>375</v>
      </c>
      <c r="C68" s="382"/>
      <c r="D68" s="382"/>
      <c r="E68" s="365"/>
    </row>
    <row r="69" spans="1:5" s="388" customFormat="1" ht="12" customHeight="1">
      <c r="A69" s="340" t="s">
        <v>376</v>
      </c>
      <c r="B69" s="390" t="s">
        <v>377</v>
      </c>
      <c r="C69" s="382"/>
      <c r="D69" s="382"/>
      <c r="E69" s="365"/>
    </row>
    <row r="70" spans="1:5" s="388" customFormat="1" ht="12" customHeight="1" thickBot="1">
      <c r="A70" s="342" t="s">
        <v>378</v>
      </c>
      <c r="B70" s="391" t="s">
        <v>379</v>
      </c>
      <c r="C70" s="382"/>
      <c r="D70" s="382"/>
      <c r="E70" s="365"/>
    </row>
    <row r="71" spans="1:5" s="388" customFormat="1" ht="12" customHeight="1" thickBot="1">
      <c r="A71" s="400" t="s">
        <v>380</v>
      </c>
      <c r="B71" s="368" t="s">
        <v>381</v>
      </c>
      <c r="C71" s="378">
        <f>+C72+C74</f>
        <v>236106094</v>
      </c>
      <c r="D71" s="378">
        <f>+D72+D74</f>
        <v>236663453</v>
      </c>
      <c r="E71" s="361">
        <f>+E72+E74</f>
        <v>200649106</v>
      </c>
    </row>
    <row r="72" spans="1:5" s="388" customFormat="1" ht="12" customHeight="1">
      <c r="A72" s="341" t="s">
        <v>382</v>
      </c>
      <c r="B72" s="389" t="s">
        <v>383</v>
      </c>
      <c r="C72" s="382">
        <f>235983330+122764</f>
        <v>236106094</v>
      </c>
      <c r="D72" s="382">
        <f>235983330+680123</f>
        <v>236663453</v>
      </c>
      <c r="E72" s="365">
        <f>199968983+680123</f>
        <v>200649106</v>
      </c>
    </row>
    <row r="73" spans="1:5" s="388" customFormat="1" ht="12" customHeight="1">
      <c r="A73" s="341" t="s">
        <v>384</v>
      </c>
      <c r="B73" s="391" t="s">
        <v>385</v>
      </c>
      <c r="C73" s="382"/>
      <c r="D73" s="382"/>
      <c r="E73" s="365"/>
    </row>
    <row r="74" spans="1:5" s="388" customFormat="1" ht="12" customHeight="1" thickBot="1">
      <c r="A74" s="342" t="s">
        <v>754</v>
      </c>
      <c r="B74" s="391" t="s">
        <v>566</v>
      </c>
      <c r="C74" s="382"/>
      <c r="D74" s="382"/>
      <c r="E74" s="365"/>
    </row>
    <row r="75" spans="1:5" s="388" customFormat="1" ht="12" customHeight="1" thickBot="1">
      <c r="A75" s="400" t="s">
        <v>386</v>
      </c>
      <c r="B75" s="368" t="s">
        <v>387</v>
      </c>
      <c r="C75" s="378">
        <f>+C76+C77+C78</f>
        <v>0</v>
      </c>
      <c r="D75" s="378">
        <f>+D76+D77+D78</f>
        <v>5718007</v>
      </c>
      <c r="E75" s="361">
        <f>+E76+E77+E78</f>
        <v>5718007</v>
      </c>
    </row>
    <row r="76" spans="1:5" s="388" customFormat="1" ht="12" customHeight="1">
      <c r="A76" s="341" t="s">
        <v>388</v>
      </c>
      <c r="B76" s="389" t="s">
        <v>389</v>
      </c>
      <c r="C76" s="382"/>
      <c r="D76" s="382">
        <v>5718007</v>
      </c>
      <c r="E76" s="365">
        <v>5718007</v>
      </c>
    </row>
    <row r="77" spans="1:5" s="388" customFormat="1" ht="12" customHeight="1">
      <c r="A77" s="340" t="s">
        <v>390</v>
      </c>
      <c r="B77" s="390" t="s">
        <v>391</v>
      </c>
      <c r="C77" s="382"/>
      <c r="D77" s="382"/>
      <c r="E77" s="365"/>
    </row>
    <row r="78" spans="1:5" s="388" customFormat="1" ht="12" customHeight="1" thickBot="1">
      <c r="A78" s="342" t="s">
        <v>392</v>
      </c>
      <c r="B78" s="370" t="s">
        <v>393</v>
      </c>
      <c r="C78" s="382"/>
      <c r="D78" s="382"/>
      <c r="E78" s="365"/>
    </row>
    <row r="79" spans="1:5" s="388" customFormat="1" ht="12" customHeight="1" thickBot="1">
      <c r="A79" s="400" t="s">
        <v>394</v>
      </c>
      <c r="B79" s="368" t="s">
        <v>395</v>
      </c>
      <c r="C79" s="378">
        <f>+C80+C81+C82+C83</f>
        <v>0</v>
      </c>
      <c r="D79" s="378">
        <f>+D80+D81+D82+D83</f>
        <v>0</v>
      </c>
      <c r="E79" s="361">
        <f>+E80+E81+E82+E83</f>
        <v>0</v>
      </c>
    </row>
    <row r="80" spans="1:5" s="388" customFormat="1" ht="12" customHeight="1">
      <c r="A80" s="392" t="s">
        <v>396</v>
      </c>
      <c r="B80" s="389" t="s">
        <v>397</v>
      </c>
      <c r="C80" s="382"/>
      <c r="D80" s="382"/>
      <c r="E80" s="365"/>
    </row>
    <row r="81" spans="1:5" s="388" customFormat="1" ht="12" customHeight="1">
      <c r="A81" s="393" t="s">
        <v>398</v>
      </c>
      <c r="B81" s="390" t="s">
        <v>399</v>
      </c>
      <c r="C81" s="382"/>
      <c r="D81" s="382"/>
      <c r="E81" s="365"/>
    </row>
    <row r="82" spans="1:5" s="388" customFormat="1" ht="12" customHeight="1">
      <c r="A82" s="393" t="s">
        <v>400</v>
      </c>
      <c r="B82" s="390" t="s">
        <v>401</v>
      </c>
      <c r="C82" s="382"/>
      <c r="D82" s="382"/>
      <c r="E82" s="365"/>
    </row>
    <row r="83" spans="1:5" s="388" customFormat="1" ht="12" customHeight="1" thickBot="1">
      <c r="A83" s="401" t="s">
        <v>402</v>
      </c>
      <c r="B83" s="370" t="s">
        <v>403</v>
      </c>
      <c r="C83" s="382"/>
      <c r="D83" s="382"/>
      <c r="E83" s="365"/>
    </row>
    <row r="84" spans="1:5" s="388" customFormat="1" ht="12" customHeight="1" thickBot="1">
      <c r="A84" s="400" t="s">
        <v>404</v>
      </c>
      <c r="B84" s="368" t="s">
        <v>405</v>
      </c>
      <c r="C84" s="403"/>
      <c r="D84" s="403"/>
      <c r="E84" s="404"/>
    </row>
    <row r="85" spans="1:5" s="388" customFormat="1" ht="12" customHeight="1" thickBot="1">
      <c r="A85" s="400" t="s">
        <v>406</v>
      </c>
      <c r="B85" s="324" t="s">
        <v>407</v>
      </c>
      <c r="C85" s="384">
        <f>+C62+C66+C71+C75+C79+C84</f>
        <v>236106094</v>
      </c>
      <c r="D85" s="384">
        <f>+D62+D66+D71+D75+D79+D84</f>
        <v>242381460</v>
      </c>
      <c r="E85" s="397">
        <f>+E62+E66+E71+E75+E79+E84</f>
        <v>206367113</v>
      </c>
    </row>
    <row r="86" spans="1:5" s="388" customFormat="1" ht="21.75" thickBot="1">
      <c r="A86" s="402" t="s">
        <v>408</v>
      </c>
      <c r="B86" s="327" t="s">
        <v>409</v>
      </c>
      <c r="C86" s="384">
        <f>+C61+C85</f>
        <v>437196351</v>
      </c>
      <c r="D86" s="384">
        <f>+D61+D85</f>
        <v>469244108</v>
      </c>
      <c r="E86" s="397">
        <f>+E61+E85</f>
        <v>428579640</v>
      </c>
    </row>
    <row r="87" spans="1:5" s="388" customFormat="1" ht="12" customHeight="1">
      <c r="A87" s="322"/>
      <c r="B87" s="322"/>
      <c r="C87" s="323"/>
      <c r="D87" s="323"/>
      <c r="E87" s="323"/>
    </row>
    <row r="88" spans="1:5" ht="16.5" customHeight="1">
      <c r="A88" s="719" t="s">
        <v>36</v>
      </c>
      <c r="B88" s="719"/>
      <c r="C88" s="719"/>
      <c r="D88" s="719"/>
      <c r="E88" s="719"/>
    </row>
    <row r="89" spans="1:5" s="394" customFormat="1" ht="16.5" customHeight="1" thickBot="1">
      <c r="A89" s="47" t="s">
        <v>110</v>
      </c>
      <c r="B89" s="47"/>
      <c r="C89" s="355"/>
      <c r="D89" s="355"/>
      <c r="E89" s="355" t="str">
        <f>E2</f>
        <v>Forintban!</v>
      </c>
    </row>
    <row r="90" spans="1:5" s="394" customFormat="1" ht="16.5" customHeight="1">
      <c r="A90" s="720" t="s">
        <v>57</v>
      </c>
      <c r="B90" s="722" t="s">
        <v>173</v>
      </c>
      <c r="C90" s="724" t="str">
        <f>+C3</f>
        <v>2019. évi</v>
      </c>
      <c r="D90" s="724"/>
      <c r="E90" s="725"/>
    </row>
    <row r="91" spans="1:5" ht="37.5" customHeight="1" thickBot="1">
      <c r="A91" s="721"/>
      <c r="B91" s="723"/>
      <c r="C91" s="48" t="s">
        <v>174</v>
      </c>
      <c r="D91" s="48" t="s">
        <v>179</v>
      </c>
      <c r="E91" s="49" t="s">
        <v>180</v>
      </c>
    </row>
    <row r="92" spans="1:5" s="387" customFormat="1" ht="12" customHeight="1" thickBot="1">
      <c r="A92" s="351" t="s">
        <v>410</v>
      </c>
      <c r="B92" s="352" t="s">
        <v>411</v>
      </c>
      <c r="C92" s="352" t="s">
        <v>412</v>
      </c>
      <c r="D92" s="352" t="s">
        <v>413</v>
      </c>
      <c r="E92" s="353" t="s">
        <v>414</v>
      </c>
    </row>
    <row r="93" spans="1:5" ht="12" customHeight="1" thickBot="1">
      <c r="A93" s="348" t="s">
        <v>7</v>
      </c>
      <c r="B93" s="350" t="s">
        <v>416</v>
      </c>
      <c r="C93" s="377">
        <f>SUM(C94:C98)</f>
        <v>182088774</v>
      </c>
      <c r="D93" s="377">
        <f>SUM(D94:D98)</f>
        <v>239692527</v>
      </c>
      <c r="E93" s="332">
        <f>SUM(E94:E98)</f>
        <v>206453892</v>
      </c>
    </row>
    <row r="94" spans="1:5" ht="12" customHeight="1">
      <c r="A94" s="343" t="s">
        <v>69</v>
      </c>
      <c r="B94" s="336" t="s">
        <v>37</v>
      </c>
      <c r="C94" s="78">
        <f>55484050+28810000</f>
        <v>84294050</v>
      </c>
      <c r="D94" s="78">
        <f>64420050+29039056</f>
        <v>93459106</v>
      </c>
      <c r="E94" s="331">
        <f>60709860+28591172</f>
        <v>89301032</v>
      </c>
    </row>
    <row r="95" spans="1:5" ht="12" customHeight="1">
      <c r="A95" s="340" t="s">
        <v>70</v>
      </c>
      <c r="B95" s="334" t="s">
        <v>131</v>
      </c>
      <c r="C95" s="379">
        <f>11396350+5643000</f>
        <v>17039350</v>
      </c>
      <c r="D95" s="379">
        <f>11396350+5643000</f>
        <v>17039350</v>
      </c>
      <c r="E95" s="362">
        <f>9499603+5467279</f>
        <v>14966882</v>
      </c>
    </row>
    <row r="96" spans="1:5" ht="12" customHeight="1">
      <c r="A96" s="340" t="s">
        <v>71</v>
      </c>
      <c r="B96" s="334" t="s">
        <v>98</v>
      </c>
      <c r="C96" s="381">
        <f>42564000+13828800</f>
        <v>56392800</v>
      </c>
      <c r="D96" s="381">
        <f>86835983+14669134</f>
        <v>101505117</v>
      </c>
      <c r="E96" s="364">
        <f>72628940+13947280</f>
        <v>86576220</v>
      </c>
    </row>
    <row r="97" spans="1:5" ht="12" customHeight="1">
      <c r="A97" s="340" t="s">
        <v>72</v>
      </c>
      <c r="B97" s="337" t="s">
        <v>132</v>
      </c>
      <c r="C97" s="381">
        <f>24362574</f>
        <v>24362574</v>
      </c>
      <c r="D97" s="381">
        <f>27688954</f>
        <v>27688954</v>
      </c>
      <c r="E97" s="364">
        <f>15609758</f>
        <v>15609758</v>
      </c>
    </row>
    <row r="98" spans="1:5" ht="12" customHeight="1">
      <c r="A98" s="340" t="s">
        <v>81</v>
      </c>
      <c r="B98" s="345" t="s">
        <v>133</v>
      </c>
      <c r="C98" s="381"/>
      <c r="D98" s="381"/>
      <c r="E98" s="364"/>
    </row>
    <row r="99" spans="1:5" ht="12" customHeight="1">
      <c r="A99" s="340" t="s">
        <v>73</v>
      </c>
      <c r="B99" s="334" t="s">
        <v>417</v>
      </c>
      <c r="C99" s="381"/>
      <c r="D99" s="381"/>
      <c r="E99" s="364"/>
    </row>
    <row r="100" spans="1:5" ht="12" customHeight="1">
      <c r="A100" s="340" t="s">
        <v>74</v>
      </c>
      <c r="B100" s="357" t="s">
        <v>418</v>
      </c>
      <c r="C100" s="381"/>
      <c r="D100" s="381"/>
      <c r="E100" s="364"/>
    </row>
    <row r="101" spans="1:5" ht="12" customHeight="1">
      <c r="A101" s="340" t="s">
        <v>82</v>
      </c>
      <c r="B101" s="358" t="s">
        <v>419</v>
      </c>
      <c r="C101" s="381"/>
      <c r="D101" s="381"/>
      <c r="E101" s="364"/>
    </row>
    <row r="102" spans="1:5" ht="12" customHeight="1">
      <c r="A102" s="340" t="s">
        <v>83</v>
      </c>
      <c r="B102" s="358" t="s">
        <v>420</v>
      </c>
      <c r="C102" s="381"/>
      <c r="D102" s="381"/>
      <c r="E102" s="364"/>
    </row>
    <row r="103" spans="1:5" ht="12" customHeight="1">
      <c r="A103" s="340" t="s">
        <v>84</v>
      </c>
      <c r="B103" s="357" t="s">
        <v>421</v>
      </c>
      <c r="C103" s="381"/>
      <c r="D103" s="381"/>
      <c r="E103" s="364"/>
    </row>
    <row r="104" spans="1:5" ht="12" customHeight="1">
      <c r="A104" s="340" t="s">
        <v>85</v>
      </c>
      <c r="B104" s="357" t="s">
        <v>422</v>
      </c>
      <c r="C104" s="381"/>
      <c r="D104" s="381"/>
      <c r="E104" s="364"/>
    </row>
    <row r="105" spans="1:5" ht="12" customHeight="1">
      <c r="A105" s="340" t="s">
        <v>87</v>
      </c>
      <c r="B105" s="358" t="s">
        <v>423</v>
      </c>
      <c r="C105" s="381"/>
      <c r="D105" s="381"/>
      <c r="E105" s="364"/>
    </row>
    <row r="106" spans="1:5" ht="12" customHeight="1">
      <c r="A106" s="339" t="s">
        <v>134</v>
      </c>
      <c r="B106" s="359" t="s">
        <v>424</v>
      </c>
      <c r="C106" s="381"/>
      <c r="D106" s="381"/>
      <c r="E106" s="364"/>
    </row>
    <row r="107" spans="1:5" ht="12" customHeight="1">
      <c r="A107" s="340" t="s">
        <v>425</v>
      </c>
      <c r="B107" s="359" t="s">
        <v>426</v>
      </c>
      <c r="C107" s="381"/>
      <c r="D107" s="381"/>
      <c r="E107" s="364"/>
    </row>
    <row r="108" spans="1:5" ht="12" customHeight="1" thickBot="1">
      <c r="A108" s="344" t="s">
        <v>427</v>
      </c>
      <c r="B108" s="360" t="s">
        <v>428</v>
      </c>
      <c r="C108" s="79"/>
      <c r="D108" s="79"/>
      <c r="E108" s="325"/>
    </row>
    <row r="109" spans="1:5" ht="12" customHeight="1" thickBot="1">
      <c r="A109" s="346" t="s">
        <v>8</v>
      </c>
      <c r="B109" s="349" t="s">
        <v>429</v>
      </c>
      <c r="C109" s="378">
        <f>+C110+C112+C114</f>
        <v>0</v>
      </c>
      <c r="D109" s="378">
        <f>+D110+D112+D114</f>
        <v>0</v>
      </c>
      <c r="E109" s="361">
        <f>+E110+E112+E114</f>
        <v>0</v>
      </c>
    </row>
    <row r="110" spans="1:5" ht="12" customHeight="1">
      <c r="A110" s="341" t="s">
        <v>75</v>
      </c>
      <c r="B110" s="334" t="s">
        <v>155</v>
      </c>
      <c r="C110" s="380"/>
      <c r="D110" s="380"/>
      <c r="E110" s="363"/>
    </row>
    <row r="111" spans="1:5" ht="12" customHeight="1">
      <c r="A111" s="341" t="s">
        <v>76</v>
      </c>
      <c r="B111" s="338" t="s">
        <v>430</v>
      </c>
      <c r="C111" s="380"/>
      <c r="D111" s="380"/>
      <c r="E111" s="363"/>
    </row>
    <row r="112" spans="1:5" ht="15.75">
      <c r="A112" s="341" t="s">
        <v>77</v>
      </c>
      <c r="B112" s="338" t="s">
        <v>135</v>
      </c>
      <c r="C112" s="379"/>
      <c r="D112" s="379"/>
      <c r="E112" s="362"/>
    </row>
    <row r="113" spans="1:5" ht="12" customHeight="1">
      <c r="A113" s="341" t="s">
        <v>78</v>
      </c>
      <c r="B113" s="338" t="s">
        <v>431</v>
      </c>
      <c r="C113" s="379"/>
      <c r="D113" s="379"/>
      <c r="E113" s="362"/>
    </row>
    <row r="114" spans="1:5" ht="12" customHeight="1">
      <c r="A114" s="341" t="s">
        <v>79</v>
      </c>
      <c r="B114" s="370" t="s">
        <v>157</v>
      </c>
      <c r="C114" s="379"/>
      <c r="D114" s="379"/>
      <c r="E114" s="362"/>
    </row>
    <row r="115" spans="1:5" ht="21.75" customHeight="1">
      <c r="A115" s="341" t="s">
        <v>86</v>
      </c>
      <c r="B115" s="369" t="s">
        <v>432</v>
      </c>
      <c r="C115" s="379"/>
      <c r="D115" s="379"/>
      <c r="E115" s="362"/>
    </row>
    <row r="116" spans="1:5" ht="24" customHeight="1">
      <c r="A116" s="341" t="s">
        <v>88</v>
      </c>
      <c r="B116" s="385" t="s">
        <v>433</v>
      </c>
      <c r="C116" s="379"/>
      <c r="D116" s="379"/>
      <c r="E116" s="362"/>
    </row>
    <row r="117" spans="1:5" ht="12" customHeight="1">
      <c r="A117" s="341" t="s">
        <v>136</v>
      </c>
      <c r="B117" s="358" t="s">
        <v>420</v>
      </c>
      <c r="C117" s="379"/>
      <c r="D117" s="379"/>
      <c r="E117" s="362"/>
    </row>
    <row r="118" spans="1:5" ht="12" customHeight="1">
      <c r="A118" s="341" t="s">
        <v>137</v>
      </c>
      <c r="B118" s="358" t="s">
        <v>434</v>
      </c>
      <c r="C118" s="379"/>
      <c r="D118" s="379"/>
      <c r="E118" s="362"/>
    </row>
    <row r="119" spans="1:5" ht="12" customHeight="1">
      <c r="A119" s="341" t="s">
        <v>138</v>
      </c>
      <c r="B119" s="358" t="s">
        <v>435</v>
      </c>
      <c r="C119" s="379"/>
      <c r="D119" s="379"/>
      <c r="E119" s="362"/>
    </row>
    <row r="120" spans="1:5" s="405" customFormat="1" ht="12" customHeight="1">
      <c r="A120" s="341" t="s">
        <v>436</v>
      </c>
      <c r="B120" s="358" t="s">
        <v>423</v>
      </c>
      <c r="C120" s="379"/>
      <c r="D120" s="379"/>
      <c r="E120" s="362"/>
    </row>
    <row r="121" spans="1:5" ht="12" customHeight="1">
      <c r="A121" s="341" t="s">
        <v>437</v>
      </c>
      <c r="B121" s="358" t="s">
        <v>438</v>
      </c>
      <c r="C121" s="379"/>
      <c r="D121" s="379"/>
      <c r="E121" s="362"/>
    </row>
    <row r="122" spans="1:5" ht="12" customHeight="1" thickBot="1">
      <c r="A122" s="339" t="s">
        <v>439</v>
      </c>
      <c r="B122" s="358" t="s">
        <v>440</v>
      </c>
      <c r="C122" s="381"/>
      <c r="D122" s="381"/>
      <c r="E122" s="364"/>
    </row>
    <row r="123" spans="1:5" ht="12" customHeight="1" thickBot="1">
      <c r="A123" s="346" t="s">
        <v>9</v>
      </c>
      <c r="B123" s="354" t="s">
        <v>441</v>
      </c>
      <c r="C123" s="378">
        <f>+C124+C125</f>
        <v>0</v>
      </c>
      <c r="D123" s="378">
        <f>+D124+D125</f>
        <v>0</v>
      </c>
      <c r="E123" s="361">
        <f>+E124+E125</f>
        <v>0</v>
      </c>
    </row>
    <row r="124" spans="1:5" ht="12" customHeight="1">
      <c r="A124" s="341" t="s">
        <v>58</v>
      </c>
      <c r="B124" s="335" t="s">
        <v>45</v>
      </c>
      <c r="C124" s="380"/>
      <c r="D124" s="380"/>
      <c r="E124" s="363"/>
    </row>
    <row r="125" spans="1:5" ht="12" customHeight="1" thickBot="1">
      <c r="A125" s="342" t="s">
        <v>59</v>
      </c>
      <c r="B125" s="338" t="s">
        <v>46</v>
      </c>
      <c r="C125" s="381"/>
      <c r="D125" s="381"/>
      <c r="E125" s="364"/>
    </row>
    <row r="126" spans="1:5" ht="12" customHeight="1" thickBot="1">
      <c r="A126" s="346" t="s">
        <v>10</v>
      </c>
      <c r="B126" s="354" t="s">
        <v>442</v>
      </c>
      <c r="C126" s="378">
        <f>+C93+C109+C123</f>
        <v>182088774</v>
      </c>
      <c r="D126" s="378">
        <f>+D93+D109+D123</f>
        <v>239692527</v>
      </c>
      <c r="E126" s="361">
        <f>+E93+E109+E123</f>
        <v>206453892</v>
      </c>
    </row>
    <row r="127" spans="1:5" ht="12" customHeight="1" thickBot="1">
      <c r="A127" s="346" t="s">
        <v>11</v>
      </c>
      <c r="B127" s="354" t="s">
        <v>443</v>
      </c>
      <c r="C127" s="378">
        <f>+C128+C129+C130</f>
        <v>0</v>
      </c>
      <c r="D127" s="378">
        <f>+D128+D129+D130</f>
        <v>0</v>
      </c>
      <c r="E127" s="361">
        <f>+E128+E129+E130</f>
        <v>0</v>
      </c>
    </row>
    <row r="128" spans="1:5" ht="12" customHeight="1">
      <c r="A128" s="341" t="s">
        <v>62</v>
      </c>
      <c r="B128" s="335" t="s">
        <v>444</v>
      </c>
      <c r="C128" s="379"/>
      <c r="D128" s="379"/>
      <c r="E128" s="362"/>
    </row>
    <row r="129" spans="1:5" ht="12" customHeight="1">
      <c r="A129" s="341" t="s">
        <v>63</v>
      </c>
      <c r="B129" s="335" t="s">
        <v>445</v>
      </c>
      <c r="C129" s="379"/>
      <c r="D129" s="379"/>
      <c r="E129" s="362"/>
    </row>
    <row r="130" spans="1:5" ht="12" customHeight="1" thickBot="1">
      <c r="A130" s="339" t="s">
        <v>64</v>
      </c>
      <c r="B130" s="333" t="s">
        <v>446</v>
      </c>
      <c r="C130" s="379"/>
      <c r="D130" s="379"/>
      <c r="E130" s="362"/>
    </row>
    <row r="131" spans="1:5" ht="12" customHeight="1" thickBot="1">
      <c r="A131" s="346" t="s">
        <v>12</v>
      </c>
      <c r="B131" s="354" t="s">
        <v>447</v>
      </c>
      <c r="C131" s="378">
        <f>+C132+C133+C135+C134</f>
        <v>0</v>
      </c>
      <c r="D131" s="378">
        <f>+D132+D133+D135+D134</f>
        <v>0</v>
      </c>
      <c r="E131" s="361">
        <f>+E132+E133+E135+E134</f>
        <v>0</v>
      </c>
    </row>
    <row r="132" spans="1:5" ht="12" customHeight="1">
      <c r="A132" s="341" t="s">
        <v>65</v>
      </c>
      <c r="B132" s="335" t="s">
        <v>448</v>
      </c>
      <c r="C132" s="379"/>
      <c r="D132" s="379"/>
      <c r="E132" s="362"/>
    </row>
    <row r="133" spans="1:5" ht="12" customHeight="1">
      <c r="A133" s="341" t="s">
        <v>66</v>
      </c>
      <c r="B133" s="335" t="s">
        <v>449</v>
      </c>
      <c r="C133" s="379"/>
      <c r="D133" s="379"/>
      <c r="E133" s="362"/>
    </row>
    <row r="134" spans="1:5" ht="12" customHeight="1">
      <c r="A134" s="341" t="s">
        <v>344</v>
      </c>
      <c r="B134" s="335" t="s">
        <v>450</v>
      </c>
      <c r="C134" s="379"/>
      <c r="D134" s="379"/>
      <c r="E134" s="362"/>
    </row>
    <row r="135" spans="1:5" ht="12" customHeight="1" thickBot="1">
      <c r="A135" s="339" t="s">
        <v>346</v>
      </c>
      <c r="B135" s="333" t="s">
        <v>451</v>
      </c>
      <c r="C135" s="379"/>
      <c r="D135" s="379"/>
      <c r="E135" s="362"/>
    </row>
    <row r="136" spans="1:5" ht="12" customHeight="1" thickBot="1">
      <c r="A136" s="346" t="s">
        <v>13</v>
      </c>
      <c r="B136" s="354" t="s">
        <v>452</v>
      </c>
      <c r="C136" s="384">
        <f>+C137+C138+C140+C141+C139</f>
        <v>5167571</v>
      </c>
      <c r="D136" s="384">
        <f>+D137+D138+D140+D141+D139</f>
        <v>5167571</v>
      </c>
      <c r="E136" s="397">
        <f>+E137+E138+E140+E141+E139</f>
        <v>5167571</v>
      </c>
    </row>
    <row r="137" spans="1:5" ht="12" customHeight="1">
      <c r="A137" s="341" t="s">
        <v>67</v>
      </c>
      <c r="B137" s="335" t="s">
        <v>453</v>
      </c>
      <c r="C137" s="379"/>
      <c r="D137" s="379"/>
      <c r="E137" s="362"/>
    </row>
    <row r="138" spans="1:5" ht="12" customHeight="1">
      <c r="A138" s="341" t="s">
        <v>68</v>
      </c>
      <c r="B138" s="335" t="s">
        <v>454</v>
      </c>
      <c r="C138" s="379">
        <v>5167571</v>
      </c>
      <c r="D138" s="379">
        <v>5167571</v>
      </c>
      <c r="E138" s="362">
        <v>5167571</v>
      </c>
    </row>
    <row r="139" spans="1:5" ht="12" customHeight="1">
      <c r="A139" s="341" t="s">
        <v>353</v>
      </c>
      <c r="B139" s="335" t="s">
        <v>666</v>
      </c>
      <c r="C139" s="379"/>
      <c r="D139" s="379"/>
      <c r="E139" s="362"/>
    </row>
    <row r="140" spans="1:5" ht="12" customHeight="1">
      <c r="A140" s="341" t="s">
        <v>355</v>
      </c>
      <c r="B140" s="335" t="s">
        <v>455</v>
      </c>
      <c r="C140" s="379"/>
      <c r="D140" s="379"/>
      <c r="E140" s="362"/>
    </row>
    <row r="141" spans="1:5" ht="12" customHeight="1" thickBot="1">
      <c r="A141" s="339" t="s">
        <v>665</v>
      </c>
      <c r="B141" s="333" t="s">
        <v>456</v>
      </c>
      <c r="C141" s="379"/>
      <c r="D141" s="379"/>
      <c r="E141" s="362"/>
    </row>
    <row r="142" spans="1:9" ht="15" customHeight="1" thickBot="1">
      <c r="A142" s="346" t="s">
        <v>14</v>
      </c>
      <c r="B142" s="354" t="s">
        <v>457</v>
      </c>
      <c r="C142" s="80">
        <f>+C143+C144+C145+C146</f>
        <v>0</v>
      </c>
      <c r="D142" s="80">
        <f>+D143+D144+D145+D146</f>
        <v>0</v>
      </c>
      <c r="E142" s="330">
        <f>+E143+E144+E145+E146</f>
        <v>0</v>
      </c>
      <c r="F142" s="395"/>
      <c r="G142" s="396"/>
      <c r="H142" s="396"/>
      <c r="I142" s="396"/>
    </row>
    <row r="143" spans="1:5" s="388" customFormat="1" ht="12.75" customHeight="1">
      <c r="A143" s="341" t="s">
        <v>129</v>
      </c>
      <c r="B143" s="335" t="s">
        <v>458</v>
      </c>
      <c r="C143" s="379"/>
      <c r="D143" s="379"/>
      <c r="E143" s="362"/>
    </row>
    <row r="144" spans="1:5" ht="12.75" customHeight="1">
      <c r="A144" s="341" t="s">
        <v>130</v>
      </c>
      <c r="B144" s="335" t="s">
        <v>459</v>
      </c>
      <c r="C144" s="379"/>
      <c r="D144" s="379"/>
      <c r="E144" s="362"/>
    </row>
    <row r="145" spans="1:5" ht="12.75" customHeight="1">
      <c r="A145" s="341" t="s">
        <v>156</v>
      </c>
      <c r="B145" s="335" t="s">
        <v>460</v>
      </c>
      <c r="C145" s="379"/>
      <c r="D145" s="379"/>
      <c r="E145" s="362"/>
    </row>
    <row r="146" spans="1:5" ht="12.75" customHeight="1" thickBot="1">
      <c r="A146" s="341" t="s">
        <v>361</v>
      </c>
      <c r="B146" s="335" t="s">
        <v>461</v>
      </c>
      <c r="C146" s="379"/>
      <c r="D146" s="379"/>
      <c r="E146" s="362"/>
    </row>
    <row r="147" spans="1:5" ht="16.5" thickBot="1">
      <c r="A147" s="346" t="s">
        <v>15</v>
      </c>
      <c r="B147" s="354" t="s">
        <v>462</v>
      </c>
      <c r="C147" s="328">
        <f>+C127+C131+C136+C142</f>
        <v>5167571</v>
      </c>
      <c r="D147" s="328">
        <f>+D127+D131+D136+D142</f>
        <v>5167571</v>
      </c>
      <c r="E147" s="329">
        <f>+E127+E131+E136+E142</f>
        <v>5167571</v>
      </c>
    </row>
    <row r="148" spans="1:5" ht="16.5" thickBot="1">
      <c r="A148" s="371" t="s">
        <v>16</v>
      </c>
      <c r="B148" s="374" t="s">
        <v>463</v>
      </c>
      <c r="C148" s="328">
        <f>+C126+C147</f>
        <v>187256345</v>
      </c>
      <c r="D148" s="328">
        <f>+D126+D147</f>
        <v>244860098</v>
      </c>
      <c r="E148" s="329">
        <f>+E126+E147</f>
        <v>211621463</v>
      </c>
    </row>
    <row r="150" spans="1:5" ht="18.75" customHeight="1">
      <c r="A150" s="718" t="s">
        <v>464</v>
      </c>
      <c r="B150" s="718"/>
      <c r="C150" s="718"/>
      <c r="D150" s="718"/>
      <c r="E150" s="718"/>
    </row>
    <row r="151" spans="1:5" ht="13.5" customHeight="1" thickBot="1">
      <c r="A151" s="356" t="s">
        <v>111</v>
      </c>
      <c r="B151" s="356"/>
      <c r="C151" s="386"/>
      <c r="E151" s="373" t="str">
        <f>E89</f>
        <v>Forintban!</v>
      </c>
    </row>
    <row r="152" spans="1:5" ht="21.75" thickBot="1">
      <c r="A152" s="346">
        <v>1</v>
      </c>
      <c r="B152" s="349" t="s">
        <v>465</v>
      </c>
      <c r="C152" s="372">
        <f>+C61-C126</f>
        <v>19001483</v>
      </c>
      <c r="D152" s="372">
        <f>+D61-D126</f>
        <v>-12829879</v>
      </c>
      <c r="E152" s="372">
        <f>+E61-E126</f>
        <v>15758635</v>
      </c>
    </row>
    <row r="153" spans="1:5" ht="21.75" thickBot="1">
      <c r="A153" s="346" t="s">
        <v>8</v>
      </c>
      <c r="B153" s="349" t="s">
        <v>466</v>
      </c>
      <c r="C153" s="372">
        <f>+C85-C147</f>
        <v>230938523</v>
      </c>
      <c r="D153" s="372">
        <f>+D85-D147</f>
        <v>237213889</v>
      </c>
      <c r="E153" s="372">
        <f>+E85-E147</f>
        <v>201199542</v>
      </c>
    </row>
    <row r="154" ht="7.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spans="3:5" s="375" customFormat="1" ht="12.75" customHeight="1">
      <c r="C163" s="376"/>
      <c r="D163" s="376"/>
      <c r="E163" s="376"/>
    </row>
  </sheetData>
  <sheetProtection/>
  <mergeCells count="9">
    <mergeCell ref="A150:E150"/>
    <mergeCell ref="A1:E1"/>
    <mergeCell ref="A3:A4"/>
    <mergeCell ref="B3:B4"/>
    <mergeCell ref="C3:E3"/>
    <mergeCell ref="A88:E88"/>
    <mergeCell ref="A90:A91"/>
    <mergeCell ref="B90:B91"/>
    <mergeCell ref="C90:E90"/>
  </mergeCells>
  <printOptions horizontalCentered="1"/>
  <pageMargins left="0.7874015748031497" right="0.7874015748031497" top="1.4566929133858268" bottom="0.8661417322834646" header="0.7874015748031497" footer="0.5905511811023623"/>
  <pageSetup fitToHeight="0" fitToWidth="1" horizontalDpi="600" verticalDpi="600" orientation="portrait" paperSize="9" scale="81" r:id="rId1"/>
  <headerFooter alignWithMargins="0">
    <oddHeader>&amp;C&amp;"Times New Roman CE,Félkövér"&amp;12
Borsodszirák Község Önkormányzat
2019. ÉVI ZÁRSZÁMADÁS
KÖTELEZŐ FELADATAINAK MÉRLEGE 
&amp;R&amp;"Times New Roman CE,Félkövér dőlt"&amp;11 1.2. melléklet a 4/2020. (VI.30.) önkormányzati rendelethez</oddHeader>
  </headerFooter>
  <rowBreaks count="1" manualBreakCount="1">
    <brk id="87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A1:D30"/>
  <sheetViews>
    <sheetView view="pageLayout" zoomScaleNormal="175" workbookViewId="0" topLeftCell="A1">
      <selection activeCell="D22" sqref="D22"/>
    </sheetView>
  </sheetViews>
  <sheetFormatPr defaultColWidth="9.00390625" defaultRowHeight="12.75"/>
  <cols>
    <col min="1" max="1" width="5.875" style="191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20" customFormat="1" ht="15.75" thickBot="1">
      <c r="A1" s="139"/>
      <c r="D1" s="140">
        <f>'3. tájékoztató tábla'!H1</f>
        <v>0</v>
      </c>
    </row>
    <row r="2" spans="1:4" s="21" customFormat="1" ht="48" customHeight="1" thickBot="1">
      <c r="A2" s="178" t="s">
        <v>5</v>
      </c>
      <c r="B2" s="162" t="s">
        <v>6</v>
      </c>
      <c r="C2" s="162" t="s">
        <v>220</v>
      </c>
      <c r="D2" s="179" t="s">
        <v>221</v>
      </c>
    </row>
    <row r="3" spans="1:4" s="21" customFormat="1" ht="13.5" customHeight="1" thickBot="1">
      <c r="A3" s="180" t="s">
        <v>410</v>
      </c>
      <c r="B3" s="181" t="s">
        <v>411</v>
      </c>
      <c r="C3" s="181" t="s">
        <v>412</v>
      </c>
      <c r="D3" s="182" t="s">
        <v>413</v>
      </c>
    </row>
    <row r="4" spans="1:4" ht="18" customHeight="1">
      <c r="A4" s="183" t="s">
        <v>7</v>
      </c>
      <c r="B4" s="184" t="s">
        <v>222</v>
      </c>
      <c r="C4" s="667"/>
      <c r="D4" s="668"/>
    </row>
    <row r="5" spans="1:4" ht="18" customHeight="1">
      <c r="A5" s="185" t="s">
        <v>8</v>
      </c>
      <c r="B5" s="186" t="s">
        <v>223</v>
      </c>
      <c r="C5" s="669"/>
      <c r="D5" s="670"/>
    </row>
    <row r="6" spans="1:4" ht="18" customHeight="1">
      <c r="A6" s="185" t="s">
        <v>9</v>
      </c>
      <c r="B6" s="186" t="s">
        <v>224</v>
      </c>
      <c r="C6" s="669"/>
      <c r="D6" s="670"/>
    </row>
    <row r="7" spans="1:4" ht="18" customHeight="1">
      <c r="A7" s="185" t="s">
        <v>10</v>
      </c>
      <c r="B7" s="186" t="s">
        <v>225</v>
      </c>
      <c r="C7" s="669"/>
      <c r="D7" s="670"/>
    </row>
    <row r="8" spans="1:4" ht="18" customHeight="1">
      <c r="A8" s="187" t="s">
        <v>11</v>
      </c>
      <c r="B8" s="186" t="s">
        <v>226</v>
      </c>
      <c r="C8" s="669"/>
      <c r="D8" s="670"/>
    </row>
    <row r="9" spans="1:4" ht="18" customHeight="1">
      <c r="A9" s="185" t="s">
        <v>12</v>
      </c>
      <c r="B9" s="186" t="s">
        <v>227</v>
      </c>
      <c r="C9" s="669"/>
      <c r="D9" s="670"/>
    </row>
    <row r="10" spans="1:4" ht="18" customHeight="1">
      <c r="A10" s="187" t="s">
        <v>13</v>
      </c>
      <c r="B10" s="188" t="s">
        <v>228</v>
      </c>
      <c r="C10" s="669"/>
      <c r="D10" s="670"/>
    </row>
    <row r="11" spans="1:4" ht="18" customHeight="1">
      <c r="A11" s="187" t="s">
        <v>14</v>
      </c>
      <c r="B11" s="188" t="s">
        <v>229</v>
      </c>
      <c r="C11" s="669"/>
      <c r="D11" s="670"/>
    </row>
    <row r="12" spans="1:4" ht="18" customHeight="1">
      <c r="A12" s="185" t="s">
        <v>15</v>
      </c>
      <c r="B12" s="188" t="s">
        <v>230</v>
      </c>
      <c r="C12" s="669"/>
      <c r="D12" s="670"/>
    </row>
    <row r="13" spans="1:4" ht="18" customHeight="1">
      <c r="A13" s="187" t="s">
        <v>16</v>
      </c>
      <c r="B13" s="188" t="s">
        <v>231</v>
      </c>
      <c r="C13" s="669"/>
      <c r="D13" s="670"/>
    </row>
    <row r="14" spans="1:4" ht="22.5">
      <c r="A14" s="185" t="s">
        <v>17</v>
      </c>
      <c r="B14" s="188" t="s">
        <v>232</v>
      </c>
      <c r="C14" s="669"/>
      <c r="D14" s="670"/>
    </row>
    <row r="15" spans="1:4" ht="18" customHeight="1">
      <c r="A15" s="187" t="s">
        <v>18</v>
      </c>
      <c r="B15" s="186" t="s">
        <v>233</v>
      </c>
      <c r="C15" s="669"/>
      <c r="D15" s="670"/>
    </row>
    <row r="16" spans="1:4" ht="18" customHeight="1">
      <c r="A16" s="185" t="s">
        <v>19</v>
      </c>
      <c r="B16" s="186" t="s">
        <v>234</v>
      </c>
      <c r="C16" s="669"/>
      <c r="D16" s="670"/>
    </row>
    <row r="17" spans="1:4" ht="18" customHeight="1">
      <c r="A17" s="187" t="s">
        <v>20</v>
      </c>
      <c r="B17" s="186" t="s">
        <v>235</v>
      </c>
      <c r="C17" s="669"/>
      <c r="D17" s="670"/>
    </row>
    <row r="18" spans="1:4" ht="22.5">
      <c r="A18" s="185" t="s">
        <v>21</v>
      </c>
      <c r="B18" s="186" t="s">
        <v>751</v>
      </c>
      <c r="C18" s="669">
        <v>700000</v>
      </c>
      <c r="D18" s="670">
        <v>523700</v>
      </c>
    </row>
    <row r="19" spans="1:4" ht="18" customHeight="1">
      <c r="A19" s="187" t="s">
        <v>22</v>
      </c>
      <c r="B19" s="186" t="s">
        <v>236</v>
      </c>
      <c r="C19" s="669"/>
      <c r="D19" s="670"/>
    </row>
    <row r="20" spans="1:4" ht="18" customHeight="1">
      <c r="A20" s="185" t="s">
        <v>23</v>
      </c>
      <c r="B20" s="166"/>
      <c r="C20" s="669"/>
      <c r="D20" s="670"/>
    </row>
    <row r="21" spans="1:4" ht="18" customHeight="1">
      <c r="A21" s="187" t="s">
        <v>24</v>
      </c>
      <c r="B21" s="166"/>
      <c r="C21" s="669"/>
      <c r="D21" s="670"/>
    </row>
    <row r="22" spans="1:4" ht="18" customHeight="1">
      <c r="A22" s="185" t="s">
        <v>25</v>
      </c>
      <c r="B22" s="166"/>
      <c r="C22" s="669"/>
      <c r="D22" s="670"/>
    </row>
    <row r="23" spans="1:4" ht="18" customHeight="1">
      <c r="A23" s="187" t="s">
        <v>26</v>
      </c>
      <c r="B23" s="166"/>
      <c r="C23" s="669"/>
      <c r="D23" s="670"/>
    </row>
    <row r="24" spans="1:4" ht="18" customHeight="1">
      <c r="A24" s="185" t="s">
        <v>27</v>
      </c>
      <c r="B24" s="166"/>
      <c r="C24" s="669"/>
      <c r="D24" s="670"/>
    </row>
    <row r="25" spans="1:4" ht="18" customHeight="1">
      <c r="A25" s="187" t="s">
        <v>28</v>
      </c>
      <c r="B25" s="166"/>
      <c r="C25" s="669"/>
      <c r="D25" s="670"/>
    </row>
    <row r="26" spans="1:4" ht="18" customHeight="1">
      <c r="A26" s="185" t="s">
        <v>29</v>
      </c>
      <c r="B26" s="166"/>
      <c r="C26" s="669"/>
      <c r="D26" s="670"/>
    </row>
    <row r="27" spans="1:4" ht="18" customHeight="1">
      <c r="A27" s="187" t="s">
        <v>30</v>
      </c>
      <c r="B27" s="166"/>
      <c r="C27" s="669"/>
      <c r="D27" s="670"/>
    </row>
    <row r="28" spans="1:4" ht="18" customHeight="1" thickBot="1">
      <c r="A28" s="189" t="s">
        <v>31</v>
      </c>
      <c r="B28" s="172"/>
      <c r="C28" s="671"/>
      <c r="D28" s="672"/>
    </row>
    <row r="29" spans="1:4" ht="18" customHeight="1" thickBot="1">
      <c r="A29" s="280" t="s">
        <v>32</v>
      </c>
      <c r="B29" s="281" t="s">
        <v>40</v>
      </c>
      <c r="C29" s="673">
        <f>+C4+C5+C6+C7+C8+C15+C16+C17+C18+C19+C20+C21+C22+C23+C24+C25+C26+C27+C28</f>
        <v>700000</v>
      </c>
      <c r="D29" s="674">
        <f>+D4+D5+D6+D7+D8+D15+D16+D17+D18+D19+D20+D21+D22+D23+D24+D25+D26+D27+D28</f>
        <v>523700</v>
      </c>
    </row>
    <row r="30" spans="1:4" ht="25.5" customHeight="1">
      <c r="A30" s="190"/>
      <c r="B30" s="821" t="s">
        <v>237</v>
      </c>
      <c r="C30" s="821"/>
      <c r="D30" s="821"/>
    </row>
  </sheetData>
  <sheetProtection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4/2020. (VI.30.)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7030A0"/>
  </sheetPr>
  <dimension ref="A1:E36"/>
  <sheetViews>
    <sheetView view="pageLayout" zoomScaleNormal="115" workbookViewId="0" topLeftCell="A1">
      <selection activeCell="D5" sqref="D5"/>
    </sheetView>
  </sheetViews>
  <sheetFormatPr defaultColWidth="9.00390625" defaultRowHeight="12.75"/>
  <cols>
    <col min="1" max="1" width="6.625" style="8" customWidth="1"/>
    <col min="2" max="2" width="32.8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192"/>
      <c r="D1" s="192"/>
      <c r="E1" s="192">
        <f>'5. tájékoztató tábla'!D1</f>
        <v>0</v>
      </c>
    </row>
    <row r="2" spans="1:5" ht="42.75" customHeight="1" thickBot="1">
      <c r="A2" s="193" t="s">
        <v>57</v>
      </c>
      <c r="B2" s="194" t="s">
        <v>238</v>
      </c>
      <c r="C2" s="194" t="s">
        <v>239</v>
      </c>
      <c r="D2" s="195" t="s">
        <v>240</v>
      </c>
      <c r="E2" s="196" t="s">
        <v>241</v>
      </c>
    </row>
    <row r="3" spans="1:5" ht="15.75" customHeight="1">
      <c r="A3" s="197" t="s">
        <v>7</v>
      </c>
      <c r="B3" s="198"/>
      <c r="C3" s="198"/>
      <c r="D3" s="199"/>
      <c r="E3" s="200"/>
    </row>
    <row r="4" spans="1:5" ht="15.75" customHeight="1">
      <c r="A4" s="201" t="s">
        <v>8</v>
      </c>
      <c r="B4" s="202"/>
      <c r="C4" s="202"/>
      <c r="D4" s="203"/>
      <c r="E4" s="204"/>
    </row>
    <row r="5" spans="1:5" ht="15.75" customHeight="1">
      <c r="A5" s="201" t="s">
        <v>9</v>
      </c>
      <c r="B5" s="202"/>
      <c r="C5" s="202"/>
      <c r="D5" s="203"/>
      <c r="E5" s="204"/>
    </row>
    <row r="6" spans="1:5" ht="15.75" customHeight="1">
      <c r="A6" s="201" t="s">
        <v>10</v>
      </c>
      <c r="B6" s="202"/>
      <c r="C6" s="202"/>
      <c r="D6" s="203"/>
      <c r="E6" s="204"/>
    </row>
    <row r="7" spans="1:5" ht="15.75" customHeight="1">
      <c r="A7" s="201" t="s">
        <v>11</v>
      </c>
      <c r="B7" s="202"/>
      <c r="C7" s="202"/>
      <c r="D7" s="203"/>
      <c r="E7" s="204"/>
    </row>
    <row r="8" spans="1:5" ht="15.75" customHeight="1">
      <c r="A8" s="201" t="s">
        <v>12</v>
      </c>
      <c r="B8" s="202"/>
      <c r="C8" s="202"/>
      <c r="D8" s="203"/>
      <c r="E8" s="204"/>
    </row>
    <row r="9" spans="1:5" ht="15.75" customHeight="1">
      <c r="A9" s="201" t="s">
        <v>13</v>
      </c>
      <c r="B9" s="202"/>
      <c r="C9" s="202"/>
      <c r="D9" s="203"/>
      <c r="E9" s="204"/>
    </row>
    <row r="10" spans="1:5" ht="15.75" customHeight="1">
      <c r="A10" s="201" t="s">
        <v>14</v>
      </c>
      <c r="B10" s="202"/>
      <c r="C10" s="202"/>
      <c r="D10" s="203"/>
      <c r="E10" s="204"/>
    </row>
    <row r="11" spans="1:5" ht="15.75" customHeight="1">
      <c r="A11" s="201" t="s">
        <v>15</v>
      </c>
      <c r="B11" s="202"/>
      <c r="C11" s="202"/>
      <c r="D11" s="203"/>
      <c r="E11" s="204"/>
    </row>
    <row r="12" spans="1:5" ht="15.75" customHeight="1">
      <c r="A12" s="201" t="s">
        <v>16</v>
      </c>
      <c r="B12" s="202"/>
      <c r="C12" s="202"/>
      <c r="D12" s="203"/>
      <c r="E12" s="204"/>
    </row>
    <row r="13" spans="1:5" ht="15.75" customHeight="1">
      <c r="A13" s="201" t="s">
        <v>17</v>
      </c>
      <c r="B13" s="202"/>
      <c r="C13" s="202"/>
      <c r="D13" s="203"/>
      <c r="E13" s="204"/>
    </row>
    <row r="14" spans="1:5" ht="15.75" customHeight="1">
      <c r="A14" s="201" t="s">
        <v>18</v>
      </c>
      <c r="B14" s="202"/>
      <c r="C14" s="202"/>
      <c r="D14" s="203"/>
      <c r="E14" s="204"/>
    </row>
    <row r="15" spans="1:5" ht="15.75" customHeight="1">
      <c r="A15" s="201" t="s">
        <v>19</v>
      </c>
      <c r="B15" s="202"/>
      <c r="C15" s="202"/>
      <c r="D15" s="203"/>
      <c r="E15" s="204"/>
    </row>
    <row r="16" spans="1:5" ht="15.75" customHeight="1">
      <c r="A16" s="201" t="s">
        <v>20</v>
      </c>
      <c r="B16" s="202"/>
      <c r="C16" s="202"/>
      <c r="D16" s="203"/>
      <c r="E16" s="204"/>
    </row>
    <row r="17" spans="1:5" ht="15.75" customHeight="1">
      <c r="A17" s="201" t="s">
        <v>21</v>
      </c>
      <c r="B17" s="202"/>
      <c r="C17" s="202"/>
      <c r="D17" s="203"/>
      <c r="E17" s="204"/>
    </row>
    <row r="18" spans="1:5" ht="15.75" customHeight="1">
      <c r="A18" s="201" t="s">
        <v>22</v>
      </c>
      <c r="B18" s="202"/>
      <c r="C18" s="202"/>
      <c r="D18" s="203"/>
      <c r="E18" s="204"/>
    </row>
    <row r="19" spans="1:5" ht="15.75" customHeight="1">
      <c r="A19" s="201" t="s">
        <v>23</v>
      </c>
      <c r="B19" s="202"/>
      <c r="C19" s="202"/>
      <c r="D19" s="203"/>
      <c r="E19" s="204"/>
    </row>
    <row r="20" spans="1:5" ht="15.75" customHeight="1">
      <c r="A20" s="201" t="s">
        <v>24</v>
      </c>
      <c r="B20" s="202"/>
      <c r="C20" s="202"/>
      <c r="D20" s="203"/>
      <c r="E20" s="204"/>
    </row>
    <row r="21" spans="1:5" ht="15.75" customHeight="1">
      <c r="A21" s="201" t="s">
        <v>25</v>
      </c>
      <c r="B21" s="202"/>
      <c r="C21" s="202"/>
      <c r="D21" s="203"/>
      <c r="E21" s="204"/>
    </row>
    <row r="22" spans="1:5" ht="15.75" customHeight="1">
      <c r="A22" s="201" t="s">
        <v>26</v>
      </c>
      <c r="B22" s="202"/>
      <c r="C22" s="202"/>
      <c r="D22" s="203"/>
      <c r="E22" s="204"/>
    </row>
    <row r="23" spans="1:5" ht="15.75" customHeight="1">
      <c r="A23" s="201" t="s">
        <v>27</v>
      </c>
      <c r="B23" s="202"/>
      <c r="C23" s="202"/>
      <c r="D23" s="203"/>
      <c r="E23" s="204"/>
    </row>
    <row r="24" spans="1:5" ht="15.75" customHeight="1">
      <c r="A24" s="201" t="s">
        <v>28</v>
      </c>
      <c r="B24" s="202"/>
      <c r="C24" s="202"/>
      <c r="D24" s="203"/>
      <c r="E24" s="204"/>
    </row>
    <row r="25" spans="1:5" ht="15.75" customHeight="1">
      <c r="A25" s="201" t="s">
        <v>29</v>
      </c>
      <c r="B25" s="202"/>
      <c r="C25" s="202"/>
      <c r="D25" s="203"/>
      <c r="E25" s="204"/>
    </row>
    <row r="26" spans="1:5" ht="15.75" customHeight="1">
      <c r="A26" s="201" t="s">
        <v>30</v>
      </c>
      <c r="B26" s="202"/>
      <c r="C26" s="202"/>
      <c r="D26" s="203"/>
      <c r="E26" s="204"/>
    </row>
    <row r="27" spans="1:5" ht="15.75" customHeight="1">
      <c r="A27" s="201" t="s">
        <v>31</v>
      </c>
      <c r="B27" s="202"/>
      <c r="C27" s="202"/>
      <c r="D27" s="203"/>
      <c r="E27" s="204"/>
    </row>
    <row r="28" spans="1:5" ht="15.75" customHeight="1">
      <c r="A28" s="201" t="s">
        <v>32</v>
      </c>
      <c r="B28" s="202"/>
      <c r="C28" s="202"/>
      <c r="D28" s="203"/>
      <c r="E28" s="204"/>
    </row>
    <row r="29" spans="1:5" ht="15.75" customHeight="1">
      <c r="A29" s="201" t="s">
        <v>33</v>
      </c>
      <c r="B29" s="202"/>
      <c r="C29" s="202"/>
      <c r="D29" s="203"/>
      <c r="E29" s="204"/>
    </row>
    <row r="30" spans="1:5" ht="15.75" customHeight="1">
      <c r="A30" s="201" t="s">
        <v>34</v>
      </c>
      <c r="B30" s="202"/>
      <c r="C30" s="202"/>
      <c r="D30" s="203"/>
      <c r="E30" s="204"/>
    </row>
    <row r="31" spans="1:5" ht="15.75" customHeight="1">
      <c r="A31" s="201" t="s">
        <v>35</v>
      </c>
      <c r="B31" s="202"/>
      <c r="C31" s="202"/>
      <c r="D31" s="203"/>
      <c r="E31" s="204"/>
    </row>
    <row r="32" spans="1:5" ht="15.75" customHeight="1">
      <c r="A32" s="201" t="s">
        <v>89</v>
      </c>
      <c r="B32" s="202"/>
      <c r="C32" s="202"/>
      <c r="D32" s="203"/>
      <c r="E32" s="204"/>
    </row>
    <row r="33" spans="1:5" ht="15.75" customHeight="1">
      <c r="A33" s="201" t="s">
        <v>183</v>
      </c>
      <c r="B33" s="202"/>
      <c r="C33" s="202"/>
      <c r="D33" s="203"/>
      <c r="E33" s="204"/>
    </row>
    <row r="34" spans="1:5" ht="15.75" customHeight="1">
      <c r="A34" s="201" t="s">
        <v>242</v>
      </c>
      <c r="B34" s="202"/>
      <c r="C34" s="202"/>
      <c r="D34" s="203"/>
      <c r="E34" s="204"/>
    </row>
    <row r="35" spans="1:5" ht="15.75" customHeight="1" thickBot="1">
      <c r="A35" s="205" t="s">
        <v>243</v>
      </c>
      <c r="B35" s="206"/>
      <c r="C35" s="206"/>
      <c r="D35" s="207"/>
      <c r="E35" s="208"/>
    </row>
    <row r="36" spans="1:5" ht="15.75" customHeight="1" thickBot="1">
      <c r="A36" s="822" t="s">
        <v>40</v>
      </c>
      <c r="B36" s="823"/>
      <c r="C36" s="209"/>
      <c r="D36" s="210">
        <f>SUM(D3:D35)</f>
        <v>0</v>
      </c>
      <c r="E36" s="211">
        <f>SUM(E3:E35)</f>
        <v>0</v>
      </c>
    </row>
  </sheetData>
  <sheetProtection sheet="1" objects="1" scenarios="1"/>
  <mergeCells count="1">
    <mergeCell ref="A36:B36"/>
  </mergeCells>
  <printOptions horizontalCentered="1"/>
  <pageMargins left="0.7874015748031497" right="0.7874015748031497" top="1.8109375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NEMLEGES
K I M U T A T Á S
a 2019. évi céljelleggel juttatott támogatások felhasználásáról&amp;R&amp;"Times New Roman CE,Félkövér dőlt"&amp;11 6. tájékoztató tábla a 4/2020. (VI.30.)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7030A0"/>
  </sheetPr>
  <dimension ref="A1:E73"/>
  <sheetViews>
    <sheetView view="pageLayout" zoomScaleNormal="130" zoomScaleSheetLayoutView="120" workbookViewId="0" topLeftCell="A1">
      <selection activeCell="C9" sqref="C9"/>
    </sheetView>
  </sheetViews>
  <sheetFormatPr defaultColWidth="12.00390625" defaultRowHeight="12.75"/>
  <cols>
    <col min="1" max="1" width="67.125" style="596" customWidth="1"/>
    <col min="2" max="2" width="6.125" style="597" customWidth="1"/>
    <col min="3" max="4" width="12.125" style="596" customWidth="1"/>
    <col min="5" max="5" width="12.125" style="612" customWidth="1"/>
    <col min="6" max="16384" width="12.00390625" style="596" customWidth="1"/>
  </cols>
  <sheetData>
    <row r="1" spans="1:5" ht="49.5" customHeight="1">
      <c r="A1" s="825" t="str">
        <f>+CONCATENATE("VAGYONKIMUTATÁS",CHAR(10),"a könyvviteli mérlegben értékkel szereplő eszközökről",CHAR(10),LEFT(ÖSSZEFÜGGÉSEK!A4,4),".")</f>
        <v>VAGYONKIMUTATÁS
a könyvviteli mérlegben értékkel szereplő eszközökről
2019.</v>
      </c>
      <c r="B1" s="826"/>
      <c r="C1" s="826"/>
      <c r="D1" s="826"/>
      <c r="E1" s="826"/>
    </row>
    <row r="2" spans="3:5" ht="16.5" thickBot="1">
      <c r="C2" s="827">
        <f>'6. tájékoztató tábla'!E1</f>
        <v>0</v>
      </c>
      <c r="D2" s="827"/>
      <c r="E2" s="827"/>
    </row>
    <row r="3" spans="1:5" ht="15.75" customHeight="1">
      <c r="A3" s="828" t="s">
        <v>244</v>
      </c>
      <c r="B3" s="831" t="s">
        <v>245</v>
      </c>
      <c r="C3" s="834" t="s">
        <v>246</v>
      </c>
      <c r="D3" s="834" t="s">
        <v>247</v>
      </c>
      <c r="E3" s="836" t="s">
        <v>248</v>
      </c>
    </row>
    <row r="4" spans="1:5" ht="11.25" customHeight="1">
      <c r="A4" s="829"/>
      <c r="B4" s="832"/>
      <c r="C4" s="835"/>
      <c r="D4" s="835"/>
      <c r="E4" s="837"/>
    </row>
    <row r="5" spans="1:5" ht="15.75">
      <c r="A5" s="830"/>
      <c r="B5" s="833"/>
      <c r="C5" s="838" t="s">
        <v>249</v>
      </c>
      <c r="D5" s="838"/>
      <c r="E5" s="839"/>
    </row>
    <row r="6" spans="1:5" s="601" customFormat="1" ht="16.5" thickBot="1">
      <c r="A6" s="598" t="s">
        <v>648</v>
      </c>
      <c r="B6" s="599" t="s">
        <v>411</v>
      </c>
      <c r="C6" s="599" t="s">
        <v>412</v>
      </c>
      <c r="D6" s="599" t="s">
        <v>413</v>
      </c>
      <c r="E6" s="600" t="s">
        <v>414</v>
      </c>
    </row>
    <row r="7" spans="1:5" s="604" customFormat="1" ht="15.75">
      <c r="A7" s="602" t="s">
        <v>586</v>
      </c>
      <c r="B7" s="603" t="s">
        <v>250</v>
      </c>
      <c r="C7" s="675">
        <v>1492499</v>
      </c>
      <c r="D7" s="675">
        <v>523</v>
      </c>
      <c r="E7" s="676"/>
    </row>
    <row r="8" spans="1:5" s="604" customFormat="1" ht="15.75">
      <c r="A8" s="605" t="s">
        <v>587</v>
      </c>
      <c r="B8" s="224" t="s">
        <v>251</v>
      </c>
      <c r="C8" s="677">
        <f>+C9+C14+C19+C24+C29</f>
        <v>1479462026</v>
      </c>
      <c r="D8" s="677">
        <f>+D9+D14+D19+D24+D29</f>
        <v>1031875328</v>
      </c>
      <c r="E8" s="678">
        <f>+E9+E14+E19+E24+E29</f>
        <v>0</v>
      </c>
    </row>
    <row r="9" spans="1:5" s="604" customFormat="1" ht="15.75">
      <c r="A9" s="605" t="s">
        <v>588</v>
      </c>
      <c r="B9" s="224" t="s">
        <v>252</v>
      </c>
      <c r="C9" s="677">
        <v>1346146618</v>
      </c>
      <c r="D9" s="677">
        <v>985850911</v>
      </c>
      <c r="E9" s="678">
        <f>+E10+E11+E12+E13</f>
        <v>0</v>
      </c>
    </row>
    <row r="10" spans="1:5" s="604" customFormat="1" ht="15.75">
      <c r="A10" s="606" t="s">
        <v>589</v>
      </c>
      <c r="B10" s="224" t="s">
        <v>253</v>
      </c>
      <c r="C10" s="679"/>
      <c r="D10" s="679"/>
      <c r="E10" s="680"/>
    </row>
    <row r="11" spans="1:5" s="604" customFormat="1" ht="26.25" customHeight="1">
      <c r="A11" s="606" t="s">
        <v>590</v>
      </c>
      <c r="B11" s="224" t="s">
        <v>254</v>
      </c>
      <c r="C11" s="681"/>
      <c r="D11" s="681"/>
      <c r="E11" s="682"/>
    </row>
    <row r="12" spans="1:5" s="604" customFormat="1" ht="22.5">
      <c r="A12" s="606" t="s">
        <v>591</v>
      </c>
      <c r="B12" s="224" t="s">
        <v>255</v>
      </c>
      <c r="C12" s="681"/>
      <c r="D12" s="681"/>
      <c r="E12" s="682"/>
    </row>
    <row r="13" spans="1:5" s="604" customFormat="1" ht="15.75">
      <c r="A13" s="606" t="s">
        <v>592</v>
      </c>
      <c r="B13" s="224" t="s">
        <v>256</v>
      </c>
      <c r="C13" s="681"/>
      <c r="D13" s="681"/>
      <c r="E13" s="682"/>
    </row>
    <row r="14" spans="1:5" s="604" customFormat="1" ht="15.75">
      <c r="A14" s="605" t="s">
        <v>593</v>
      </c>
      <c r="B14" s="224" t="s">
        <v>257</v>
      </c>
      <c r="C14" s="683">
        <v>96166416</v>
      </c>
      <c r="D14" s="683">
        <v>8875425</v>
      </c>
      <c r="E14" s="684">
        <f>+E15+E16+E17+E18</f>
        <v>0</v>
      </c>
    </row>
    <row r="15" spans="1:5" s="604" customFormat="1" ht="15.75">
      <c r="A15" s="606" t="s">
        <v>594</v>
      </c>
      <c r="B15" s="224" t="s">
        <v>258</v>
      </c>
      <c r="C15" s="681"/>
      <c r="D15" s="681"/>
      <c r="E15" s="682"/>
    </row>
    <row r="16" spans="1:5" s="604" customFormat="1" ht="22.5">
      <c r="A16" s="606" t="s">
        <v>595</v>
      </c>
      <c r="B16" s="224" t="s">
        <v>16</v>
      </c>
      <c r="C16" s="681"/>
      <c r="D16" s="681"/>
      <c r="E16" s="682"/>
    </row>
    <row r="17" spans="1:5" s="604" customFormat="1" ht="15.75">
      <c r="A17" s="606" t="s">
        <v>596</v>
      </c>
      <c r="B17" s="224" t="s">
        <v>17</v>
      </c>
      <c r="C17" s="681"/>
      <c r="D17" s="681"/>
      <c r="E17" s="682"/>
    </row>
    <row r="18" spans="1:5" s="604" customFormat="1" ht="15.75">
      <c r="A18" s="606" t="s">
        <v>597</v>
      </c>
      <c r="B18" s="224" t="s">
        <v>18</v>
      </c>
      <c r="C18" s="681"/>
      <c r="D18" s="681"/>
      <c r="E18" s="682"/>
    </row>
    <row r="19" spans="1:5" s="604" customFormat="1" ht="15.75">
      <c r="A19" s="605" t="s">
        <v>598</v>
      </c>
      <c r="B19" s="224" t="s">
        <v>19</v>
      </c>
      <c r="C19" s="683">
        <f>+C20+C21+C22+C23</f>
        <v>0</v>
      </c>
      <c r="D19" s="683">
        <f>+D20+D21+D22+D23</f>
        <v>0</v>
      </c>
      <c r="E19" s="684">
        <f>+E20+E21+E22+E23</f>
        <v>0</v>
      </c>
    </row>
    <row r="20" spans="1:5" s="604" customFormat="1" ht="15.75">
      <c r="A20" s="606" t="s">
        <v>599</v>
      </c>
      <c r="B20" s="224" t="s">
        <v>20</v>
      </c>
      <c r="C20" s="681"/>
      <c r="D20" s="681"/>
      <c r="E20" s="682"/>
    </row>
    <row r="21" spans="1:5" s="604" customFormat="1" ht="15.75">
      <c r="A21" s="606" t="s">
        <v>600</v>
      </c>
      <c r="B21" s="224" t="s">
        <v>21</v>
      </c>
      <c r="C21" s="681"/>
      <c r="D21" s="681"/>
      <c r="E21" s="682"/>
    </row>
    <row r="22" spans="1:5" s="604" customFormat="1" ht="15.75">
      <c r="A22" s="606" t="s">
        <v>601</v>
      </c>
      <c r="B22" s="224" t="s">
        <v>22</v>
      </c>
      <c r="C22" s="681"/>
      <c r="D22" s="681"/>
      <c r="E22" s="682"/>
    </row>
    <row r="23" spans="1:5" s="604" customFormat="1" ht="15.75">
      <c r="A23" s="606" t="s">
        <v>602</v>
      </c>
      <c r="B23" s="224" t="s">
        <v>23</v>
      </c>
      <c r="C23" s="681"/>
      <c r="D23" s="681"/>
      <c r="E23" s="682"/>
    </row>
    <row r="24" spans="1:5" s="604" customFormat="1" ht="15.75">
      <c r="A24" s="605" t="s">
        <v>603</v>
      </c>
      <c r="B24" s="224" t="s">
        <v>24</v>
      </c>
      <c r="C24" s="683">
        <v>37148992</v>
      </c>
      <c r="D24" s="683">
        <v>37148992</v>
      </c>
      <c r="E24" s="684">
        <f>+E25+E26+E27+E28</f>
        <v>0</v>
      </c>
    </row>
    <row r="25" spans="1:5" s="604" customFormat="1" ht="15.75">
      <c r="A25" s="606" t="s">
        <v>604</v>
      </c>
      <c r="B25" s="224" t="s">
        <v>25</v>
      </c>
      <c r="C25" s="681"/>
      <c r="D25" s="681"/>
      <c r="E25" s="682"/>
    </row>
    <row r="26" spans="1:5" s="604" customFormat="1" ht="15.75">
      <c r="A26" s="606" t="s">
        <v>605</v>
      </c>
      <c r="B26" s="224" t="s">
        <v>26</v>
      </c>
      <c r="C26" s="681"/>
      <c r="D26" s="681"/>
      <c r="E26" s="682"/>
    </row>
    <row r="27" spans="1:5" s="604" customFormat="1" ht="15.75">
      <c r="A27" s="606" t="s">
        <v>606</v>
      </c>
      <c r="B27" s="224" t="s">
        <v>27</v>
      </c>
      <c r="C27" s="681"/>
      <c r="D27" s="681"/>
      <c r="E27" s="682"/>
    </row>
    <row r="28" spans="1:5" s="604" customFormat="1" ht="15.75">
      <c r="A28" s="606" t="s">
        <v>607</v>
      </c>
      <c r="B28" s="224" t="s">
        <v>28</v>
      </c>
      <c r="C28" s="681"/>
      <c r="D28" s="681"/>
      <c r="E28" s="682"/>
    </row>
    <row r="29" spans="1:5" s="604" customFormat="1" ht="15.75">
      <c r="A29" s="605" t="s">
        <v>608</v>
      </c>
      <c r="B29" s="224" t="s">
        <v>29</v>
      </c>
      <c r="C29" s="683">
        <f>+C30+C31+C32+C33</f>
        <v>0</v>
      </c>
      <c r="D29" s="683">
        <f>+D30+D31+D32+D33</f>
        <v>0</v>
      </c>
      <c r="E29" s="684">
        <f>+E30+E31+E32+E33</f>
        <v>0</v>
      </c>
    </row>
    <row r="30" spans="1:5" s="604" customFormat="1" ht="15.75">
      <c r="A30" s="606" t="s">
        <v>609</v>
      </c>
      <c r="B30" s="224" t="s">
        <v>30</v>
      </c>
      <c r="C30" s="681"/>
      <c r="D30" s="681"/>
      <c r="E30" s="682"/>
    </row>
    <row r="31" spans="1:5" s="604" customFormat="1" ht="22.5">
      <c r="A31" s="606" t="s">
        <v>610</v>
      </c>
      <c r="B31" s="224" t="s">
        <v>31</v>
      </c>
      <c r="C31" s="681"/>
      <c r="D31" s="681"/>
      <c r="E31" s="682"/>
    </row>
    <row r="32" spans="1:5" s="604" customFormat="1" ht="15.75">
      <c r="A32" s="606" t="s">
        <v>611</v>
      </c>
      <c r="B32" s="224" t="s">
        <v>32</v>
      </c>
      <c r="C32" s="681"/>
      <c r="D32" s="681"/>
      <c r="E32" s="682"/>
    </row>
    <row r="33" spans="1:5" s="604" customFormat="1" ht="15.75">
      <c r="A33" s="606" t="s">
        <v>612</v>
      </c>
      <c r="B33" s="224" t="s">
        <v>33</v>
      </c>
      <c r="C33" s="681"/>
      <c r="D33" s="681"/>
      <c r="E33" s="682"/>
    </row>
    <row r="34" spans="1:5" s="604" customFormat="1" ht="15.75">
      <c r="A34" s="605" t="s">
        <v>613</v>
      </c>
      <c r="B34" s="224" t="s">
        <v>34</v>
      </c>
      <c r="C34" s="683">
        <f>C35+C40+C45</f>
        <v>98500</v>
      </c>
      <c r="D34" s="683">
        <f>+D35+D40+D45</f>
        <v>48500</v>
      </c>
      <c r="E34" s="684">
        <f>+E35+E40+E45</f>
        <v>0</v>
      </c>
    </row>
    <row r="35" spans="1:5" s="604" customFormat="1" ht="15.75">
      <c r="A35" s="605" t="s">
        <v>614</v>
      </c>
      <c r="B35" s="224" t="s">
        <v>35</v>
      </c>
      <c r="C35" s="683">
        <v>98500</v>
      </c>
      <c r="D35" s="683">
        <f>+D36+D37+D38+D39</f>
        <v>48500</v>
      </c>
      <c r="E35" s="684">
        <f>+E36+E37+E38+E39</f>
        <v>0</v>
      </c>
    </row>
    <row r="36" spans="1:5" s="604" customFormat="1" ht="15.75">
      <c r="A36" s="606" t="s">
        <v>615</v>
      </c>
      <c r="B36" s="224" t="s">
        <v>89</v>
      </c>
      <c r="C36" s="681"/>
      <c r="D36" s="681"/>
      <c r="E36" s="682"/>
    </row>
    <row r="37" spans="1:5" s="604" customFormat="1" ht="15.75">
      <c r="A37" s="606" t="s">
        <v>616</v>
      </c>
      <c r="B37" s="224" t="s">
        <v>183</v>
      </c>
      <c r="C37" s="681"/>
      <c r="D37" s="681"/>
      <c r="E37" s="682"/>
    </row>
    <row r="38" spans="1:5" s="604" customFormat="1" ht="15.75">
      <c r="A38" s="606" t="s">
        <v>617</v>
      </c>
      <c r="B38" s="224" t="s">
        <v>242</v>
      </c>
      <c r="C38" s="681">
        <v>48500</v>
      </c>
      <c r="D38" s="681">
        <v>48500</v>
      </c>
      <c r="E38" s="682"/>
    </row>
    <row r="39" spans="1:5" s="604" customFormat="1" ht="15.75">
      <c r="A39" s="606" t="s">
        <v>618</v>
      </c>
      <c r="B39" s="224" t="s">
        <v>243</v>
      </c>
      <c r="C39" s="681"/>
      <c r="D39" s="681"/>
      <c r="E39" s="682"/>
    </row>
    <row r="40" spans="1:5" s="604" customFormat="1" ht="15.75">
      <c r="A40" s="605" t="s">
        <v>619</v>
      </c>
      <c r="B40" s="224" t="s">
        <v>259</v>
      </c>
      <c r="C40" s="683">
        <f>+C41+C42+C43+C44</f>
        <v>0</v>
      </c>
      <c r="D40" s="683">
        <f>+D41+D42+D43+D44</f>
        <v>0</v>
      </c>
      <c r="E40" s="684">
        <f>+E41+E42+E43+E44</f>
        <v>0</v>
      </c>
    </row>
    <row r="41" spans="1:5" s="604" customFormat="1" ht="15.75">
      <c r="A41" s="606" t="s">
        <v>620</v>
      </c>
      <c r="B41" s="224" t="s">
        <v>260</v>
      </c>
      <c r="C41" s="681"/>
      <c r="D41" s="681"/>
      <c r="E41" s="682"/>
    </row>
    <row r="42" spans="1:5" s="604" customFormat="1" ht="22.5">
      <c r="A42" s="606" t="s">
        <v>621</v>
      </c>
      <c r="B42" s="224" t="s">
        <v>261</v>
      </c>
      <c r="C42" s="681"/>
      <c r="D42" s="681"/>
      <c r="E42" s="682"/>
    </row>
    <row r="43" spans="1:5" s="604" customFormat="1" ht="15.75">
      <c r="A43" s="606" t="s">
        <v>622</v>
      </c>
      <c r="B43" s="224" t="s">
        <v>262</v>
      </c>
      <c r="C43" s="681"/>
      <c r="D43" s="681"/>
      <c r="E43" s="682"/>
    </row>
    <row r="44" spans="1:5" s="604" customFormat="1" ht="15.75">
      <c r="A44" s="606" t="s">
        <v>623</v>
      </c>
      <c r="B44" s="224" t="s">
        <v>263</v>
      </c>
      <c r="C44" s="681"/>
      <c r="D44" s="681"/>
      <c r="E44" s="682"/>
    </row>
    <row r="45" spans="1:5" s="604" customFormat="1" ht="15.75">
      <c r="A45" s="605" t="s">
        <v>624</v>
      </c>
      <c r="B45" s="224" t="s">
        <v>264</v>
      </c>
      <c r="C45" s="683">
        <f>+C46+C47+C48+C49</f>
        <v>0</v>
      </c>
      <c r="D45" s="683">
        <f>+D46+D47+D48+D49</f>
        <v>0</v>
      </c>
      <c r="E45" s="684">
        <f>+E46+E47+E48+E49</f>
        <v>0</v>
      </c>
    </row>
    <row r="46" spans="1:5" s="604" customFormat="1" ht="15.75">
      <c r="A46" s="606" t="s">
        <v>625</v>
      </c>
      <c r="B46" s="224" t="s">
        <v>265</v>
      </c>
      <c r="C46" s="681"/>
      <c r="D46" s="681"/>
      <c r="E46" s="682"/>
    </row>
    <row r="47" spans="1:5" s="604" customFormat="1" ht="22.5">
      <c r="A47" s="606" t="s">
        <v>626</v>
      </c>
      <c r="B47" s="224" t="s">
        <v>266</v>
      </c>
      <c r="C47" s="681"/>
      <c r="D47" s="681"/>
      <c r="E47" s="682"/>
    </row>
    <row r="48" spans="1:5" s="604" customFormat="1" ht="15.75">
      <c r="A48" s="606" t="s">
        <v>627</v>
      </c>
      <c r="B48" s="224" t="s">
        <v>267</v>
      </c>
      <c r="C48" s="681"/>
      <c r="D48" s="681"/>
      <c r="E48" s="682"/>
    </row>
    <row r="49" spans="1:5" s="604" customFormat="1" ht="15.75">
      <c r="A49" s="606" t="s">
        <v>628</v>
      </c>
      <c r="B49" s="224" t="s">
        <v>268</v>
      </c>
      <c r="C49" s="681"/>
      <c r="D49" s="681"/>
      <c r="E49" s="682"/>
    </row>
    <row r="50" spans="1:5" s="604" customFormat="1" ht="15.75">
      <c r="A50" s="605" t="s">
        <v>629</v>
      </c>
      <c r="B50" s="224" t="s">
        <v>269</v>
      </c>
      <c r="C50" s="681"/>
      <c r="D50" s="681"/>
      <c r="E50" s="682"/>
    </row>
    <row r="51" spans="1:5" s="604" customFormat="1" ht="21">
      <c r="A51" s="605" t="s">
        <v>630</v>
      </c>
      <c r="B51" s="224" t="s">
        <v>270</v>
      </c>
      <c r="C51" s="683">
        <f>C7+C8+C34+C50</f>
        <v>1481053025</v>
      </c>
      <c r="D51" s="683">
        <f>D7+D8+D34+D50</f>
        <v>1031924351</v>
      </c>
      <c r="E51" s="684">
        <f>+E7+E8+E34+E50</f>
        <v>0</v>
      </c>
    </row>
    <row r="52" spans="1:5" s="604" customFormat="1" ht="15.75">
      <c r="A52" s="605" t="s">
        <v>631</v>
      </c>
      <c r="B52" s="224" t="s">
        <v>271</v>
      </c>
      <c r="C52" s="681"/>
      <c r="D52" s="681"/>
      <c r="E52" s="682"/>
    </row>
    <row r="53" spans="1:5" s="604" customFormat="1" ht="15.75">
      <c r="A53" s="605" t="s">
        <v>632</v>
      </c>
      <c r="B53" s="224" t="s">
        <v>272</v>
      </c>
      <c r="C53" s="681"/>
      <c r="D53" s="681"/>
      <c r="E53" s="682"/>
    </row>
    <row r="54" spans="1:5" s="604" customFormat="1" ht="15.75">
      <c r="A54" s="605" t="s">
        <v>633</v>
      </c>
      <c r="B54" s="224" t="s">
        <v>273</v>
      </c>
      <c r="C54" s="683">
        <f>+C52+C53</f>
        <v>0</v>
      </c>
      <c r="D54" s="683">
        <f>+D52+D53</f>
        <v>0</v>
      </c>
      <c r="E54" s="684">
        <f>+E52+E53</f>
        <v>0</v>
      </c>
    </row>
    <row r="55" spans="1:5" s="604" customFormat="1" ht="15.75">
      <c r="A55" s="605" t="s">
        <v>634</v>
      </c>
      <c r="B55" s="224" t="s">
        <v>274</v>
      </c>
      <c r="C55" s="681">
        <v>10152170</v>
      </c>
      <c r="D55" s="681">
        <v>10152170</v>
      </c>
      <c r="E55" s="682"/>
    </row>
    <row r="56" spans="1:5" s="604" customFormat="1" ht="15.75">
      <c r="A56" s="605" t="s">
        <v>635</v>
      </c>
      <c r="B56" s="224" t="s">
        <v>275</v>
      </c>
      <c r="C56" s="681">
        <v>400530</v>
      </c>
      <c r="D56" s="681">
        <v>400530</v>
      </c>
      <c r="E56" s="682"/>
    </row>
    <row r="57" spans="1:5" s="604" customFormat="1" ht="15.75">
      <c r="A57" s="605" t="s">
        <v>636</v>
      </c>
      <c r="B57" s="224" t="s">
        <v>276</v>
      </c>
      <c r="C57" s="681">
        <v>184652377</v>
      </c>
      <c r="D57" s="681">
        <v>184652377</v>
      </c>
      <c r="E57" s="682"/>
    </row>
    <row r="58" spans="1:5" s="604" customFormat="1" ht="15.75">
      <c r="A58" s="605" t="s">
        <v>637</v>
      </c>
      <c r="B58" s="224" t="s">
        <v>277</v>
      </c>
      <c r="C58" s="681"/>
      <c r="D58" s="681"/>
      <c r="E58" s="682"/>
    </row>
    <row r="59" spans="1:5" s="604" customFormat="1" ht="15.75">
      <c r="A59" s="605" t="s">
        <v>638</v>
      </c>
      <c r="B59" s="224" t="s">
        <v>278</v>
      </c>
      <c r="C59" s="683">
        <f>+C55+C56+C57+C58</f>
        <v>195205077</v>
      </c>
      <c r="D59" s="683">
        <f>+D55+D56+D57+D58</f>
        <v>195205077</v>
      </c>
      <c r="E59" s="684">
        <f>+E55+E56+E57+E58</f>
        <v>0</v>
      </c>
    </row>
    <row r="60" spans="1:5" s="604" customFormat="1" ht="15.75">
      <c r="A60" s="605" t="s">
        <v>639</v>
      </c>
      <c r="B60" s="224" t="s">
        <v>279</v>
      </c>
      <c r="C60" s="681">
        <v>12330032</v>
      </c>
      <c r="D60" s="681">
        <v>12330032</v>
      </c>
      <c r="E60" s="682"/>
    </row>
    <row r="61" spans="1:5" s="604" customFormat="1" ht="15.75">
      <c r="A61" s="605" t="s">
        <v>640</v>
      </c>
      <c r="B61" s="224" t="s">
        <v>280</v>
      </c>
      <c r="C61" s="681"/>
      <c r="D61" s="681"/>
      <c r="E61" s="682"/>
    </row>
    <row r="62" spans="1:5" s="604" customFormat="1" ht="15.75">
      <c r="A62" s="605" t="s">
        <v>641</v>
      </c>
      <c r="B62" s="224" t="s">
        <v>281</v>
      </c>
      <c r="C62" s="681"/>
      <c r="D62" s="681"/>
      <c r="E62" s="682"/>
    </row>
    <row r="63" spans="1:5" s="604" customFormat="1" ht="15.75">
      <c r="A63" s="605" t="s">
        <v>642</v>
      </c>
      <c r="B63" s="224" t="s">
        <v>282</v>
      </c>
      <c r="C63" s="683">
        <f>C60+C61+C62</f>
        <v>12330032</v>
      </c>
      <c r="D63" s="683">
        <f>D60+D61+D62</f>
        <v>12330032</v>
      </c>
      <c r="E63" s="684">
        <f>+E60+E61+E62</f>
        <v>0</v>
      </c>
    </row>
    <row r="64" spans="1:5" s="604" customFormat="1" ht="15.75">
      <c r="A64" s="605" t="s">
        <v>643</v>
      </c>
      <c r="B64" s="224" t="s">
        <v>283</v>
      </c>
      <c r="C64" s="681"/>
      <c r="D64" s="681"/>
      <c r="E64" s="682"/>
    </row>
    <row r="65" spans="1:5" s="604" customFormat="1" ht="21">
      <c r="A65" s="605" t="s">
        <v>644</v>
      </c>
      <c r="B65" s="224" t="s">
        <v>284</v>
      </c>
      <c r="C65" s="681"/>
      <c r="D65" s="681"/>
      <c r="E65" s="682"/>
    </row>
    <row r="66" spans="1:5" s="604" customFormat="1" ht="15.75">
      <c r="A66" s="605" t="s">
        <v>645</v>
      </c>
      <c r="B66" s="224" t="s">
        <v>285</v>
      </c>
      <c r="C66" s="683">
        <v>-7181396</v>
      </c>
      <c r="D66" s="683">
        <v>-7181396</v>
      </c>
      <c r="E66" s="684">
        <f>+E64+E65</f>
        <v>0</v>
      </c>
    </row>
    <row r="67" spans="1:5" s="604" customFormat="1" ht="15.75">
      <c r="A67" s="605" t="s">
        <v>646</v>
      </c>
      <c r="B67" s="224" t="s">
        <v>286</v>
      </c>
      <c r="C67" s="681"/>
      <c r="D67" s="681"/>
      <c r="E67" s="682"/>
    </row>
    <row r="68" spans="1:5" s="604" customFormat="1" ht="16.5" thickBot="1">
      <c r="A68" s="607" t="s">
        <v>647</v>
      </c>
      <c r="B68" s="228" t="s">
        <v>287</v>
      </c>
      <c r="C68" s="685">
        <f>+C51+C54+C59+C63+C66+C67</f>
        <v>1681406738</v>
      </c>
      <c r="D68" s="685">
        <f>+D51+D54+D59+D63+D66+D67</f>
        <v>1232278064</v>
      </c>
      <c r="E68" s="686">
        <f>+E51+E54+E59+E63+E66+E67</f>
        <v>0</v>
      </c>
    </row>
    <row r="69" spans="1:5" ht="15.75">
      <c r="A69" s="608"/>
      <c r="C69" s="609"/>
      <c r="D69" s="609"/>
      <c r="E69" s="610"/>
    </row>
    <row r="70" spans="1:5" ht="15.75">
      <c r="A70" s="608"/>
      <c r="C70" s="609"/>
      <c r="D70" s="609"/>
      <c r="E70" s="610"/>
    </row>
    <row r="71" spans="1:5" ht="15.75">
      <c r="A71" s="611"/>
      <c r="C71" s="609"/>
      <c r="D71" s="609"/>
      <c r="E71" s="610"/>
    </row>
    <row r="72" spans="1:5" ht="15.75">
      <c r="A72" s="824"/>
      <c r="B72" s="824"/>
      <c r="C72" s="824"/>
      <c r="D72" s="824"/>
      <c r="E72" s="824"/>
    </row>
    <row r="73" spans="1:5" ht="15.75">
      <c r="A73" s="824"/>
      <c r="B73" s="824"/>
      <c r="C73" s="824"/>
      <c r="D73" s="824"/>
      <c r="E73" s="824"/>
    </row>
  </sheetData>
  <sheetProtection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67716535433072" top="1.102362204724409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dőlt"Borodszirák Község Önkormányzat&amp;R&amp;"Times New Roman,Félkövér dőlt"7.1. tájékoztató tábla a 4/2020. (VI.30..) önkormányzati rendelethez</oddHeader>
    <oddFooter>&amp;C&amp;P</oddFooter>
  </headerFooter>
  <rowBreaks count="1" manualBreakCount="1">
    <brk id="44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7030A0"/>
  </sheetPr>
  <dimension ref="A1:E26"/>
  <sheetViews>
    <sheetView view="pageLayout" workbookViewId="0" topLeftCell="A1">
      <selection activeCell="C11" sqref="C11"/>
    </sheetView>
  </sheetViews>
  <sheetFormatPr defaultColWidth="9.00390625" defaultRowHeight="12.75"/>
  <cols>
    <col min="1" max="1" width="71.125" style="216" customWidth="1"/>
    <col min="2" max="2" width="6.125" style="231" customWidth="1"/>
    <col min="3" max="3" width="18.00390625" style="613" customWidth="1"/>
    <col min="4" max="16384" width="9.375" style="613" customWidth="1"/>
  </cols>
  <sheetData>
    <row r="1" spans="1:3" ht="32.25" customHeight="1">
      <c r="A1" s="841" t="s">
        <v>288</v>
      </c>
      <c r="B1" s="841"/>
      <c r="C1" s="841"/>
    </row>
    <row r="2" spans="1:3" ht="15.75">
      <c r="A2" s="842" t="str">
        <f>+CONCATENATE(LEFT(ÖSSZEFÜGGÉSEK!A4,4),". év")</f>
        <v>2019. év</v>
      </c>
      <c r="B2" s="842"/>
      <c r="C2" s="842"/>
    </row>
    <row r="4" spans="2:3" ht="13.5" thickBot="1">
      <c r="B4" s="843">
        <f>'6. tájékoztató tábla'!E1</f>
        <v>0</v>
      </c>
      <c r="C4" s="843"/>
    </row>
    <row r="5" spans="1:3" s="217" customFormat="1" ht="31.5" customHeight="1">
      <c r="A5" s="844" t="s">
        <v>289</v>
      </c>
      <c r="B5" s="846" t="s">
        <v>245</v>
      </c>
      <c r="C5" s="848" t="s">
        <v>290</v>
      </c>
    </row>
    <row r="6" spans="1:3" s="217" customFormat="1" ht="12.75">
      <c r="A6" s="845"/>
      <c r="B6" s="847"/>
      <c r="C6" s="849"/>
    </row>
    <row r="7" spans="1:3" s="221" customFormat="1" ht="13.5" thickBot="1">
      <c r="A7" s="218" t="s">
        <v>410</v>
      </c>
      <c r="B7" s="219" t="s">
        <v>411</v>
      </c>
      <c r="C7" s="220" t="s">
        <v>412</v>
      </c>
    </row>
    <row r="8" spans="1:3" ht="15.75" customHeight="1">
      <c r="A8" s="605" t="s">
        <v>649</v>
      </c>
      <c r="B8" s="222" t="s">
        <v>250</v>
      </c>
      <c r="C8" s="223">
        <v>899885820</v>
      </c>
    </row>
    <row r="9" spans="1:3" ht="15.75" customHeight="1">
      <c r="A9" s="605" t="s">
        <v>650</v>
      </c>
      <c r="B9" s="224" t="s">
        <v>251</v>
      </c>
      <c r="C9" s="223"/>
    </row>
    <row r="10" spans="1:3" ht="15.75" customHeight="1">
      <c r="A10" s="605" t="s">
        <v>651</v>
      </c>
      <c r="B10" s="224" t="s">
        <v>252</v>
      </c>
      <c r="C10" s="223">
        <v>12838974</v>
      </c>
    </row>
    <row r="11" spans="1:3" ht="15.75" customHeight="1">
      <c r="A11" s="605" t="s">
        <v>652</v>
      </c>
      <c r="B11" s="224" t="s">
        <v>253</v>
      </c>
      <c r="C11" s="225">
        <v>-45926560</v>
      </c>
    </row>
    <row r="12" spans="1:3" ht="15.75" customHeight="1">
      <c r="A12" s="605" t="s">
        <v>653</v>
      </c>
      <c r="B12" s="224" t="s">
        <v>254</v>
      </c>
      <c r="C12" s="225"/>
    </row>
    <row r="13" spans="1:3" ht="15.75" customHeight="1">
      <c r="A13" s="605" t="s">
        <v>654</v>
      </c>
      <c r="B13" s="224" t="s">
        <v>255</v>
      </c>
      <c r="C13" s="225">
        <v>-36312181</v>
      </c>
    </row>
    <row r="14" spans="1:3" ht="15.75" customHeight="1">
      <c r="A14" s="605" t="s">
        <v>655</v>
      </c>
      <c r="B14" s="224" t="s">
        <v>256</v>
      </c>
      <c r="C14" s="226">
        <f>+C8+C9+C10+C11+C12+C13</f>
        <v>830486053</v>
      </c>
    </row>
    <row r="15" spans="1:3" ht="15.75" customHeight="1">
      <c r="A15" s="605" t="s">
        <v>721</v>
      </c>
      <c r="B15" s="224" t="s">
        <v>257</v>
      </c>
      <c r="C15" s="614">
        <v>7838777</v>
      </c>
    </row>
    <row r="16" spans="1:3" ht="15.75" customHeight="1">
      <c r="A16" s="605" t="s">
        <v>656</v>
      </c>
      <c r="B16" s="224" t="s">
        <v>258</v>
      </c>
      <c r="C16" s="225">
        <v>5718007</v>
      </c>
    </row>
    <row r="17" spans="1:3" ht="15.75" customHeight="1">
      <c r="A17" s="605" t="s">
        <v>657</v>
      </c>
      <c r="B17" s="224" t="s">
        <v>16</v>
      </c>
      <c r="C17" s="225">
        <v>0</v>
      </c>
    </row>
    <row r="18" spans="1:3" ht="15.75" customHeight="1">
      <c r="A18" s="605" t="s">
        <v>658</v>
      </c>
      <c r="B18" s="224" t="s">
        <v>17</v>
      </c>
      <c r="C18" s="226">
        <f>+C15+C16+C17</f>
        <v>13556784</v>
      </c>
    </row>
    <row r="19" spans="1:3" s="615" customFormat="1" ht="15.75" customHeight="1">
      <c r="A19" s="605" t="s">
        <v>659</v>
      </c>
      <c r="B19" s="224" t="s">
        <v>18</v>
      </c>
      <c r="C19" s="225"/>
    </row>
    <row r="20" spans="1:3" ht="15.75" customHeight="1">
      <c r="A20" s="605" t="s">
        <v>660</v>
      </c>
      <c r="B20" s="224" t="s">
        <v>19</v>
      </c>
      <c r="C20" s="225">
        <v>388395227</v>
      </c>
    </row>
    <row r="21" spans="1:3" ht="15.75" customHeight="1" thickBot="1">
      <c r="A21" s="227" t="s">
        <v>661</v>
      </c>
      <c r="B21" s="228" t="s">
        <v>20</v>
      </c>
      <c r="C21" s="229">
        <f>+C14+C18+C19+C20</f>
        <v>1232438064</v>
      </c>
    </row>
    <row r="22" spans="1:5" ht="15.75">
      <c r="A22" s="608"/>
      <c r="B22" s="611"/>
      <c r="C22" s="609"/>
      <c r="D22" s="609"/>
      <c r="E22" s="609"/>
    </row>
    <row r="23" spans="1:5" ht="15.75">
      <c r="A23" s="608"/>
      <c r="B23" s="611"/>
      <c r="C23" s="609"/>
      <c r="D23" s="609"/>
      <c r="E23" s="609"/>
    </row>
    <row r="24" spans="1:5" ht="15.75">
      <c r="A24" s="611"/>
      <c r="B24" s="611"/>
      <c r="C24" s="609"/>
      <c r="D24" s="609"/>
      <c r="E24" s="609"/>
    </row>
    <row r="25" spans="1:5" ht="15.75">
      <c r="A25" s="840"/>
      <c r="B25" s="840"/>
      <c r="C25" s="840"/>
      <c r="D25" s="616"/>
      <c r="E25" s="616"/>
    </row>
    <row r="26" spans="1:5" ht="15.75">
      <c r="A26" s="840"/>
      <c r="B26" s="840"/>
      <c r="C26" s="840"/>
      <c r="D26" s="616"/>
      <c r="E26" s="616"/>
    </row>
  </sheetData>
  <sheetProtection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598425196850394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dőlt"Borodszirák Község Önkormányzat&amp;R&amp;"Times New Roman CE,Félkövér dőlt"7.2. tájékoztató tábla a 4/2020. (VI.30..)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7030A0"/>
  </sheetPr>
  <dimension ref="A1:F44"/>
  <sheetViews>
    <sheetView view="pageLayout" workbookViewId="0" topLeftCell="A1">
      <selection activeCell="D6" sqref="D6"/>
    </sheetView>
  </sheetViews>
  <sheetFormatPr defaultColWidth="12.00390625" defaultRowHeight="12.75"/>
  <cols>
    <col min="1" max="1" width="58.875" style="212" customWidth="1"/>
    <col min="2" max="2" width="6.875" style="212" customWidth="1"/>
    <col min="3" max="3" width="17.125" style="212" customWidth="1"/>
    <col min="4" max="4" width="19.125" style="212" customWidth="1"/>
    <col min="5" max="16384" width="12.00390625" style="212" customWidth="1"/>
  </cols>
  <sheetData>
    <row r="1" spans="1:4" ht="48" customHeight="1">
      <c r="A1" s="850" t="str">
        <f>+CONCATENATE("VAGYONKIMUTATÁS",CHAR(10),"az érték nélkül nyilvántartott eszközökről",CHAR(10),LEFT(ÖSSZEFÜGGÉSEK!A4,4),".")</f>
        <v>VAGYONKIMUTATÁS
az érték nélkül nyilvántartott eszközökről
2019.</v>
      </c>
      <c r="B1" s="851"/>
      <c r="C1" s="851"/>
      <c r="D1" s="851"/>
    </row>
    <row r="2" ht="16.5" thickBot="1"/>
    <row r="3" spans="1:4" ht="43.5" customHeight="1" thickBot="1">
      <c r="A3" s="619" t="s">
        <v>50</v>
      </c>
      <c r="B3" s="321" t="s">
        <v>245</v>
      </c>
      <c r="C3" s="620" t="s">
        <v>291</v>
      </c>
      <c r="D3" s="621" t="s">
        <v>737</v>
      </c>
    </row>
    <row r="4" spans="1:4" ht="16.5" thickBot="1">
      <c r="A4" s="232" t="s">
        <v>410</v>
      </c>
      <c r="B4" s="233" t="s">
        <v>411</v>
      </c>
      <c r="C4" s="233" t="s">
        <v>412</v>
      </c>
      <c r="D4" s="234" t="s">
        <v>413</v>
      </c>
    </row>
    <row r="5" spans="1:4" ht="15.75" customHeight="1">
      <c r="A5" s="243" t="s">
        <v>689</v>
      </c>
      <c r="B5" s="236" t="s">
        <v>7</v>
      </c>
      <c r="C5" s="237"/>
      <c r="D5" s="238">
        <v>74574508</v>
      </c>
    </row>
    <row r="6" spans="1:4" ht="15.75" customHeight="1">
      <c r="A6" s="243" t="s">
        <v>690</v>
      </c>
      <c r="B6" s="240" t="s">
        <v>8</v>
      </c>
      <c r="C6" s="241"/>
      <c r="D6" s="242"/>
    </row>
    <row r="7" spans="1:4" ht="15.75" customHeight="1">
      <c r="A7" s="243" t="s">
        <v>691</v>
      </c>
      <c r="B7" s="240" t="s">
        <v>9</v>
      </c>
      <c r="C7" s="241"/>
      <c r="D7" s="242"/>
    </row>
    <row r="8" spans="1:4" ht="15.75" customHeight="1" thickBot="1">
      <c r="A8" s="244" t="s">
        <v>692</v>
      </c>
      <c r="B8" s="245" t="s">
        <v>10</v>
      </c>
      <c r="C8" s="246"/>
      <c r="D8" s="247"/>
    </row>
    <row r="9" spans="1:4" ht="15.75" customHeight="1" thickBot="1">
      <c r="A9" s="623" t="s">
        <v>693</v>
      </c>
      <c r="B9" s="624" t="s">
        <v>11</v>
      </c>
      <c r="C9" s="625"/>
      <c r="D9" s="626">
        <f>+D10+D11+D12+D13</f>
        <v>0</v>
      </c>
    </row>
    <row r="10" spans="1:4" ht="15.75" customHeight="1">
      <c r="A10" s="622" t="s">
        <v>694</v>
      </c>
      <c r="B10" s="236" t="s">
        <v>12</v>
      </c>
      <c r="C10" s="237"/>
      <c r="D10" s="238"/>
    </row>
    <row r="11" spans="1:4" ht="15.75" customHeight="1">
      <c r="A11" s="243" t="s">
        <v>695</v>
      </c>
      <c r="B11" s="240" t="s">
        <v>13</v>
      </c>
      <c r="C11" s="241"/>
      <c r="D11" s="242"/>
    </row>
    <row r="12" spans="1:4" ht="15.75" customHeight="1">
      <c r="A12" s="243" t="s">
        <v>696</v>
      </c>
      <c r="B12" s="240" t="s">
        <v>14</v>
      </c>
      <c r="C12" s="241"/>
      <c r="D12" s="242"/>
    </row>
    <row r="13" spans="1:4" ht="15.75" customHeight="1" thickBot="1">
      <c r="A13" s="244" t="s">
        <v>697</v>
      </c>
      <c r="B13" s="245" t="s">
        <v>15</v>
      </c>
      <c r="C13" s="246"/>
      <c r="D13" s="247"/>
    </row>
    <row r="14" spans="1:4" ht="15.75" customHeight="1" thickBot="1">
      <c r="A14" s="623" t="s">
        <v>698</v>
      </c>
      <c r="B14" s="624" t="s">
        <v>16</v>
      </c>
      <c r="C14" s="625"/>
      <c r="D14" s="626">
        <f>+D15+D16+D17</f>
        <v>0</v>
      </c>
    </row>
    <row r="15" spans="1:4" ht="15.75" customHeight="1">
      <c r="A15" s="622" t="s">
        <v>699</v>
      </c>
      <c r="B15" s="236" t="s">
        <v>17</v>
      </c>
      <c r="C15" s="237"/>
      <c r="D15" s="238"/>
    </row>
    <row r="16" spans="1:4" ht="15.75" customHeight="1">
      <c r="A16" s="243" t="s">
        <v>700</v>
      </c>
      <c r="B16" s="240" t="s">
        <v>18</v>
      </c>
      <c r="C16" s="241"/>
      <c r="D16" s="242"/>
    </row>
    <row r="17" spans="1:4" ht="15.75" customHeight="1" thickBot="1">
      <c r="A17" s="244" t="s">
        <v>701</v>
      </c>
      <c r="B17" s="245" t="s">
        <v>19</v>
      </c>
      <c r="C17" s="246"/>
      <c r="D17" s="247"/>
    </row>
    <row r="18" spans="1:4" ht="15.75" customHeight="1" thickBot="1">
      <c r="A18" s="623" t="s">
        <v>707</v>
      </c>
      <c r="B18" s="624" t="s">
        <v>20</v>
      </c>
      <c r="C18" s="625"/>
      <c r="D18" s="626">
        <f>+D19+D20+D21</f>
        <v>0</v>
      </c>
    </row>
    <row r="19" spans="1:4" ht="15.75" customHeight="1">
      <c r="A19" s="622" t="s">
        <v>702</v>
      </c>
      <c r="B19" s="236" t="s">
        <v>21</v>
      </c>
      <c r="C19" s="237"/>
      <c r="D19" s="238"/>
    </row>
    <row r="20" spans="1:4" ht="15.75" customHeight="1">
      <c r="A20" s="243" t="s">
        <v>703</v>
      </c>
      <c r="B20" s="240" t="s">
        <v>22</v>
      </c>
      <c r="C20" s="241"/>
      <c r="D20" s="242"/>
    </row>
    <row r="21" spans="1:4" ht="15.75" customHeight="1">
      <c r="A21" s="243" t="s">
        <v>704</v>
      </c>
      <c r="B21" s="240" t="s">
        <v>23</v>
      </c>
      <c r="C21" s="241"/>
      <c r="D21" s="242"/>
    </row>
    <row r="22" spans="1:4" ht="15.75" customHeight="1">
      <c r="A22" s="243" t="s">
        <v>705</v>
      </c>
      <c r="B22" s="240" t="s">
        <v>24</v>
      </c>
      <c r="C22" s="241"/>
      <c r="D22" s="242"/>
    </row>
    <row r="23" spans="1:4" ht="15.75" customHeight="1">
      <c r="A23" s="243"/>
      <c r="B23" s="240" t="s">
        <v>25</v>
      </c>
      <c r="C23" s="241"/>
      <c r="D23" s="242"/>
    </row>
    <row r="24" spans="1:4" ht="15.75" customHeight="1">
      <c r="A24" s="243"/>
      <c r="B24" s="240" t="s">
        <v>26</v>
      </c>
      <c r="C24" s="241"/>
      <c r="D24" s="242"/>
    </row>
    <row r="25" spans="1:4" ht="15.75" customHeight="1">
      <c r="A25" s="243"/>
      <c r="B25" s="240" t="s">
        <v>27</v>
      </c>
      <c r="C25" s="241"/>
      <c r="D25" s="242"/>
    </row>
    <row r="26" spans="1:4" ht="15.75" customHeight="1">
      <c r="A26" s="243"/>
      <c r="B26" s="240" t="s">
        <v>28</v>
      </c>
      <c r="C26" s="241"/>
      <c r="D26" s="242"/>
    </row>
    <row r="27" spans="1:4" ht="15.75" customHeight="1">
      <c r="A27" s="243"/>
      <c r="B27" s="240" t="s">
        <v>29</v>
      </c>
      <c r="C27" s="241"/>
      <c r="D27" s="242"/>
    </row>
    <row r="28" spans="1:4" ht="15.75" customHeight="1">
      <c r="A28" s="243"/>
      <c r="B28" s="240" t="s">
        <v>30</v>
      </c>
      <c r="C28" s="241"/>
      <c r="D28" s="242"/>
    </row>
    <row r="29" spans="1:4" ht="15.75" customHeight="1">
      <c r="A29" s="243"/>
      <c r="B29" s="240" t="s">
        <v>31</v>
      </c>
      <c r="C29" s="241"/>
      <c r="D29" s="242"/>
    </row>
    <row r="30" spans="1:4" ht="15.75" customHeight="1">
      <c r="A30" s="243"/>
      <c r="B30" s="240" t="s">
        <v>32</v>
      </c>
      <c r="C30" s="241"/>
      <c r="D30" s="242"/>
    </row>
    <row r="31" spans="1:4" ht="15.75" customHeight="1">
      <c r="A31" s="243"/>
      <c r="B31" s="240" t="s">
        <v>33</v>
      </c>
      <c r="C31" s="241"/>
      <c r="D31" s="242"/>
    </row>
    <row r="32" spans="1:4" ht="15.75" customHeight="1">
      <c r="A32" s="243"/>
      <c r="B32" s="240" t="s">
        <v>34</v>
      </c>
      <c r="C32" s="241"/>
      <c r="D32" s="242"/>
    </row>
    <row r="33" spans="1:4" ht="15.75" customHeight="1">
      <c r="A33" s="243"/>
      <c r="B33" s="240" t="s">
        <v>35</v>
      </c>
      <c r="C33" s="241"/>
      <c r="D33" s="242"/>
    </row>
    <row r="34" spans="1:4" ht="15.75" customHeight="1">
      <c r="A34" s="243"/>
      <c r="B34" s="240" t="s">
        <v>89</v>
      </c>
      <c r="C34" s="241"/>
      <c r="D34" s="242"/>
    </row>
    <row r="35" spans="1:4" ht="15.75" customHeight="1">
      <c r="A35" s="243"/>
      <c r="B35" s="240" t="s">
        <v>183</v>
      </c>
      <c r="C35" s="241"/>
      <c r="D35" s="242"/>
    </row>
    <row r="36" spans="1:4" ht="15.75" customHeight="1">
      <c r="A36" s="243"/>
      <c r="B36" s="240" t="s">
        <v>242</v>
      </c>
      <c r="C36" s="241"/>
      <c r="D36" s="242"/>
    </row>
    <row r="37" spans="1:4" ht="15.75" customHeight="1" thickBot="1">
      <c r="A37" s="244"/>
      <c r="B37" s="245" t="s">
        <v>243</v>
      </c>
      <c r="C37" s="246"/>
      <c r="D37" s="247"/>
    </row>
    <row r="38" spans="1:6" ht="15.75" customHeight="1" thickBot="1">
      <c r="A38" s="852" t="s">
        <v>706</v>
      </c>
      <c r="B38" s="853"/>
      <c r="C38" s="248"/>
      <c r="D38" s="626">
        <f>+D5+D6+D7+D8+D9+D14+D18+D22+D23+D24+D25+D26+D27+D28+D29+D30+D31+D32+D33+D34+D35+D36+D37</f>
        <v>74574508</v>
      </c>
      <c r="F38" s="249"/>
    </row>
    <row r="39" ht="15.75">
      <c r="A39" s="627" t="s">
        <v>708</v>
      </c>
    </row>
    <row r="40" spans="1:4" ht="15.75">
      <c r="A40" s="213"/>
      <c r="B40" s="214"/>
      <c r="C40" s="854"/>
      <c r="D40" s="854"/>
    </row>
    <row r="41" spans="1:4" ht="15.75">
      <c r="A41" s="213"/>
      <c r="B41" s="214"/>
      <c r="C41" s="215"/>
      <c r="D41" s="215"/>
    </row>
    <row r="42" spans="1:4" ht="15.75">
      <c r="A42" s="214"/>
      <c r="B42" s="214"/>
      <c r="C42" s="854"/>
      <c r="D42" s="854"/>
    </row>
    <row r="43" spans="1:2" ht="15.75">
      <c r="A43" s="230"/>
      <c r="B43" s="230"/>
    </row>
    <row r="44" spans="1:3" ht="15.75">
      <c r="A44" s="230"/>
      <c r="B44" s="230"/>
      <c r="C44" s="230"/>
    </row>
  </sheetData>
  <sheetProtection sheet="1" objects="1" scenarios="1"/>
  <mergeCells count="4">
    <mergeCell ref="A1:D1"/>
    <mergeCell ref="A38:B38"/>
    <mergeCell ref="C40:D40"/>
    <mergeCell ref="C42:D42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3" r:id="rId1"/>
  <headerFooter alignWithMargins="0">
    <oddHeader>&amp;L&amp;"Times New Roman,Félkövér dőlt"Borsodszirák Község Önkormányzat&amp;R&amp;"Times New Roman,Félkövér dőlt"7.3. tájékoztató tábla a 4/2020. (VI.30..)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7030A0"/>
  </sheetPr>
  <dimension ref="A1:F39"/>
  <sheetViews>
    <sheetView view="pageLayout" workbookViewId="0" topLeftCell="A1">
      <selection activeCell="D4" sqref="D4"/>
    </sheetView>
  </sheetViews>
  <sheetFormatPr defaultColWidth="12.00390625" defaultRowHeight="12.75"/>
  <cols>
    <col min="1" max="1" width="56.125" style="212" customWidth="1"/>
    <col min="2" max="2" width="6.875" style="212" customWidth="1"/>
    <col min="3" max="3" width="17.125" style="212" customWidth="1"/>
    <col min="4" max="4" width="19.125" style="212" customWidth="1"/>
    <col min="5" max="16384" width="12.00390625" style="212" customWidth="1"/>
  </cols>
  <sheetData>
    <row r="1" spans="1:4" ht="18.75">
      <c r="A1" s="859" t="s">
        <v>752</v>
      </c>
      <c r="B1" s="860"/>
      <c r="C1" s="860"/>
      <c r="D1" s="860"/>
    </row>
    <row r="2" spans="1:4" ht="48.75" customHeight="1">
      <c r="A2" s="855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2019.</v>
      </c>
      <c r="B2" s="856"/>
      <c r="C2" s="856"/>
      <c r="D2" s="856"/>
    </row>
    <row r="3" ht="16.5" thickBot="1"/>
    <row r="4" spans="1:4" ht="64.5" thickBot="1">
      <c r="A4" s="628" t="s">
        <v>50</v>
      </c>
      <c r="B4" s="321" t="s">
        <v>245</v>
      </c>
      <c r="C4" s="629" t="s">
        <v>709</v>
      </c>
      <c r="D4" s="630" t="s">
        <v>737</v>
      </c>
    </row>
    <row r="5" spans="1:4" ht="16.5" thickBot="1">
      <c r="A5" s="250" t="s">
        <v>410</v>
      </c>
      <c r="B5" s="251" t="s">
        <v>411</v>
      </c>
      <c r="C5" s="251" t="s">
        <v>412</v>
      </c>
      <c r="D5" s="252" t="s">
        <v>413</v>
      </c>
    </row>
    <row r="6" spans="1:4" ht="15.75" customHeight="1">
      <c r="A6" s="239" t="s">
        <v>710</v>
      </c>
      <c r="B6" s="236" t="s">
        <v>7</v>
      </c>
      <c r="C6" s="237"/>
      <c r="D6" s="238"/>
    </row>
    <row r="7" spans="1:4" ht="15.75" customHeight="1">
      <c r="A7" s="239" t="s">
        <v>711</v>
      </c>
      <c r="B7" s="240" t="s">
        <v>8</v>
      </c>
      <c r="C7" s="241"/>
      <c r="D7" s="242"/>
    </row>
    <row r="8" spans="1:4" ht="15.75" customHeight="1" thickBot="1">
      <c r="A8" s="631" t="s">
        <v>712</v>
      </c>
      <c r="B8" s="245" t="s">
        <v>9</v>
      </c>
      <c r="C8" s="246"/>
      <c r="D8" s="247"/>
    </row>
    <row r="9" spans="1:4" ht="15.75" customHeight="1" thickBot="1">
      <c r="A9" s="623" t="s">
        <v>713</v>
      </c>
      <c r="B9" s="624" t="s">
        <v>10</v>
      </c>
      <c r="C9" s="625"/>
      <c r="D9" s="626">
        <f>+D6+D7+D8</f>
        <v>0</v>
      </c>
    </row>
    <row r="10" spans="1:4" ht="15.75" customHeight="1">
      <c r="A10" s="235" t="s">
        <v>714</v>
      </c>
      <c r="B10" s="236" t="s">
        <v>11</v>
      </c>
      <c r="C10" s="237"/>
      <c r="D10" s="238"/>
    </row>
    <row r="11" spans="1:4" ht="15.75" customHeight="1">
      <c r="A11" s="239" t="s">
        <v>715</v>
      </c>
      <c r="B11" s="240" t="s">
        <v>12</v>
      </c>
      <c r="C11" s="241"/>
      <c r="D11" s="242"/>
    </row>
    <row r="12" spans="1:4" ht="15.75" customHeight="1">
      <c r="A12" s="239" t="s">
        <v>716</v>
      </c>
      <c r="B12" s="240" t="s">
        <v>13</v>
      </c>
      <c r="C12" s="241"/>
      <c r="D12" s="242"/>
    </row>
    <row r="13" spans="1:4" ht="15.75" customHeight="1">
      <c r="A13" s="239" t="s">
        <v>717</v>
      </c>
      <c r="B13" s="240" t="s">
        <v>14</v>
      </c>
      <c r="C13" s="241"/>
      <c r="D13" s="242"/>
    </row>
    <row r="14" spans="1:4" ht="15.75" customHeight="1" thickBot="1">
      <c r="A14" s="631" t="s">
        <v>718</v>
      </c>
      <c r="B14" s="245" t="s">
        <v>15</v>
      </c>
      <c r="C14" s="246"/>
      <c r="D14" s="247"/>
    </row>
    <row r="15" spans="1:4" ht="15.75" customHeight="1" thickBot="1">
      <c r="A15" s="623" t="s">
        <v>719</v>
      </c>
      <c r="B15" s="624" t="s">
        <v>16</v>
      </c>
      <c r="C15" s="632"/>
      <c r="D15" s="626">
        <f>+D10+D11+D12+D13+D14</f>
        <v>0</v>
      </c>
    </row>
    <row r="16" spans="1:4" ht="15.75" customHeight="1">
      <c r="A16" s="235"/>
      <c r="B16" s="236" t="s">
        <v>17</v>
      </c>
      <c r="C16" s="237"/>
      <c r="D16" s="238"/>
    </row>
    <row r="17" spans="1:4" ht="15.75" customHeight="1">
      <c r="A17" s="239"/>
      <c r="B17" s="240" t="s">
        <v>18</v>
      </c>
      <c r="C17" s="241"/>
      <c r="D17" s="242"/>
    </row>
    <row r="18" spans="1:4" ht="15.75" customHeight="1">
      <c r="A18" s="239"/>
      <c r="B18" s="240" t="s">
        <v>19</v>
      </c>
      <c r="C18" s="241"/>
      <c r="D18" s="242"/>
    </row>
    <row r="19" spans="1:4" ht="15.75" customHeight="1">
      <c r="A19" s="239"/>
      <c r="B19" s="240" t="s">
        <v>20</v>
      </c>
      <c r="C19" s="241"/>
      <c r="D19" s="242"/>
    </row>
    <row r="20" spans="1:4" ht="15.75" customHeight="1">
      <c r="A20" s="239"/>
      <c r="B20" s="240" t="s">
        <v>21</v>
      </c>
      <c r="C20" s="241"/>
      <c r="D20" s="242"/>
    </row>
    <row r="21" spans="1:4" ht="15.75" customHeight="1">
      <c r="A21" s="239"/>
      <c r="B21" s="240" t="s">
        <v>22</v>
      </c>
      <c r="C21" s="241"/>
      <c r="D21" s="242"/>
    </row>
    <row r="22" spans="1:4" ht="15.75" customHeight="1">
      <c r="A22" s="239"/>
      <c r="B22" s="240" t="s">
        <v>23</v>
      </c>
      <c r="C22" s="241"/>
      <c r="D22" s="242"/>
    </row>
    <row r="23" spans="1:4" ht="15.75" customHeight="1">
      <c r="A23" s="239"/>
      <c r="B23" s="240" t="s">
        <v>24</v>
      </c>
      <c r="C23" s="241"/>
      <c r="D23" s="242"/>
    </row>
    <row r="24" spans="1:4" ht="15.75" customHeight="1">
      <c r="A24" s="239"/>
      <c r="B24" s="240" t="s">
        <v>25</v>
      </c>
      <c r="C24" s="241"/>
      <c r="D24" s="242"/>
    </row>
    <row r="25" spans="1:4" ht="15.75" customHeight="1">
      <c r="A25" s="239"/>
      <c r="B25" s="240" t="s">
        <v>26</v>
      </c>
      <c r="C25" s="241"/>
      <c r="D25" s="242"/>
    </row>
    <row r="26" spans="1:4" ht="15.75" customHeight="1">
      <c r="A26" s="239"/>
      <c r="B26" s="240" t="s">
        <v>27</v>
      </c>
      <c r="C26" s="241"/>
      <c r="D26" s="242"/>
    </row>
    <row r="27" spans="1:4" ht="15.75" customHeight="1">
      <c r="A27" s="239"/>
      <c r="B27" s="240" t="s">
        <v>28</v>
      </c>
      <c r="C27" s="241"/>
      <c r="D27" s="242"/>
    </row>
    <row r="28" spans="1:4" ht="15.75" customHeight="1">
      <c r="A28" s="239"/>
      <c r="B28" s="240" t="s">
        <v>29</v>
      </c>
      <c r="C28" s="241"/>
      <c r="D28" s="242"/>
    </row>
    <row r="29" spans="1:4" ht="15.75" customHeight="1">
      <c r="A29" s="239"/>
      <c r="B29" s="240" t="s">
        <v>30</v>
      </c>
      <c r="C29" s="241"/>
      <c r="D29" s="242"/>
    </row>
    <row r="30" spans="1:4" ht="15.75" customHeight="1">
      <c r="A30" s="239"/>
      <c r="B30" s="240" t="s">
        <v>31</v>
      </c>
      <c r="C30" s="241"/>
      <c r="D30" s="242"/>
    </row>
    <row r="31" spans="1:4" ht="15.75" customHeight="1">
      <c r="A31" s="239"/>
      <c r="B31" s="240" t="s">
        <v>32</v>
      </c>
      <c r="C31" s="241"/>
      <c r="D31" s="242"/>
    </row>
    <row r="32" spans="1:4" ht="15.75" customHeight="1">
      <c r="A32" s="239"/>
      <c r="B32" s="240" t="s">
        <v>33</v>
      </c>
      <c r="C32" s="241"/>
      <c r="D32" s="242"/>
    </row>
    <row r="33" spans="1:4" ht="15.75" customHeight="1">
      <c r="A33" s="239"/>
      <c r="B33" s="240" t="s">
        <v>34</v>
      </c>
      <c r="C33" s="241"/>
      <c r="D33" s="242"/>
    </row>
    <row r="34" spans="1:4" ht="15.75" customHeight="1">
      <c r="A34" s="239"/>
      <c r="B34" s="240" t="s">
        <v>35</v>
      </c>
      <c r="C34" s="241"/>
      <c r="D34" s="242"/>
    </row>
    <row r="35" spans="1:4" ht="15.75" customHeight="1">
      <c r="A35" s="239"/>
      <c r="B35" s="240" t="s">
        <v>89</v>
      </c>
      <c r="C35" s="241"/>
      <c r="D35" s="242"/>
    </row>
    <row r="36" spans="1:4" ht="15.75" customHeight="1">
      <c r="A36" s="239"/>
      <c r="B36" s="240" t="s">
        <v>183</v>
      </c>
      <c r="C36" s="241"/>
      <c r="D36" s="242"/>
    </row>
    <row r="37" spans="1:4" ht="15.75" customHeight="1">
      <c r="A37" s="239"/>
      <c r="B37" s="240" t="s">
        <v>242</v>
      </c>
      <c r="C37" s="241"/>
      <c r="D37" s="242"/>
    </row>
    <row r="38" spans="1:4" ht="15.75" customHeight="1" thickBot="1">
      <c r="A38" s="253"/>
      <c r="B38" s="254" t="s">
        <v>243</v>
      </c>
      <c r="C38" s="255"/>
      <c r="D38" s="256"/>
    </row>
    <row r="39" spans="1:6" ht="15.75" customHeight="1" thickBot="1">
      <c r="A39" s="857" t="s">
        <v>720</v>
      </c>
      <c r="B39" s="858"/>
      <c r="C39" s="248"/>
      <c r="D39" s="626">
        <f>+D9+D15+SUM(D16:D38)</f>
        <v>0</v>
      </c>
      <c r="F39" s="257"/>
    </row>
  </sheetData>
  <sheetProtection/>
  <mergeCells count="3">
    <mergeCell ref="A2:D2"/>
    <mergeCell ref="A39:B39"/>
    <mergeCell ref="A1:D1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dőlt"Borsodszirák Község Önkormányzat&amp;R&amp;"Times New Roman,Félkövér dőlt"7.4. tájékoztató tábla a 4/2020. (VI.30..) önkormányzati rendelethez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23"/>
  <sheetViews>
    <sheetView view="pageLayout" workbookViewId="0" topLeftCell="A1">
      <selection activeCell="F1" sqref="F1:F22"/>
    </sheetView>
  </sheetViews>
  <sheetFormatPr defaultColWidth="9.00390625" defaultRowHeight="12.75"/>
  <cols>
    <col min="1" max="1" width="9.375" style="282" customWidth="1"/>
    <col min="2" max="2" width="58.375" style="282" customWidth="1"/>
    <col min="3" max="5" width="25.00390625" style="282" customWidth="1"/>
    <col min="6" max="6" width="5.50390625" style="282" customWidth="1"/>
    <col min="7" max="16384" width="9.375" style="282" customWidth="1"/>
  </cols>
  <sheetData>
    <row r="1" spans="1:6" ht="23.25">
      <c r="A1" s="865" t="s">
        <v>752</v>
      </c>
      <c r="B1" s="865"/>
      <c r="C1" s="865"/>
      <c r="D1" s="865"/>
      <c r="E1" s="865"/>
      <c r="F1" s="864" t="s">
        <v>790</v>
      </c>
    </row>
    <row r="2" spans="1:6" ht="33" customHeight="1">
      <c r="A2" s="861" t="str">
        <f>+CONCATENATE("A Borsodszirák Község Önkormányzat tulajdonában álló gazdálkodó szervezetek működéséből származó",CHAR(10),"kötelezettségek és részesedések alakulása a ",LEFT(ÖSSZEFÜGGÉSEK!A4,4),". évben")</f>
        <v>A Borsodszirák Község Önkormányzat tulajdonában álló gazdálkodó szervezetek működéséből származó
kötelezettségek és részesedések alakulása a 2019. évben</v>
      </c>
      <c r="B2" s="861"/>
      <c r="C2" s="861"/>
      <c r="D2" s="861"/>
      <c r="E2" s="861"/>
      <c r="F2" s="864"/>
    </row>
    <row r="3" spans="1:6" ht="16.5" thickBot="1">
      <c r="A3" s="283"/>
      <c r="F3" s="864"/>
    </row>
    <row r="4" spans="1:6" ht="79.5" thickBot="1">
      <c r="A4" s="284" t="s">
        <v>245</v>
      </c>
      <c r="B4" s="285" t="s">
        <v>292</v>
      </c>
      <c r="C4" s="285" t="s">
        <v>293</v>
      </c>
      <c r="D4" s="285" t="s">
        <v>294</v>
      </c>
      <c r="E4" s="286" t="s">
        <v>295</v>
      </c>
      <c r="F4" s="864"/>
    </row>
    <row r="5" spans="1:6" ht="15.75">
      <c r="A5" s="287" t="s">
        <v>7</v>
      </c>
      <c r="B5" s="291"/>
      <c r="C5" s="294"/>
      <c r="D5" s="297"/>
      <c r="E5" s="301"/>
      <c r="F5" s="864"/>
    </row>
    <row r="6" spans="1:6" ht="15.75">
      <c r="A6" s="288" t="s">
        <v>8</v>
      </c>
      <c r="B6" s="292"/>
      <c r="C6" s="295"/>
      <c r="D6" s="298"/>
      <c r="E6" s="302"/>
      <c r="F6" s="864"/>
    </row>
    <row r="7" spans="1:6" ht="15.75">
      <c r="A7" s="288" t="s">
        <v>9</v>
      </c>
      <c r="B7" s="292"/>
      <c r="C7" s="295"/>
      <c r="D7" s="298"/>
      <c r="E7" s="302"/>
      <c r="F7" s="864"/>
    </row>
    <row r="8" spans="1:6" ht="15.75">
      <c r="A8" s="288" t="s">
        <v>10</v>
      </c>
      <c r="B8" s="292"/>
      <c r="C8" s="295"/>
      <c r="D8" s="298"/>
      <c r="E8" s="302"/>
      <c r="F8" s="864"/>
    </row>
    <row r="9" spans="1:6" ht="15.75">
      <c r="A9" s="288" t="s">
        <v>11</v>
      </c>
      <c r="B9" s="292"/>
      <c r="C9" s="295"/>
      <c r="D9" s="298"/>
      <c r="E9" s="302"/>
      <c r="F9" s="864"/>
    </row>
    <row r="10" spans="1:6" ht="15.75">
      <c r="A10" s="288" t="s">
        <v>12</v>
      </c>
      <c r="B10" s="292"/>
      <c r="C10" s="295"/>
      <c r="D10" s="298"/>
      <c r="E10" s="302"/>
      <c r="F10" s="864"/>
    </row>
    <row r="11" spans="1:6" ht="15.75">
      <c r="A11" s="288" t="s">
        <v>13</v>
      </c>
      <c r="B11" s="292"/>
      <c r="C11" s="295"/>
      <c r="D11" s="298"/>
      <c r="E11" s="302"/>
      <c r="F11" s="864"/>
    </row>
    <row r="12" spans="1:6" ht="15.75">
      <c r="A12" s="288" t="s">
        <v>14</v>
      </c>
      <c r="B12" s="292"/>
      <c r="C12" s="295"/>
      <c r="D12" s="298"/>
      <c r="E12" s="302"/>
      <c r="F12" s="864"/>
    </row>
    <row r="13" spans="1:6" ht="15.75">
      <c r="A13" s="288" t="s">
        <v>15</v>
      </c>
      <c r="B13" s="292"/>
      <c r="C13" s="295"/>
      <c r="D13" s="298"/>
      <c r="E13" s="302"/>
      <c r="F13" s="864"/>
    </row>
    <row r="14" spans="1:6" ht="15.75">
      <c r="A14" s="288" t="s">
        <v>16</v>
      </c>
      <c r="B14" s="292"/>
      <c r="C14" s="295"/>
      <c r="D14" s="298"/>
      <c r="E14" s="302"/>
      <c r="F14" s="864"/>
    </row>
    <row r="15" spans="1:6" ht="15.75">
      <c r="A15" s="288" t="s">
        <v>17</v>
      </c>
      <c r="B15" s="292"/>
      <c r="C15" s="295"/>
      <c r="D15" s="298"/>
      <c r="E15" s="302"/>
      <c r="F15" s="864"/>
    </row>
    <row r="16" spans="1:6" ht="15.75">
      <c r="A16" s="288" t="s">
        <v>18</v>
      </c>
      <c r="B16" s="292"/>
      <c r="C16" s="295"/>
      <c r="D16" s="298"/>
      <c r="E16" s="302"/>
      <c r="F16" s="864"/>
    </row>
    <row r="17" spans="1:6" ht="15.75">
      <c r="A17" s="288" t="s">
        <v>19</v>
      </c>
      <c r="B17" s="292"/>
      <c r="C17" s="295"/>
      <c r="D17" s="298"/>
      <c r="E17" s="302"/>
      <c r="F17" s="864"/>
    </row>
    <row r="18" spans="1:6" ht="15.75">
      <c r="A18" s="288" t="s">
        <v>20</v>
      </c>
      <c r="B18" s="292"/>
      <c r="C18" s="295"/>
      <c r="D18" s="298"/>
      <c r="E18" s="302"/>
      <c r="F18" s="864"/>
    </row>
    <row r="19" spans="1:6" ht="15.75">
      <c r="A19" s="288" t="s">
        <v>21</v>
      </c>
      <c r="B19" s="292"/>
      <c r="C19" s="295"/>
      <c r="D19" s="298"/>
      <c r="E19" s="302"/>
      <c r="F19" s="864"/>
    </row>
    <row r="20" spans="1:6" ht="15.75">
      <c r="A20" s="288" t="s">
        <v>22</v>
      </c>
      <c r="B20" s="292"/>
      <c r="C20" s="295"/>
      <c r="D20" s="298"/>
      <c r="E20" s="302"/>
      <c r="F20" s="864"/>
    </row>
    <row r="21" spans="1:6" ht="16.5" thickBot="1">
      <c r="A21" s="289" t="s">
        <v>23</v>
      </c>
      <c r="B21" s="293"/>
      <c r="C21" s="296"/>
      <c r="D21" s="299"/>
      <c r="E21" s="303"/>
      <c r="F21" s="864"/>
    </row>
    <row r="22" spans="1:6" ht="16.5" thickBot="1">
      <c r="A22" s="862" t="s">
        <v>296</v>
      </c>
      <c r="B22" s="863"/>
      <c r="C22" s="290"/>
      <c r="D22" s="300">
        <f>IF(SUM(D5:D21)=0,"",SUM(D5:D21))</f>
      </c>
      <c r="E22" s="304">
        <f>IF(SUM(E5:E21)=0,"",SUM(E5:E21))</f>
      </c>
      <c r="F22" s="864"/>
    </row>
    <row r="23" ht="15.75">
      <c r="A23" s="283"/>
    </row>
  </sheetData>
  <sheetProtection/>
  <mergeCells count="4">
    <mergeCell ref="A2:E2"/>
    <mergeCell ref="A22:B22"/>
    <mergeCell ref="F1:F22"/>
    <mergeCell ref="A1:E1"/>
  </mergeCells>
  <printOptions/>
  <pageMargins left="0.7" right="0.7" top="0.75" bottom="0.75" header="0.3" footer="0.3"/>
  <pageSetup fitToHeight="1" fitToWidth="1" horizontalDpi="600" verticalDpi="600" orientation="landscape" paperSize="9" scale="9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7030A0"/>
  </sheetPr>
  <dimension ref="A1:C17"/>
  <sheetViews>
    <sheetView workbookViewId="0" topLeftCell="A1">
      <selection activeCell="C1" sqref="C1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ht="15">
      <c r="C1" s="258" t="s">
        <v>791</v>
      </c>
    </row>
    <row r="2" spans="1:3" ht="14.25">
      <c r="A2" s="259"/>
      <c r="B2" s="259"/>
      <c r="C2" s="259"/>
    </row>
    <row r="3" spans="1:3" ht="14.25">
      <c r="A3" s="866" t="s">
        <v>767</v>
      </c>
      <c r="B3" s="866"/>
      <c r="C3" s="866"/>
    </row>
    <row r="4" spans="1:3" ht="14.25">
      <c r="A4" s="866" t="s">
        <v>768</v>
      </c>
      <c r="B4" s="866"/>
      <c r="C4" s="866"/>
    </row>
    <row r="5" ht="30.75" customHeight="1" thickBot="1">
      <c r="C5" s="260"/>
    </row>
    <row r="6" spans="1:3" s="264" customFormat="1" ht="43.5" customHeight="1" thickBot="1">
      <c r="A6" s="261" t="s">
        <v>5</v>
      </c>
      <c r="B6" s="262" t="s">
        <v>50</v>
      </c>
      <c r="C6" s="263" t="s">
        <v>738</v>
      </c>
    </row>
    <row r="7" spans="1:3" ht="28.5" customHeight="1">
      <c r="A7" s="265" t="s">
        <v>7</v>
      </c>
      <c r="B7" s="266" t="str">
        <f>+CONCATENATE("Pénzkészlet ",LEFT(ÖSSZEFÜGGÉSEK!A4,4),". január 1-jén",CHAR(10),"ebből:")</f>
        <v>Pénzkészlet 2019. január 1-jén
ebből:</v>
      </c>
      <c r="C7" s="267">
        <f>C8+C9</f>
        <v>235983330</v>
      </c>
    </row>
    <row r="8" spans="1:3" ht="18" customHeight="1">
      <c r="A8" s="268" t="s">
        <v>8</v>
      </c>
      <c r="B8" s="269" t="s">
        <v>297</v>
      </c>
      <c r="C8" s="270">
        <v>235831365</v>
      </c>
    </row>
    <row r="9" spans="1:3" ht="18" customHeight="1">
      <c r="A9" s="268" t="s">
        <v>9</v>
      </c>
      <c r="B9" s="269" t="s">
        <v>298</v>
      </c>
      <c r="C9" s="270">
        <v>151965</v>
      </c>
    </row>
    <row r="10" spans="1:3" ht="18" customHeight="1">
      <c r="A10" s="268" t="s">
        <v>10</v>
      </c>
      <c r="B10" s="271" t="s">
        <v>299</v>
      </c>
      <c r="C10" s="270">
        <v>402575347</v>
      </c>
    </row>
    <row r="11" spans="1:3" ht="18" customHeight="1">
      <c r="A11" s="272" t="s">
        <v>11</v>
      </c>
      <c r="B11" s="273" t="s">
        <v>300</v>
      </c>
      <c r="C11" s="274">
        <v>472546543</v>
      </c>
    </row>
    <row r="12" spans="1:3" ht="18" customHeight="1" thickBot="1">
      <c r="A12" s="277" t="s">
        <v>12</v>
      </c>
      <c r="B12" s="634" t="s">
        <v>732</v>
      </c>
      <c r="C12" s="279">
        <v>29593473</v>
      </c>
    </row>
    <row r="13" spans="1:3" ht="25.5" customHeight="1">
      <c r="A13" s="275" t="s">
        <v>13</v>
      </c>
      <c r="B13" s="276" t="str">
        <f>+CONCATENATE("Záró pénzkészlet ",LEFT(ÖSSZEFÜGGÉSEK!A4,4),". december 31-én",CHAR(10),"ebből:")</f>
        <v>Záró pénzkészlet 2019. december 31-én
ebből:</v>
      </c>
      <c r="C13" s="710">
        <f>C7+C10-C11+C12</f>
        <v>195605607</v>
      </c>
    </row>
    <row r="14" spans="1:3" ht="18" customHeight="1">
      <c r="A14" s="268" t="s">
        <v>14</v>
      </c>
      <c r="B14" s="269" t="s">
        <v>297</v>
      </c>
      <c r="C14" s="270">
        <v>195205077</v>
      </c>
    </row>
    <row r="15" spans="1:3" ht="18" customHeight="1" thickBot="1">
      <c r="A15" s="277" t="s">
        <v>15</v>
      </c>
      <c r="B15" s="278" t="s">
        <v>298</v>
      </c>
      <c r="C15" s="279">
        <v>400530</v>
      </c>
    </row>
    <row r="17" ht="12.75">
      <c r="C17" s="714"/>
    </row>
  </sheetData>
  <sheetProtection/>
  <mergeCells count="2">
    <mergeCell ref="A3:C3"/>
    <mergeCell ref="A4:C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D17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5.875" style="0" bestFit="1" customWidth="1"/>
    <col min="2" max="2" width="51.125" style="0" customWidth="1"/>
    <col min="3" max="3" width="50.125" style="0" customWidth="1"/>
  </cols>
  <sheetData>
    <row r="1" spans="1:4" ht="15">
      <c r="A1" s="8"/>
      <c r="B1" s="8"/>
      <c r="C1" s="258" t="s">
        <v>792</v>
      </c>
      <c r="D1" s="8"/>
    </row>
    <row r="2" spans="1:4" ht="14.25">
      <c r="A2" s="259"/>
      <c r="B2" s="259"/>
      <c r="C2" s="259"/>
      <c r="D2" s="8"/>
    </row>
    <row r="3" spans="1:4" ht="14.25">
      <c r="A3" s="866" t="s">
        <v>767</v>
      </c>
      <c r="B3" s="866"/>
      <c r="C3" s="866"/>
      <c r="D3" s="8"/>
    </row>
    <row r="4" spans="1:4" ht="14.25">
      <c r="A4" s="866" t="s">
        <v>769</v>
      </c>
      <c r="B4" s="866"/>
      <c r="C4" s="866"/>
      <c r="D4" s="8"/>
    </row>
    <row r="5" spans="1:4" ht="13.5" thickBot="1">
      <c r="A5" s="8"/>
      <c r="B5" s="8"/>
      <c r="C5" s="260"/>
      <c r="D5" s="8"/>
    </row>
    <row r="6" spans="1:4" ht="30" customHeight="1" thickBot="1">
      <c r="A6" s="261" t="s">
        <v>5</v>
      </c>
      <c r="B6" s="262" t="s">
        <v>50</v>
      </c>
      <c r="C6" s="263" t="s">
        <v>738</v>
      </c>
      <c r="D6" s="264"/>
    </row>
    <row r="7" spans="1:4" ht="30" customHeight="1">
      <c r="A7" s="265" t="s">
        <v>7</v>
      </c>
      <c r="B7" s="266" t="str">
        <f>+CONCATENATE("Pénzkészlet ",LEFT(ÖSSZEFÜGGÉSEK!A4,4),". január 1-jén",CHAR(10),"ebből:")</f>
        <v>Pénzkészlet 2019. január 1-jén
ebből:</v>
      </c>
      <c r="C7" s="267">
        <f>C8+C9</f>
        <v>226765</v>
      </c>
      <c r="D7" s="8"/>
    </row>
    <row r="8" spans="1:4" ht="30" customHeight="1">
      <c r="A8" s="268" t="s">
        <v>8</v>
      </c>
      <c r="B8" s="269" t="s">
        <v>297</v>
      </c>
      <c r="C8" s="270">
        <v>204795</v>
      </c>
      <c r="D8" s="8"/>
    </row>
    <row r="9" spans="1:4" ht="30" customHeight="1">
      <c r="A9" s="268" t="s">
        <v>9</v>
      </c>
      <c r="B9" s="269" t="s">
        <v>298</v>
      </c>
      <c r="C9" s="270">
        <v>21970</v>
      </c>
      <c r="D9" s="8"/>
    </row>
    <row r="10" spans="1:4" ht="30" customHeight="1">
      <c r="A10" s="268" t="s">
        <v>10</v>
      </c>
      <c r="B10" s="271" t="s">
        <v>299</v>
      </c>
      <c r="C10" s="270">
        <v>87553674</v>
      </c>
      <c r="D10" s="8"/>
    </row>
    <row r="11" spans="1:4" ht="30" customHeight="1">
      <c r="A11" s="272" t="s">
        <v>11</v>
      </c>
      <c r="B11" s="273" t="s">
        <v>300</v>
      </c>
      <c r="C11" s="274">
        <v>85592767</v>
      </c>
      <c r="D11" s="8"/>
    </row>
    <row r="12" spans="1:4" ht="30" customHeight="1" thickBot="1">
      <c r="A12" s="277" t="s">
        <v>12</v>
      </c>
      <c r="B12" s="634" t="s">
        <v>732</v>
      </c>
      <c r="C12" s="279">
        <v>-1016800</v>
      </c>
      <c r="D12" s="8"/>
    </row>
    <row r="13" spans="1:4" ht="30" customHeight="1">
      <c r="A13" s="275" t="s">
        <v>13</v>
      </c>
      <c r="B13" s="276" t="str">
        <f>+CONCATENATE("Záró pénzkészlet ",LEFT(ÖSSZEFÜGGÉSEK!A4,4),". december 31-én",CHAR(10),"ebből:")</f>
        <v>Záró pénzkészlet 2019. december 31-én
ebből:</v>
      </c>
      <c r="C13" s="710">
        <f>C7+C10-C11+C12</f>
        <v>1170872</v>
      </c>
      <c r="D13" s="8"/>
    </row>
    <row r="14" spans="1:4" ht="30" customHeight="1">
      <c r="A14" s="268" t="s">
        <v>14</v>
      </c>
      <c r="B14" s="269" t="s">
        <v>297</v>
      </c>
      <c r="C14" s="270">
        <v>1046467</v>
      </c>
      <c r="D14" s="8"/>
    </row>
    <row r="15" spans="1:4" ht="30" customHeight="1" thickBot="1">
      <c r="A15" s="277" t="s">
        <v>15</v>
      </c>
      <c r="B15" s="278" t="s">
        <v>298</v>
      </c>
      <c r="C15" s="279">
        <v>124405</v>
      </c>
      <c r="D15" s="8"/>
    </row>
    <row r="16" spans="1:4" ht="12.75">
      <c r="A16" s="8"/>
      <c r="B16" s="8"/>
      <c r="C16" s="8"/>
      <c r="D16" s="8"/>
    </row>
    <row r="17" spans="1:4" ht="12.75">
      <c r="A17" s="8"/>
      <c r="B17" s="8"/>
      <c r="C17" s="714"/>
      <c r="D17" s="8"/>
    </row>
  </sheetData>
  <sheetProtection/>
  <mergeCells count="2">
    <mergeCell ref="A3:C3"/>
    <mergeCell ref="A4:C4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D17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5.875" style="0" bestFit="1" customWidth="1"/>
    <col min="2" max="2" width="61.875" style="0" customWidth="1"/>
    <col min="3" max="3" width="37.125" style="0" customWidth="1"/>
  </cols>
  <sheetData>
    <row r="1" spans="1:4" ht="15">
      <c r="A1" s="8"/>
      <c r="B1" s="8"/>
      <c r="C1" s="258" t="s">
        <v>793</v>
      </c>
      <c r="D1" s="8"/>
    </row>
    <row r="2" spans="1:4" ht="14.25">
      <c r="A2" s="259"/>
      <c r="B2" s="259"/>
      <c r="C2" s="259"/>
      <c r="D2" s="8"/>
    </row>
    <row r="3" spans="1:4" ht="14.25">
      <c r="A3" s="866" t="s">
        <v>770</v>
      </c>
      <c r="B3" s="866"/>
      <c r="C3" s="866"/>
      <c r="D3" s="8"/>
    </row>
    <row r="4" spans="1:4" ht="14.25">
      <c r="A4" s="866" t="s">
        <v>771</v>
      </c>
      <c r="B4" s="866"/>
      <c r="C4" s="866"/>
      <c r="D4" s="8"/>
    </row>
    <row r="5" spans="1:4" ht="13.5" thickBot="1">
      <c r="A5" s="8"/>
      <c r="B5" s="8"/>
      <c r="C5" s="260"/>
      <c r="D5" s="8"/>
    </row>
    <row r="6" spans="1:4" ht="24.75" customHeight="1" thickBot="1">
      <c r="A6" s="261" t="s">
        <v>5</v>
      </c>
      <c r="B6" s="262" t="s">
        <v>50</v>
      </c>
      <c r="C6" s="263" t="s">
        <v>738</v>
      </c>
      <c r="D6" s="264"/>
    </row>
    <row r="7" spans="1:4" ht="24.75" customHeight="1">
      <c r="A7" s="265" t="s">
        <v>7</v>
      </c>
      <c r="B7" s="266" t="str">
        <f>+CONCATENATE("Pénzkészlet ",LEFT(ÖSSZEFÜGGÉSEK!A4,4),". január 1-jén",CHAR(10),"ebből:")</f>
        <v>Pénzkészlet 2019. január 1-jén
ebből:</v>
      </c>
      <c r="C7" s="267">
        <f>C8+C9</f>
        <v>122764</v>
      </c>
      <c r="D7" s="8"/>
    </row>
    <row r="8" spans="1:4" ht="24.75" customHeight="1">
      <c r="A8" s="268" t="s">
        <v>8</v>
      </c>
      <c r="B8" s="269" t="s">
        <v>297</v>
      </c>
      <c r="C8" s="270">
        <v>54174</v>
      </c>
      <c r="D8" s="8"/>
    </row>
    <row r="9" spans="1:4" ht="24.75" customHeight="1">
      <c r="A9" s="268" t="s">
        <v>9</v>
      </c>
      <c r="B9" s="269" t="s">
        <v>298</v>
      </c>
      <c r="C9" s="270">
        <v>68590</v>
      </c>
      <c r="D9" s="8"/>
    </row>
    <row r="10" spans="1:4" ht="24.75" customHeight="1">
      <c r="A10" s="268" t="s">
        <v>10</v>
      </c>
      <c r="B10" s="271" t="s">
        <v>299</v>
      </c>
      <c r="C10" s="270">
        <v>51554335</v>
      </c>
      <c r="D10" s="8"/>
    </row>
    <row r="11" spans="1:4" ht="24.75" customHeight="1">
      <c r="A11" s="272" t="s">
        <v>11</v>
      </c>
      <c r="B11" s="273" t="s">
        <v>300</v>
      </c>
      <c r="C11" s="274">
        <f>51234439</f>
        <v>51234439</v>
      </c>
      <c r="D11" s="8"/>
    </row>
    <row r="12" spans="1:4" ht="24.75" customHeight="1" thickBot="1">
      <c r="A12" s="277" t="s">
        <v>12</v>
      </c>
      <c r="B12" s="634" t="s">
        <v>732</v>
      </c>
      <c r="C12" s="279"/>
      <c r="D12" s="8"/>
    </row>
    <row r="13" spans="1:4" ht="24.75" customHeight="1">
      <c r="A13" s="275" t="s">
        <v>13</v>
      </c>
      <c r="B13" s="276" t="str">
        <f>+CONCATENATE("Záró pénzkészlet ",LEFT(ÖSSZEFÜGGÉSEK!A4,4),". december 31-én",CHAR(10),"ebből:")</f>
        <v>Záró pénzkészlet 2019. december 31-én
ebből:</v>
      </c>
      <c r="C13" s="710">
        <f>C7+C10-C11+C12</f>
        <v>442660</v>
      </c>
      <c r="D13" s="8"/>
    </row>
    <row r="14" spans="1:4" ht="24.75" customHeight="1">
      <c r="A14" s="268" t="s">
        <v>14</v>
      </c>
      <c r="B14" s="269" t="s">
        <v>297</v>
      </c>
      <c r="C14" s="270">
        <v>0</v>
      </c>
      <c r="D14" s="8"/>
    </row>
    <row r="15" spans="1:4" ht="24.75" customHeight="1" thickBot="1">
      <c r="A15" s="277" t="s">
        <v>15</v>
      </c>
      <c r="B15" s="278" t="s">
        <v>298</v>
      </c>
      <c r="C15" s="279">
        <v>442660</v>
      </c>
      <c r="D15" s="8"/>
    </row>
    <row r="16" spans="1:4" ht="12.75">
      <c r="A16" s="8"/>
      <c r="B16" s="8"/>
      <c r="C16" s="8"/>
      <c r="D16" s="8"/>
    </row>
    <row r="17" spans="1:4" ht="12.75">
      <c r="A17" s="8"/>
      <c r="B17" s="8"/>
      <c r="C17" s="714"/>
      <c r="D17" s="8"/>
    </row>
  </sheetData>
  <sheetProtection/>
  <mergeCells count="2">
    <mergeCell ref="A3:C3"/>
    <mergeCell ref="A4:C4"/>
  </mergeCells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163"/>
  <sheetViews>
    <sheetView view="pageLayout" zoomScaleNormal="130" zoomScaleSheetLayoutView="100" workbookViewId="0" topLeftCell="A1">
      <selection activeCell="C97" sqref="C97"/>
    </sheetView>
  </sheetViews>
  <sheetFormatPr defaultColWidth="9.00390625" defaultRowHeight="12.75"/>
  <cols>
    <col min="1" max="1" width="9.50390625" style="375" customWidth="1"/>
    <col min="2" max="2" width="60.875" style="375" customWidth="1"/>
    <col min="3" max="5" width="15.875" style="376" customWidth="1"/>
    <col min="6" max="16384" width="9.375" style="386" customWidth="1"/>
  </cols>
  <sheetData>
    <row r="1" spans="1:5" ht="15.75" customHeight="1">
      <c r="A1" s="719" t="s">
        <v>4</v>
      </c>
      <c r="B1" s="719"/>
      <c r="C1" s="719"/>
      <c r="D1" s="719"/>
      <c r="E1" s="719"/>
    </row>
    <row r="2" spans="1:5" ht="15.75" customHeight="1" thickBot="1">
      <c r="A2" s="46" t="s">
        <v>109</v>
      </c>
      <c r="B2" s="46"/>
      <c r="C2" s="373"/>
      <c r="D2" s="373"/>
      <c r="E2" s="373" t="str">
        <f>'1.2.sz.mell.'!E2</f>
        <v>Forintban!</v>
      </c>
    </row>
    <row r="3" spans="1:5" ht="15.75" customHeight="1">
      <c r="A3" s="720" t="s">
        <v>57</v>
      </c>
      <c r="B3" s="722" t="s">
        <v>6</v>
      </c>
      <c r="C3" s="724" t="str">
        <f>+'1.1.sz.mell.'!C3:E3</f>
        <v>2019. évi</v>
      </c>
      <c r="D3" s="724"/>
      <c r="E3" s="725"/>
    </row>
    <row r="4" spans="1:5" ht="37.5" customHeight="1" thickBot="1">
      <c r="A4" s="721"/>
      <c r="B4" s="723"/>
      <c r="C4" s="48" t="s">
        <v>174</v>
      </c>
      <c r="D4" s="48" t="s">
        <v>179</v>
      </c>
      <c r="E4" s="49" t="s">
        <v>180</v>
      </c>
    </row>
    <row r="5" spans="1:5" s="387" customFormat="1" ht="12" customHeight="1" thickBot="1">
      <c r="A5" s="351" t="s">
        <v>410</v>
      </c>
      <c r="B5" s="352" t="s">
        <v>411</v>
      </c>
      <c r="C5" s="352" t="s">
        <v>412</v>
      </c>
      <c r="D5" s="352" t="s">
        <v>413</v>
      </c>
      <c r="E5" s="398" t="s">
        <v>414</v>
      </c>
    </row>
    <row r="6" spans="1:5" s="388" customFormat="1" ht="12" customHeight="1" thickBot="1">
      <c r="A6" s="346" t="s">
        <v>7</v>
      </c>
      <c r="B6" s="347" t="s">
        <v>302</v>
      </c>
      <c r="C6" s="378">
        <f>SUM(C7:C12)</f>
        <v>0</v>
      </c>
      <c r="D6" s="378">
        <f>SUM(D7:D12)</f>
        <v>0</v>
      </c>
      <c r="E6" s="361">
        <f>SUM(E7:E12)</f>
        <v>0</v>
      </c>
    </row>
    <row r="7" spans="1:5" s="388" customFormat="1" ht="12" customHeight="1">
      <c r="A7" s="341" t="s">
        <v>69</v>
      </c>
      <c r="B7" s="389" t="s">
        <v>303</v>
      </c>
      <c r="C7" s="380"/>
      <c r="D7" s="380"/>
      <c r="E7" s="363"/>
    </row>
    <row r="8" spans="1:5" s="388" customFormat="1" ht="12" customHeight="1">
      <c r="A8" s="340" t="s">
        <v>70</v>
      </c>
      <c r="B8" s="390" t="s">
        <v>304</v>
      </c>
      <c r="C8" s="379"/>
      <c r="D8" s="379"/>
      <c r="E8" s="362"/>
    </row>
    <row r="9" spans="1:5" s="388" customFormat="1" ht="12" customHeight="1">
      <c r="A9" s="340" t="s">
        <v>71</v>
      </c>
      <c r="B9" s="390" t="s">
        <v>305</v>
      </c>
      <c r="C9" s="379"/>
      <c r="D9" s="379"/>
      <c r="E9" s="362"/>
    </row>
    <row r="10" spans="1:5" s="388" customFormat="1" ht="12" customHeight="1">
      <c r="A10" s="340" t="s">
        <v>72</v>
      </c>
      <c r="B10" s="390" t="s">
        <v>306</v>
      </c>
      <c r="C10" s="379"/>
      <c r="D10" s="379"/>
      <c r="E10" s="362"/>
    </row>
    <row r="11" spans="1:5" s="388" customFormat="1" ht="12" customHeight="1">
      <c r="A11" s="340" t="s">
        <v>105</v>
      </c>
      <c r="B11" s="390" t="s">
        <v>307</v>
      </c>
      <c r="C11" s="379"/>
      <c r="D11" s="379"/>
      <c r="E11" s="362"/>
    </row>
    <row r="12" spans="1:5" s="388" customFormat="1" ht="12" customHeight="1" thickBot="1">
      <c r="A12" s="342" t="s">
        <v>73</v>
      </c>
      <c r="B12" s="391" t="s">
        <v>308</v>
      </c>
      <c r="C12" s="381"/>
      <c r="D12" s="381"/>
      <c r="E12" s="364"/>
    </row>
    <row r="13" spans="1:5" s="388" customFormat="1" ht="21" customHeight="1" thickBot="1">
      <c r="A13" s="346" t="s">
        <v>8</v>
      </c>
      <c r="B13" s="368" t="s">
        <v>309</v>
      </c>
      <c r="C13" s="378">
        <f>SUM(C14:C18)</f>
        <v>0</v>
      </c>
      <c r="D13" s="378">
        <f>SUM(D14:D18)</f>
        <v>0</v>
      </c>
      <c r="E13" s="361">
        <f>SUM(E14:E18)</f>
        <v>0</v>
      </c>
    </row>
    <row r="14" spans="1:5" s="388" customFormat="1" ht="12" customHeight="1">
      <c r="A14" s="341" t="s">
        <v>75</v>
      </c>
      <c r="B14" s="389" t="s">
        <v>310</v>
      </c>
      <c r="C14" s="380"/>
      <c r="D14" s="380"/>
      <c r="E14" s="363"/>
    </row>
    <row r="15" spans="1:5" s="388" customFormat="1" ht="12" customHeight="1">
      <c r="A15" s="340" t="s">
        <v>76</v>
      </c>
      <c r="B15" s="390" t="s">
        <v>311</v>
      </c>
      <c r="C15" s="379"/>
      <c r="D15" s="379"/>
      <c r="E15" s="362"/>
    </row>
    <row r="16" spans="1:5" s="388" customFormat="1" ht="12" customHeight="1">
      <c r="A16" s="340" t="s">
        <v>77</v>
      </c>
      <c r="B16" s="390" t="s">
        <v>312</v>
      </c>
      <c r="C16" s="379"/>
      <c r="D16" s="379"/>
      <c r="E16" s="362"/>
    </row>
    <row r="17" spans="1:5" s="388" customFormat="1" ht="12" customHeight="1">
      <c r="A17" s="340" t="s">
        <v>78</v>
      </c>
      <c r="B17" s="390" t="s">
        <v>313</v>
      </c>
      <c r="C17" s="379"/>
      <c r="D17" s="379"/>
      <c r="E17" s="362"/>
    </row>
    <row r="18" spans="1:5" s="388" customFormat="1" ht="12" customHeight="1">
      <c r="A18" s="340" t="s">
        <v>79</v>
      </c>
      <c r="B18" s="390" t="s">
        <v>314</v>
      </c>
      <c r="C18" s="379"/>
      <c r="D18" s="379"/>
      <c r="E18" s="362"/>
    </row>
    <row r="19" spans="1:5" s="388" customFormat="1" ht="12" customHeight="1">
      <c r="A19" s="340" t="s">
        <v>86</v>
      </c>
      <c r="B19" s="391" t="s">
        <v>759</v>
      </c>
      <c r="C19" s="381"/>
      <c r="D19" s="381"/>
      <c r="E19" s="364"/>
    </row>
    <row r="20" spans="1:5" s="388" customFormat="1" ht="12" customHeight="1" thickBot="1">
      <c r="A20" s="342" t="s">
        <v>88</v>
      </c>
      <c r="B20" s="391" t="s">
        <v>760</v>
      </c>
      <c r="C20" s="381"/>
      <c r="D20" s="381"/>
      <c r="E20" s="364"/>
    </row>
    <row r="21" spans="1:5" s="388" customFormat="1" ht="22.5" customHeight="1" thickBot="1">
      <c r="A21" s="346" t="s">
        <v>9</v>
      </c>
      <c r="B21" s="347" t="s">
        <v>316</v>
      </c>
      <c r="C21" s="378">
        <f>SUM(C22:C26)</f>
        <v>109415154</v>
      </c>
      <c r="D21" s="378">
        <f>SUM(D22:D26)</f>
        <v>114540185</v>
      </c>
      <c r="E21" s="361">
        <f>SUM(E22:E25)</f>
        <v>114540185</v>
      </c>
    </row>
    <row r="22" spans="1:5" s="388" customFormat="1" ht="12" customHeight="1">
      <c r="A22" s="341" t="s">
        <v>58</v>
      </c>
      <c r="B22" s="389" t="s">
        <v>317</v>
      </c>
      <c r="C22" s="380"/>
      <c r="D22" s="380"/>
      <c r="E22" s="363"/>
    </row>
    <row r="23" spans="1:5" s="388" customFormat="1" ht="12" customHeight="1">
      <c r="A23" s="340" t="s">
        <v>59</v>
      </c>
      <c r="B23" s="390" t="s">
        <v>318</v>
      </c>
      <c r="C23" s="379"/>
      <c r="D23" s="379"/>
      <c r="E23" s="362"/>
    </row>
    <row r="24" spans="1:5" s="388" customFormat="1" ht="12" customHeight="1">
      <c r="A24" s="340" t="s">
        <v>60</v>
      </c>
      <c r="B24" s="390" t="s">
        <v>319</v>
      </c>
      <c r="C24" s="379"/>
      <c r="D24" s="379"/>
      <c r="E24" s="362"/>
    </row>
    <row r="25" spans="1:5" s="388" customFormat="1" ht="12" customHeight="1">
      <c r="A25" s="340" t="s">
        <v>61</v>
      </c>
      <c r="B25" s="390" t="s">
        <v>320</v>
      </c>
      <c r="C25" s="379">
        <v>109415154</v>
      </c>
      <c r="D25" s="379">
        <v>114540185</v>
      </c>
      <c r="E25" s="362">
        <v>114540185</v>
      </c>
    </row>
    <row r="26" spans="1:5" s="388" customFormat="1" ht="12" customHeight="1">
      <c r="A26" s="340" t="s">
        <v>119</v>
      </c>
      <c r="B26" s="390" t="s">
        <v>321</v>
      </c>
      <c r="C26" s="379"/>
      <c r="D26" s="381"/>
      <c r="E26" s="364">
        <v>101396946</v>
      </c>
    </row>
    <row r="27" spans="1:5" s="388" customFormat="1" ht="12" customHeight="1" thickBot="1">
      <c r="A27" s="342" t="s">
        <v>120</v>
      </c>
      <c r="B27" s="391" t="s">
        <v>322</v>
      </c>
      <c r="C27" s="381"/>
      <c r="D27" s="381"/>
      <c r="E27" s="364">
        <v>13143239</v>
      </c>
    </row>
    <row r="28" spans="1:5" s="388" customFormat="1" ht="12" customHeight="1" thickBot="1">
      <c r="A28" s="346" t="s">
        <v>121</v>
      </c>
      <c r="B28" s="347" t="s">
        <v>724</v>
      </c>
      <c r="C28" s="384">
        <f>SUM(C29:C34)</f>
        <v>27150000</v>
      </c>
      <c r="D28" s="384">
        <f>SUM(D29:D34)</f>
        <v>45442319</v>
      </c>
      <c r="E28" s="397">
        <f>SUM(E29:E34)</f>
        <v>45343794</v>
      </c>
    </row>
    <row r="29" spans="1:5" s="388" customFormat="1" ht="12" customHeight="1">
      <c r="A29" s="341" t="s">
        <v>323</v>
      </c>
      <c r="B29" s="389" t="s">
        <v>743</v>
      </c>
      <c r="C29" s="380">
        <v>27000000</v>
      </c>
      <c r="D29" s="380">
        <v>45292319</v>
      </c>
      <c r="E29" s="363">
        <v>45292319</v>
      </c>
    </row>
    <row r="30" spans="1:5" s="388" customFormat="1" ht="12" customHeight="1">
      <c r="A30" s="340" t="s">
        <v>324</v>
      </c>
      <c r="B30" s="390" t="s">
        <v>729</v>
      </c>
      <c r="C30" s="379"/>
      <c r="D30" s="379"/>
      <c r="E30" s="362"/>
    </row>
    <row r="31" spans="1:5" s="388" customFormat="1" ht="12" customHeight="1">
      <c r="A31" s="340" t="s">
        <v>325</v>
      </c>
      <c r="B31" s="390" t="s">
        <v>730</v>
      </c>
      <c r="C31" s="379"/>
      <c r="D31" s="379"/>
      <c r="E31" s="362"/>
    </row>
    <row r="32" spans="1:5" s="388" customFormat="1" ht="12" customHeight="1">
      <c r="A32" s="340" t="s">
        <v>725</v>
      </c>
      <c r="B32" s="390" t="s">
        <v>731</v>
      </c>
      <c r="C32" s="379"/>
      <c r="D32" s="379"/>
      <c r="E32" s="362"/>
    </row>
    <row r="33" spans="1:5" s="388" customFormat="1" ht="12" customHeight="1">
      <c r="A33" s="340" t="s">
        <v>726</v>
      </c>
      <c r="B33" s="390" t="s">
        <v>326</v>
      </c>
      <c r="C33" s="379"/>
      <c r="D33" s="379"/>
      <c r="E33" s="362"/>
    </row>
    <row r="34" spans="1:5" s="388" customFormat="1" ht="12" customHeight="1" thickBot="1">
      <c r="A34" s="342" t="s">
        <v>727</v>
      </c>
      <c r="B34" s="370" t="s">
        <v>327</v>
      </c>
      <c r="C34" s="381">
        <v>150000</v>
      </c>
      <c r="D34" s="381">
        <v>150000</v>
      </c>
      <c r="E34" s="364">
        <v>51475</v>
      </c>
    </row>
    <row r="35" spans="1:5" s="388" customFormat="1" ht="12" customHeight="1" thickBot="1">
      <c r="A35" s="346" t="s">
        <v>11</v>
      </c>
      <c r="B35" s="347" t="s">
        <v>328</v>
      </c>
      <c r="C35" s="378">
        <f>SUM(C36:C45)</f>
        <v>8251566</v>
      </c>
      <c r="D35" s="378">
        <f>SUM(D36:D45)</f>
        <v>22626343</v>
      </c>
      <c r="E35" s="361">
        <f>SUM(E36:E45)</f>
        <v>22079059</v>
      </c>
    </row>
    <row r="36" spans="1:5" s="388" customFormat="1" ht="12" customHeight="1">
      <c r="A36" s="341" t="s">
        <v>62</v>
      </c>
      <c r="B36" s="389" t="s">
        <v>329</v>
      </c>
      <c r="C36" s="380">
        <v>2711200</v>
      </c>
      <c r="D36" s="380">
        <v>3656368</v>
      </c>
      <c r="E36" s="363">
        <v>3656368</v>
      </c>
    </row>
    <row r="37" spans="1:5" s="388" customFormat="1" ht="12" customHeight="1">
      <c r="A37" s="340" t="s">
        <v>63</v>
      </c>
      <c r="B37" s="390" t="s">
        <v>330</v>
      </c>
      <c r="C37" s="379">
        <f>5114166+60000</f>
        <v>5174166</v>
      </c>
      <c r="D37" s="379">
        <f>14037203+60000</f>
        <v>14097203</v>
      </c>
      <c r="E37" s="362">
        <f>13690651+15000</f>
        <v>13705651</v>
      </c>
    </row>
    <row r="38" spans="1:5" s="388" customFormat="1" ht="12" customHeight="1">
      <c r="A38" s="340" t="s">
        <v>64</v>
      </c>
      <c r="B38" s="390" t="s">
        <v>331</v>
      </c>
      <c r="C38" s="379"/>
      <c r="D38" s="379"/>
      <c r="E38" s="362"/>
    </row>
    <row r="39" spans="1:5" s="388" customFormat="1" ht="12" customHeight="1">
      <c r="A39" s="340" t="s">
        <v>123</v>
      </c>
      <c r="B39" s="390" t="s">
        <v>332</v>
      </c>
      <c r="C39" s="379"/>
      <c r="D39" s="379">
        <v>791569</v>
      </c>
      <c r="E39" s="362">
        <v>791569</v>
      </c>
    </row>
    <row r="40" spans="1:5" s="388" customFormat="1" ht="12" customHeight="1">
      <c r="A40" s="340" t="s">
        <v>124</v>
      </c>
      <c r="B40" s="390" t="s">
        <v>333</v>
      </c>
      <c r="C40" s="379">
        <v>150000</v>
      </c>
      <c r="D40" s="379">
        <v>186000</v>
      </c>
      <c r="E40" s="362">
        <v>186000</v>
      </c>
    </row>
    <row r="41" spans="1:5" s="388" customFormat="1" ht="12" customHeight="1">
      <c r="A41" s="340" t="s">
        <v>125</v>
      </c>
      <c r="B41" s="390" t="s">
        <v>334</v>
      </c>
      <c r="C41" s="379">
        <v>216200</v>
      </c>
      <c r="D41" s="379">
        <v>3851385</v>
      </c>
      <c r="E41" s="362">
        <v>3695653</v>
      </c>
    </row>
    <row r="42" spans="1:5" s="388" customFormat="1" ht="12" customHeight="1">
      <c r="A42" s="340" t="s">
        <v>126</v>
      </c>
      <c r="B42" s="390" t="s">
        <v>335</v>
      </c>
      <c r="C42" s="379"/>
      <c r="D42" s="379"/>
      <c r="E42" s="362"/>
    </row>
    <row r="43" spans="1:5" s="388" customFormat="1" ht="12" customHeight="1">
      <c r="A43" s="340" t="s">
        <v>127</v>
      </c>
      <c r="B43" s="390" t="s">
        <v>336</v>
      </c>
      <c r="C43" s="379"/>
      <c r="D43" s="379">
        <v>29548</v>
      </c>
      <c r="E43" s="362">
        <v>29548</v>
      </c>
    </row>
    <row r="44" spans="1:5" s="388" customFormat="1" ht="12" customHeight="1">
      <c r="A44" s="340" t="s">
        <v>337</v>
      </c>
      <c r="B44" s="390" t="s">
        <v>338</v>
      </c>
      <c r="C44" s="382"/>
      <c r="D44" s="382"/>
      <c r="E44" s="365"/>
    </row>
    <row r="45" spans="1:5" s="388" customFormat="1" ht="12" customHeight="1" thickBot="1">
      <c r="A45" s="342" t="s">
        <v>339</v>
      </c>
      <c r="B45" s="391" t="s">
        <v>340</v>
      </c>
      <c r="C45" s="383"/>
      <c r="D45" s="383">
        <v>14270</v>
      </c>
      <c r="E45" s="366">
        <v>14270</v>
      </c>
    </row>
    <row r="46" spans="1:5" s="388" customFormat="1" ht="12" customHeight="1" thickBot="1">
      <c r="A46" s="346" t="s">
        <v>12</v>
      </c>
      <c r="B46" s="347" t="s">
        <v>341</v>
      </c>
      <c r="C46" s="378">
        <f>SUM(C47:C51)</f>
        <v>0</v>
      </c>
      <c r="D46" s="378">
        <f>SUM(D47:D51)</f>
        <v>0</v>
      </c>
      <c r="E46" s="361">
        <f>SUM(E47:E51)</f>
        <v>0</v>
      </c>
    </row>
    <row r="47" spans="1:5" s="388" customFormat="1" ht="12" customHeight="1">
      <c r="A47" s="341" t="s">
        <v>65</v>
      </c>
      <c r="B47" s="389" t="s">
        <v>342</v>
      </c>
      <c r="C47" s="399"/>
      <c r="D47" s="399"/>
      <c r="E47" s="367"/>
    </row>
    <row r="48" spans="1:5" s="388" customFormat="1" ht="12" customHeight="1">
      <c r="A48" s="340" t="s">
        <v>66</v>
      </c>
      <c r="B48" s="390" t="s">
        <v>343</v>
      </c>
      <c r="C48" s="382"/>
      <c r="D48" s="382"/>
      <c r="E48" s="365"/>
    </row>
    <row r="49" spans="1:5" s="388" customFormat="1" ht="12" customHeight="1">
      <c r="A49" s="340" t="s">
        <v>344</v>
      </c>
      <c r="B49" s="390" t="s">
        <v>345</v>
      </c>
      <c r="C49" s="382"/>
      <c r="D49" s="382"/>
      <c r="E49" s="365"/>
    </row>
    <row r="50" spans="1:5" s="388" customFormat="1" ht="12" customHeight="1">
      <c r="A50" s="340" t="s">
        <v>346</v>
      </c>
      <c r="B50" s="390" t="s">
        <v>347</v>
      </c>
      <c r="C50" s="382"/>
      <c r="D50" s="382"/>
      <c r="E50" s="365"/>
    </row>
    <row r="51" spans="1:5" s="388" customFormat="1" ht="12" customHeight="1" thickBot="1">
      <c r="A51" s="342" t="s">
        <v>348</v>
      </c>
      <c r="B51" s="391" t="s">
        <v>349</v>
      </c>
      <c r="C51" s="383"/>
      <c r="D51" s="383"/>
      <c r="E51" s="366"/>
    </row>
    <row r="52" spans="1:5" s="388" customFormat="1" ht="17.25" customHeight="1" thickBot="1">
      <c r="A52" s="346" t="s">
        <v>128</v>
      </c>
      <c r="B52" s="347" t="s">
        <v>350</v>
      </c>
      <c r="C52" s="378">
        <f>SUM(C53:C55)</f>
        <v>0</v>
      </c>
      <c r="D52" s="378">
        <f>SUM(D53:D55)</f>
        <v>0</v>
      </c>
      <c r="E52" s="361">
        <f>SUM(E53:E55)</f>
        <v>0</v>
      </c>
    </row>
    <row r="53" spans="1:5" s="388" customFormat="1" ht="12" customHeight="1">
      <c r="A53" s="341" t="s">
        <v>67</v>
      </c>
      <c r="B53" s="389" t="s">
        <v>351</v>
      </c>
      <c r="C53" s="380"/>
      <c r="D53" s="380"/>
      <c r="E53" s="363"/>
    </row>
    <row r="54" spans="1:5" s="388" customFormat="1" ht="12" customHeight="1">
      <c r="A54" s="340" t="s">
        <v>68</v>
      </c>
      <c r="B54" s="390" t="s">
        <v>352</v>
      </c>
      <c r="C54" s="379"/>
      <c r="D54" s="379"/>
      <c r="E54" s="362"/>
    </row>
    <row r="55" spans="1:5" s="388" customFormat="1" ht="12" customHeight="1">
      <c r="A55" s="340" t="s">
        <v>353</v>
      </c>
      <c r="B55" s="390" t="s">
        <v>354</v>
      </c>
      <c r="C55" s="379"/>
      <c r="D55" s="379"/>
      <c r="E55" s="362"/>
    </row>
    <row r="56" spans="1:5" s="388" customFormat="1" ht="12" customHeight="1" thickBot="1">
      <c r="A56" s="342" t="s">
        <v>355</v>
      </c>
      <c r="B56" s="391" t="s">
        <v>356</v>
      </c>
      <c r="C56" s="381"/>
      <c r="D56" s="381"/>
      <c r="E56" s="364"/>
    </row>
    <row r="57" spans="1:5" s="388" customFormat="1" ht="12" customHeight="1" thickBot="1">
      <c r="A57" s="346" t="s">
        <v>14</v>
      </c>
      <c r="B57" s="368" t="s">
        <v>357</v>
      </c>
      <c r="C57" s="378">
        <f>SUM(C58:C60)</f>
        <v>0</v>
      </c>
      <c r="D57" s="378">
        <f>SUM(D58:D60)</f>
        <v>0</v>
      </c>
      <c r="E57" s="361">
        <f>SUM(E58:E60)</f>
        <v>0</v>
      </c>
    </row>
    <row r="58" spans="1:5" s="388" customFormat="1" ht="12" customHeight="1">
      <c r="A58" s="341" t="s">
        <v>129</v>
      </c>
      <c r="B58" s="389" t="s">
        <v>358</v>
      </c>
      <c r="C58" s="382"/>
      <c r="D58" s="382"/>
      <c r="E58" s="365"/>
    </row>
    <row r="59" spans="1:5" s="388" customFormat="1" ht="12" customHeight="1">
      <c r="A59" s="340" t="s">
        <v>130</v>
      </c>
      <c r="B59" s="390" t="s">
        <v>359</v>
      </c>
      <c r="C59" s="382"/>
      <c r="D59" s="382"/>
      <c r="E59" s="365"/>
    </row>
    <row r="60" spans="1:5" s="388" customFormat="1" ht="12" customHeight="1">
      <c r="A60" s="340" t="s">
        <v>156</v>
      </c>
      <c r="B60" s="390" t="s">
        <v>360</v>
      </c>
      <c r="C60" s="382"/>
      <c r="D60" s="382"/>
      <c r="E60" s="365"/>
    </row>
    <row r="61" spans="1:5" s="388" customFormat="1" ht="12" customHeight="1" thickBot="1">
      <c r="A61" s="342" t="s">
        <v>361</v>
      </c>
      <c r="B61" s="391" t="s">
        <v>362</v>
      </c>
      <c r="C61" s="382"/>
      <c r="D61" s="382"/>
      <c r="E61" s="365"/>
    </row>
    <row r="62" spans="1:5" s="388" customFormat="1" ht="12" customHeight="1" thickBot="1">
      <c r="A62" s="346" t="s">
        <v>15</v>
      </c>
      <c r="B62" s="347" t="s">
        <v>363</v>
      </c>
      <c r="C62" s="384">
        <f>+C6+C13+C21+C28+C35+C46+C52+C57</f>
        <v>144816720</v>
      </c>
      <c r="D62" s="384">
        <f>+D6+D13+D21+D28+D35+D46+D52+D57</f>
        <v>182608847</v>
      </c>
      <c r="E62" s="397">
        <f>+E6+E13+E21+E28+E35+E46+E52+E57</f>
        <v>181963038</v>
      </c>
    </row>
    <row r="63" spans="1:5" s="388" customFormat="1" ht="12" customHeight="1" thickBot="1">
      <c r="A63" s="400" t="s">
        <v>364</v>
      </c>
      <c r="B63" s="368" t="s">
        <v>365</v>
      </c>
      <c r="C63" s="378">
        <f>+C64+C65+C66</f>
        <v>0</v>
      </c>
      <c r="D63" s="378">
        <f>+D64+D65+D66</f>
        <v>0</v>
      </c>
      <c r="E63" s="361">
        <f>+E64+E65+E66</f>
        <v>0</v>
      </c>
    </row>
    <row r="64" spans="1:5" s="388" customFormat="1" ht="12" customHeight="1">
      <c r="A64" s="341" t="s">
        <v>366</v>
      </c>
      <c r="B64" s="389" t="s">
        <v>367</v>
      </c>
      <c r="C64" s="382"/>
      <c r="D64" s="382"/>
      <c r="E64" s="365"/>
    </row>
    <row r="65" spans="1:5" s="388" customFormat="1" ht="12" customHeight="1">
      <c r="A65" s="340" t="s">
        <v>368</v>
      </c>
      <c r="B65" s="390" t="s">
        <v>369</v>
      </c>
      <c r="C65" s="382"/>
      <c r="D65" s="382"/>
      <c r="E65" s="365"/>
    </row>
    <row r="66" spans="1:5" s="388" customFormat="1" ht="12" customHeight="1" thickBot="1">
      <c r="A66" s="342" t="s">
        <v>370</v>
      </c>
      <c r="B66" s="326" t="s">
        <v>415</v>
      </c>
      <c r="C66" s="382"/>
      <c r="D66" s="382"/>
      <c r="E66" s="365"/>
    </row>
    <row r="67" spans="1:5" s="388" customFormat="1" ht="12" customHeight="1" thickBot="1">
      <c r="A67" s="400" t="s">
        <v>372</v>
      </c>
      <c r="B67" s="368" t="s">
        <v>373</v>
      </c>
      <c r="C67" s="378">
        <f>+C68+C69+C70+C71</f>
        <v>0</v>
      </c>
      <c r="D67" s="378">
        <f>+D68+D69+D70+D71</f>
        <v>0</v>
      </c>
      <c r="E67" s="361">
        <f>+E68+E69+E70+E71</f>
        <v>0</v>
      </c>
    </row>
    <row r="68" spans="1:5" s="388" customFormat="1" ht="13.5" customHeight="1">
      <c r="A68" s="341" t="s">
        <v>106</v>
      </c>
      <c r="B68" s="389" t="s">
        <v>374</v>
      </c>
      <c r="C68" s="382"/>
      <c r="D68" s="382"/>
      <c r="E68" s="365"/>
    </row>
    <row r="69" spans="1:5" s="388" customFormat="1" ht="12" customHeight="1">
      <c r="A69" s="340" t="s">
        <v>107</v>
      </c>
      <c r="B69" s="390" t="s">
        <v>375</v>
      </c>
      <c r="C69" s="382"/>
      <c r="D69" s="382"/>
      <c r="E69" s="365"/>
    </row>
    <row r="70" spans="1:5" s="388" customFormat="1" ht="12" customHeight="1">
      <c r="A70" s="340" t="s">
        <v>376</v>
      </c>
      <c r="B70" s="390" t="s">
        <v>377</v>
      </c>
      <c r="C70" s="382"/>
      <c r="D70" s="382"/>
      <c r="E70" s="365"/>
    </row>
    <row r="71" spans="1:5" s="388" customFormat="1" ht="12" customHeight="1" thickBot="1">
      <c r="A71" s="342" t="s">
        <v>378</v>
      </c>
      <c r="B71" s="391" t="s">
        <v>379</v>
      </c>
      <c r="C71" s="382"/>
      <c r="D71" s="382"/>
      <c r="E71" s="365"/>
    </row>
    <row r="72" spans="1:5" s="388" customFormat="1" ht="12" customHeight="1" thickBot="1">
      <c r="A72" s="400" t="s">
        <v>380</v>
      </c>
      <c r="B72" s="368" t="s">
        <v>381</v>
      </c>
      <c r="C72" s="378">
        <f>+C73+C74</f>
        <v>0</v>
      </c>
      <c r="D72" s="378">
        <f>+D73+D74</f>
        <v>0</v>
      </c>
      <c r="E72" s="361">
        <f>+E73+E74</f>
        <v>0</v>
      </c>
    </row>
    <row r="73" spans="1:5" s="388" customFormat="1" ht="12" customHeight="1">
      <c r="A73" s="341" t="s">
        <v>382</v>
      </c>
      <c r="B73" s="389" t="s">
        <v>383</v>
      </c>
      <c r="C73" s="382"/>
      <c r="D73" s="382"/>
      <c r="E73" s="365"/>
    </row>
    <row r="74" spans="1:5" s="388" customFormat="1" ht="12" customHeight="1" thickBot="1">
      <c r="A74" s="342" t="s">
        <v>384</v>
      </c>
      <c r="B74" s="391" t="s">
        <v>385</v>
      </c>
      <c r="C74" s="382"/>
      <c r="D74" s="382"/>
      <c r="E74" s="365"/>
    </row>
    <row r="75" spans="1:5" s="388" customFormat="1" ht="12" customHeight="1" thickBot="1">
      <c r="A75" s="400" t="s">
        <v>386</v>
      </c>
      <c r="B75" s="368" t="s">
        <v>387</v>
      </c>
      <c r="C75" s="378">
        <f>+C76+C77+C78</f>
        <v>0</v>
      </c>
      <c r="D75" s="378">
        <f>+D76+D77+D78</f>
        <v>34166867</v>
      </c>
      <c r="E75" s="361">
        <f>+E76+E77+E78</f>
        <v>34166867</v>
      </c>
    </row>
    <row r="76" spans="1:5" s="388" customFormat="1" ht="12" customHeight="1">
      <c r="A76" s="341" t="s">
        <v>388</v>
      </c>
      <c r="B76" s="389" t="s">
        <v>389</v>
      </c>
      <c r="C76" s="382"/>
      <c r="D76" s="382"/>
      <c r="E76" s="365"/>
    </row>
    <row r="77" spans="1:5" s="388" customFormat="1" ht="12" customHeight="1">
      <c r="A77" s="340" t="s">
        <v>390</v>
      </c>
      <c r="B77" s="390" t="s">
        <v>391</v>
      </c>
      <c r="C77" s="382"/>
      <c r="D77" s="382"/>
      <c r="E77" s="365"/>
    </row>
    <row r="78" spans="1:5" s="388" customFormat="1" ht="12" customHeight="1" thickBot="1">
      <c r="A78" s="342" t="s">
        <v>392</v>
      </c>
      <c r="B78" s="370" t="s">
        <v>393</v>
      </c>
      <c r="C78" s="382"/>
      <c r="D78" s="382">
        <v>34166867</v>
      </c>
      <c r="E78" s="365">
        <v>34166867</v>
      </c>
    </row>
    <row r="79" spans="1:5" s="388" customFormat="1" ht="12" customHeight="1" thickBot="1">
      <c r="A79" s="400" t="s">
        <v>394</v>
      </c>
      <c r="B79" s="368" t="s">
        <v>395</v>
      </c>
      <c r="C79" s="378">
        <f>+C80+C81+C82+C83</f>
        <v>0</v>
      </c>
      <c r="D79" s="378">
        <f>+D80+D81+D82+D83</f>
        <v>0</v>
      </c>
      <c r="E79" s="361">
        <f>+E80+E81+E82+E83</f>
        <v>0</v>
      </c>
    </row>
    <row r="80" spans="1:5" s="388" customFormat="1" ht="12" customHeight="1">
      <c r="A80" s="392" t="s">
        <v>396</v>
      </c>
      <c r="B80" s="389" t="s">
        <v>397</v>
      </c>
      <c r="C80" s="382"/>
      <c r="D80" s="382"/>
      <c r="E80" s="365"/>
    </row>
    <row r="81" spans="1:5" s="388" customFormat="1" ht="12" customHeight="1">
      <c r="A81" s="393" t="s">
        <v>398</v>
      </c>
      <c r="B81" s="390" t="s">
        <v>399</v>
      </c>
      <c r="C81" s="382"/>
      <c r="D81" s="382"/>
      <c r="E81" s="365"/>
    </row>
    <row r="82" spans="1:5" s="388" customFormat="1" ht="12" customHeight="1">
      <c r="A82" s="393" t="s">
        <v>400</v>
      </c>
      <c r="B82" s="390" t="s">
        <v>401</v>
      </c>
      <c r="C82" s="382"/>
      <c r="D82" s="382"/>
      <c r="E82" s="365"/>
    </row>
    <row r="83" spans="1:5" s="388" customFormat="1" ht="12" customHeight="1" thickBot="1">
      <c r="A83" s="401" t="s">
        <v>402</v>
      </c>
      <c r="B83" s="370" t="s">
        <v>403</v>
      </c>
      <c r="C83" s="382"/>
      <c r="D83" s="382"/>
      <c r="E83" s="365"/>
    </row>
    <row r="84" spans="1:5" s="388" customFormat="1" ht="12" customHeight="1" thickBot="1">
      <c r="A84" s="400" t="s">
        <v>404</v>
      </c>
      <c r="B84" s="368" t="s">
        <v>405</v>
      </c>
      <c r="C84" s="403"/>
      <c r="D84" s="403"/>
      <c r="E84" s="404"/>
    </row>
    <row r="85" spans="1:5" s="388" customFormat="1" ht="12" customHeight="1" thickBot="1">
      <c r="A85" s="400" t="s">
        <v>406</v>
      </c>
      <c r="B85" s="324" t="s">
        <v>407</v>
      </c>
      <c r="C85" s="384">
        <f>+C63+C67+C72+C75+C79+C84</f>
        <v>0</v>
      </c>
      <c r="D85" s="384">
        <f>+D63+D67+D72+D75+D79+D84</f>
        <v>34166867</v>
      </c>
      <c r="E85" s="397">
        <f>+E63+E67+E72+E75+E79+E84</f>
        <v>34166867</v>
      </c>
    </row>
    <row r="86" spans="1:5" s="388" customFormat="1" ht="12" customHeight="1" thickBot="1">
      <c r="A86" s="402" t="s">
        <v>408</v>
      </c>
      <c r="B86" s="327" t="s">
        <v>409</v>
      </c>
      <c r="C86" s="384">
        <f>+C62+C85</f>
        <v>144816720</v>
      </c>
      <c r="D86" s="384">
        <f>+D62+D85</f>
        <v>216775714</v>
      </c>
      <c r="E86" s="397">
        <f>+E62+E85</f>
        <v>216129905</v>
      </c>
    </row>
    <row r="87" spans="1:5" s="388" customFormat="1" ht="12" customHeight="1">
      <c r="A87" s="322"/>
      <c r="B87" s="322"/>
      <c r="C87" s="323"/>
      <c r="D87" s="323"/>
      <c r="E87" s="323"/>
    </row>
    <row r="88" spans="1:5" ht="16.5" customHeight="1">
      <c r="A88" s="719" t="s">
        <v>36</v>
      </c>
      <c r="B88" s="719"/>
      <c r="C88" s="719"/>
      <c r="D88" s="719"/>
      <c r="E88" s="719"/>
    </row>
    <row r="89" spans="1:5" s="394" customFormat="1" ht="16.5" customHeight="1" thickBot="1">
      <c r="A89" s="47" t="s">
        <v>110</v>
      </c>
      <c r="B89" s="47"/>
      <c r="C89" s="355"/>
      <c r="D89" s="355"/>
      <c r="E89" s="355" t="str">
        <f>E2</f>
        <v>Forintban!</v>
      </c>
    </row>
    <row r="90" spans="1:5" s="394" customFormat="1" ht="16.5" customHeight="1">
      <c r="A90" s="720" t="s">
        <v>57</v>
      </c>
      <c r="B90" s="722" t="s">
        <v>173</v>
      </c>
      <c r="C90" s="724" t="str">
        <f>+C3</f>
        <v>2019. évi</v>
      </c>
      <c r="D90" s="724"/>
      <c r="E90" s="725"/>
    </row>
    <row r="91" spans="1:5" ht="37.5" customHeight="1" thickBot="1">
      <c r="A91" s="721"/>
      <c r="B91" s="723"/>
      <c r="C91" s="48" t="s">
        <v>174</v>
      </c>
      <c r="D91" s="48" t="s">
        <v>179</v>
      </c>
      <c r="E91" s="49" t="s">
        <v>180</v>
      </c>
    </row>
    <row r="92" spans="1:5" s="387" customFormat="1" ht="12" customHeight="1" thickBot="1">
      <c r="A92" s="351" t="s">
        <v>410</v>
      </c>
      <c r="B92" s="352" t="s">
        <v>411</v>
      </c>
      <c r="C92" s="352" t="s">
        <v>412</v>
      </c>
      <c r="D92" s="352" t="s">
        <v>413</v>
      </c>
      <c r="E92" s="353" t="s">
        <v>414</v>
      </c>
    </row>
    <row r="93" spans="1:5" ht="12" customHeight="1" thickBot="1">
      <c r="A93" s="348" t="s">
        <v>7</v>
      </c>
      <c r="B93" s="350" t="s">
        <v>416</v>
      </c>
      <c r="C93" s="377">
        <f>SUM(C94:C98)</f>
        <v>10062532</v>
      </c>
      <c r="D93" s="377">
        <f>SUM(D94:D98)</f>
        <v>21204560</v>
      </c>
      <c r="E93" s="332">
        <f>SUM(E94:E98)</f>
        <v>16012863</v>
      </c>
    </row>
    <row r="94" spans="1:5" ht="12" customHeight="1">
      <c r="A94" s="343" t="s">
        <v>69</v>
      </c>
      <c r="B94" s="336" t="s">
        <v>37</v>
      </c>
      <c r="C94" s="78"/>
      <c r="D94" s="78"/>
      <c r="E94" s="331"/>
    </row>
    <row r="95" spans="1:5" ht="12" customHeight="1">
      <c r="A95" s="340" t="s">
        <v>70</v>
      </c>
      <c r="B95" s="334" t="s">
        <v>131</v>
      </c>
      <c r="C95" s="379"/>
      <c r="D95" s="379"/>
      <c r="E95" s="362"/>
    </row>
    <row r="96" spans="1:5" ht="12" customHeight="1">
      <c r="A96" s="340" t="s">
        <v>71</v>
      </c>
      <c r="B96" s="334" t="s">
        <v>98</v>
      </c>
      <c r="C96" s="381">
        <v>2771200</v>
      </c>
      <c r="D96" s="381">
        <v>3716368</v>
      </c>
      <c r="E96" s="364">
        <v>2671349</v>
      </c>
    </row>
    <row r="97" spans="1:5" ht="12" customHeight="1">
      <c r="A97" s="340" t="s">
        <v>72</v>
      </c>
      <c r="B97" s="337" t="s">
        <v>132</v>
      </c>
      <c r="C97" s="381"/>
      <c r="D97" s="381"/>
      <c r="E97" s="364"/>
    </row>
    <row r="98" spans="1:5" ht="12" customHeight="1">
      <c r="A98" s="340" t="s">
        <v>81</v>
      </c>
      <c r="B98" s="345" t="s">
        <v>133</v>
      </c>
      <c r="C98" s="381">
        <v>7291332</v>
      </c>
      <c r="D98" s="381">
        <v>17488192</v>
      </c>
      <c r="E98" s="364">
        <v>13341514</v>
      </c>
    </row>
    <row r="99" spans="1:5" ht="12" customHeight="1">
      <c r="A99" s="340" t="s">
        <v>73</v>
      </c>
      <c r="B99" s="334" t="s">
        <v>417</v>
      </c>
      <c r="C99" s="381"/>
      <c r="D99" s="381"/>
      <c r="E99" s="364"/>
    </row>
    <row r="100" spans="1:5" ht="12" customHeight="1">
      <c r="A100" s="340" t="s">
        <v>74</v>
      </c>
      <c r="B100" s="357" t="s">
        <v>418</v>
      </c>
      <c r="C100" s="381"/>
      <c r="D100" s="381"/>
      <c r="E100" s="364"/>
    </row>
    <row r="101" spans="1:5" ht="12" customHeight="1">
      <c r="A101" s="340" t="s">
        <v>82</v>
      </c>
      <c r="B101" s="358" t="s">
        <v>419</v>
      </c>
      <c r="C101" s="381"/>
      <c r="D101" s="381"/>
      <c r="E101" s="364"/>
    </row>
    <row r="102" spans="1:5" ht="22.5">
      <c r="A102" s="340" t="s">
        <v>83</v>
      </c>
      <c r="B102" s="358" t="s">
        <v>420</v>
      </c>
      <c r="C102" s="381"/>
      <c r="D102" s="381"/>
      <c r="E102" s="364"/>
    </row>
    <row r="103" spans="1:5" ht="12" customHeight="1">
      <c r="A103" s="340" t="s">
        <v>84</v>
      </c>
      <c r="B103" s="357" t="s">
        <v>421</v>
      </c>
      <c r="C103" s="381">
        <v>6691332</v>
      </c>
      <c r="D103" s="381">
        <v>6691332</v>
      </c>
      <c r="E103" s="364">
        <v>2544654</v>
      </c>
    </row>
    <row r="104" spans="1:5" ht="12" customHeight="1">
      <c r="A104" s="340" t="s">
        <v>85</v>
      </c>
      <c r="B104" s="357" t="s">
        <v>422</v>
      </c>
      <c r="C104" s="381"/>
      <c r="D104" s="381"/>
      <c r="E104" s="364"/>
    </row>
    <row r="105" spans="1:5" ht="12" customHeight="1">
      <c r="A105" s="340" t="s">
        <v>87</v>
      </c>
      <c r="B105" s="358" t="s">
        <v>423</v>
      </c>
      <c r="C105" s="381"/>
      <c r="D105" s="381"/>
      <c r="E105" s="364"/>
    </row>
    <row r="106" spans="1:5" ht="12" customHeight="1">
      <c r="A106" s="339" t="s">
        <v>134</v>
      </c>
      <c r="B106" s="359" t="s">
        <v>424</v>
      </c>
      <c r="C106" s="381"/>
      <c r="D106" s="381"/>
      <c r="E106" s="364"/>
    </row>
    <row r="107" spans="1:5" ht="12" customHeight="1">
      <c r="A107" s="340" t="s">
        <v>425</v>
      </c>
      <c r="B107" s="359" t="s">
        <v>426</v>
      </c>
      <c r="C107" s="381"/>
      <c r="D107" s="381"/>
      <c r="E107" s="364"/>
    </row>
    <row r="108" spans="1:5" ht="12" customHeight="1" thickBot="1">
      <c r="A108" s="344" t="s">
        <v>427</v>
      </c>
      <c r="B108" s="360" t="s">
        <v>428</v>
      </c>
      <c r="C108" s="79">
        <v>600000</v>
      </c>
      <c r="D108" s="79">
        <v>10796860</v>
      </c>
      <c r="E108" s="325">
        <v>10796860</v>
      </c>
    </row>
    <row r="109" spans="1:5" ht="12" customHeight="1" thickBot="1">
      <c r="A109" s="346" t="s">
        <v>8</v>
      </c>
      <c r="B109" s="349" t="s">
        <v>429</v>
      </c>
      <c r="C109" s="378">
        <f>+C110+C112+C114</f>
        <v>312709794</v>
      </c>
      <c r="D109" s="378">
        <f>+D110+D112+D114</f>
        <v>315086710</v>
      </c>
      <c r="E109" s="361">
        <f>+E110+E112+E114</f>
        <v>145194622</v>
      </c>
    </row>
    <row r="110" spans="1:5" ht="12" customHeight="1">
      <c r="A110" s="341" t="s">
        <v>75</v>
      </c>
      <c r="B110" s="334" t="s">
        <v>155</v>
      </c>
      <c r="C110" s="380">
        <v>179712700</v>
      </c>
      <c r="D110" s="380">
        <v>182697036</v>
      </c>
      <c r="E110" s="363">
        <v>36070621</v>
      </c>
    </row>
    <row r="111" spans="1:5" ht="12" customHeight="1">
      <c r="A111" s="341" t="s">
        <v>76</v>
      </c>
      <c r="B111" s="338" t="s">
        <v>430</v>
      </c>
      <c r="C111" s="380"/>
      <c r="D111" s="380"/>
      <c r="E111" s="363"/>
    </row>
    <row r="112" spans="1:5" ht="15.75">
      <c r="A112" s="341" t="s">
        <v>77</v>
      </c>
      <c r="B112" s="338" t="s">
        <v>135</v>
      </c>
      <c r="C112" s="379">
        <v>132997094</v>
      </c>
      <c r="D112" s="379">
        <v>132389674</v>
      </c>
      <c r="E112" s="362">
        <v>109124001</v>
      </c>
    </row>
    <row r="113" spans="1:5" ht="12" customHeight="1">
      <c r="A113" s="341" t="s">
        <v>78</v>
      </c>
      <c r="B113" s="338" t="s">
        <v>431</v>
      </c>
      <c r="C113" s="379"/>
      <c r="D113" s="379"/>
      <c r="E113" s="362"/>
    </row>
    <row r="114" spans="1:5" ht="12" customHeight="1">
      <c r="A114" s="341" t="s">
        <v>79</v>
      </c>
      <c r="B114" s="370" t="s">
        <v>157</v>
      </c>
      <c r="C114" s="379"/>
      <c r="D114" s="379"/>
      <c r="E114" s="362"/>
    </row>
    <row r="115" spans="1:5" ht="21.75" customHeight="1">
      <c r="A115" s="341" t="s">
        <v>86</v>
      </c>
      <c r="B115" s="369" t="s">
        <v>432</v>
      </c>
      <c r="C115" s="379"/>
      <c r="D115" s="379"/>
      <c r="E115" s="362"/>
    </row>
    <row r="116" spans="1:5" ht="24" customHeight="1">
      <c r="A116" s="341" t="s">
        <v>88</v>
      </c>
      <c r="B116" s="385" t="s">
        <v>433</v>
      </c>
      <c r="C116" s="379"/>
      <c r="D116" s="379"/>
      <c r="E116" s="362"/>
    </row>
    <row r="117" spans="1:5" ht="12" customHeight="1">
      <c r="A117" s="341" t="s">
        <v>136</v>
      </c>
      <c r="B117" s="358" t="s">
        <v>420</v>
      </c>
      <c r="C117" s="379"/>
      <c r="D117" s="379"/>
      <c r="E117" s="362"/>
    </row>
    <row r="118" spans="1:5" ht="12" customHeight="1">
      <c r="A118" s="341" t="s">
        <v>137</v>
      </c>
      <c r="B118" s="358" t="s">
        <v>434</v>
      </c>
      <c r="C118" s="379"/>
      <c r="D118" s="379"/>
      <c r="E118" s="362"/>
    </row>
    <row r="119" spans="1:5" ht="12" customHeight="1">
      <c r="A119" s="341" t="s">
        <v>138</v>
      </c>
      <c r="B119" s="358" t="s">
        <v>435</v>
      </c>
      <c r="C119" s="379"/>
      <c r="D119" s="379"/>
      <c r="E119" s="362"/>
    </row>
    <row r="120" spans="1:5" s="405" customFormat="1" ht="12" customHeight="1">
      <c r="A120" s="341" t="s">
        <v>436</v>
      </c>
      <c r="B120" s="358" t="s">
        <v>423</v>
      </c>
      <c r="C120" s="379"/>
      <c r="D120" s="379"/>
      <c r="E120" s="362"/>
    </row>
    <row r="121" spans="1:5" ht="12" customHeight="1">
      <c r="A121" s="341" t="s">
        <v>437</v>
      </c>
      <c r="B121" s="358" t="s">
        <v>438</v>
      </c>
      <c r="C121" s="379"/>
      <c r="D121" s="379"/>
      <c r="E121" s="362"/>
    </row>
    <row r="122" spans="1:5" ht="12" customHeight="1" thickBot="1">
      <c r="A122" s="339" t="s">
        <v>439</v>
      </c>
      <c r="B122" s="358" t="s">
        <v>440</v>
      </c>
      <c r="C122" s="381"/>
      <c r="D122" s="381"/>
      <c r="E122" s="364"/>
    </row>
    <row r="123" spans="1:5" ht="12" customHeight="1" thickBot="1">
      <c r="A123" s="346" t="s">
        <v>9</v>
      </c>
      <c r="B123" s="354" t="s">
        <v>441</v>
      </c>
      <c r="C123" s="378">
        <f>+C124+C125</f>
        <v>0</v>
      </c>
      <c r="D123" s="378">
        <f>+D124+D125</f>
        <v>0</v>
      </c>
      <c r="E123" s="361">
        <f>+E124+E125</f>
        <v>0</v>
      </c>
    </row>
    <row r="124" spans="1:5" ht="12" customHeight="1">
      <c r="A124" s="341" t="s">
        <v>58</v>
      </c>
      <c r="B124" s="335" t="s">
        <v>45</v>
      </c>
      <c r="C124" s="380"/>
      <c r="D124" s="380"/>
      <c r="E124" s="363"/>
    </row>
    <row r="125" spans="1:5" ht="12" customHeight="1" thickBot="1">
      <c r="A125" s="342" t="s">
        <v>59</v>
      </c>
      <c r="B125" s="338" t="s">
        <v>46</v>
      </c>
      <c r="C125" s="381"/>
      <c r="D125" s="381"/>
      <c r="E125" s="364"/>
    </row>
    <row r="126" spans="1:5" ht="12" customHeight="1" thickBot="1">
      <c r="A126" s="346" t="s">
        <v>10</v>
      </c>
      <c r="B126" s="354" t="s">
        <v>442</v>
      </c>
      <c r="C126" s="378">
        <f>+C93+C109+C123</f>
        <v>322772326</v>
      </c>
      <c r="D126" s="378">
        <f>+D93+D109+D123</f>
        <v>336291270</v>
      </c>
      <c r="E126" s="361">
        <f>+E93+E109+E123</f>
        <v>161207485</v>
      </c>
    </row>
    <row r="127" spans="1:5" ht="12" customHeight="1" thickBot="1">
      <c r="A127" s="346" t="s">
        <v>11</v>
      </c>
      <c r="B127" s="354" t="s">
        <v>443</v>
      </c>
      <c r="C127" s="378">
        <f>+C128+C129+C130</f>
        <v>0</v>
      </c>
      <c r="D127" s="378">
        <f>+D128+D129+D130</f>
        <v>0</v>
      </c>
      <c r="E127" s="361">
        <f>+E128+E129+E130</f>
        <v>0</v>
      </c>
    </row>
    <row r="128" spans="1:5" ht="12" customHeight="1">
      <c r="A128" s="341" t="s">
        <v>62</v>
      </c>
      <c r="B128" s="335" t="s">
        <v>444</v>
      </c>
      <c r="C128" s="379"/>
      <c r="D128" s="379"/>
      <c r="E128" s="362"/>
    </row>
    <row r="129" spans="1:5" ht="12" customHeight="1">
      <c r="A129" s="341" t="s">
        <v>63</v>
      </c>
      <c r="B129" s="335" t="s">
        <v>445</v>
      </c>
      <c r="C129" s="379"/>
      <c r="D129" s="379"/>
      <c r="E129" s="362"/>
    </row>
    <row r="130" spans="1:5" ht="12" customHeight="1" thickBot="1">
      <c r="A130" s="339" t="s">
        <v>64</v>
      </c>
      <c r="B130" s="333" t="s">
        <v>446</v>
      </c>
      <c r="C130" s="379"/>
      <c r="D130" s="379"/>
      <c r="E130" s="362"/>
    </row>
    <row r="131" spans="1:5" ht="12" customHeight="1" thickBot="1">
      <c r="A131" s="346" t="s">
        <v>12</v>
      </c>
      <c r="B131" s="354" t="s">
        <v>447</v>
      </c>
      <c r="C131" s="378">
        <f>+C132+C133+C135+C134</f>
        <v>0</v>
      </c>
      <c r="D131" s="378">
        <f>+D132+D133+D135+D134</f>
        <v>0</v>
      </c>
      <c r="E131" s="361">
        <f>+E132+E133+E135+E134</f>
        <v>0</v>
      </c>
    </row>
    <row r="132" spans="1:5" ht="12" customHeight="1">
      <c r="A132" s="341" t="s">
        <v>65</v>
      </c>
      <c r="B132" s="335" t="s">
        <v>448</v>
      </c>
      <c r="C132" s="379"/>
      <c r="D132" s="379"/>
      <c r="E132" s="362"/>
    </row>
    <row r="133" spans="1:5" ht="12" customHeight="1">
      <c r="A133" s="341" t="s">
        <v>66</v>
      </c>
      <c r="B133" s="335" t="s">
        <v>449</v>
      </c>
      <c r="C133" s="379"/>
      <c r="D133" s="379"/>
      <c r="E133" s="362"/>
    </row>
    <row r="134" spans="1:5" ht="12" customHeight="1">
      <c r="A134" s="341" t="s">
        <v>344</v>
      </c>
      <c r="B134" s="335" t="s">
        <v>450</v>
      </c>
      <c r="C134" s="379"/>
      <c r="D134" s="379"/>
      <c r="E134" s="362"/>
    </row>
    <row r="135" spans="1:5" ht="12" customHeight="1" thickBot="1">
      <c r="A135" s="339" t="s">
        <v>346</v>
      </c>
      <c r="B135" s="333" t="s">
        <v>451</v>
      </c>
      <c r="C135" s="379"/>
      <c r="D135" s="379"/>
      <c r="E135" s="362"/>
    </row>
    <row r="136" spans="1:5" ht="12" customHeight="1" thickBot="1">
      <c r="A136" s="346" t="s">
        <v>13</v>
      </c>
      <c r="B136" s="354" t="s">
        <v>452</v>
      </c>
      <c r="C136" s="397">
        <f>+C137+C138+C140+C141+C139</f>
        <v>0</v>
      </c>
      <c r="D136" s="397">
        <f>+D137+D138+D140+D141+D139</f>
        <v>31183366</v>
      </c>
      <c r="E136" s="397">
        <f>+E137+E138+E140+E141+E139</f>
        <v>31183366</v>
      </c>
    </row>
    <row r="137" spans="1:5" ht="12" customHeight="1">
      <c r="A137" s="341" t="s">
        <v>67</v>
      </c>
      <c r="B137" s="335" t="s">
        <v>453</v>
      </c>
      <c r="C137" s="379"/>
      <c r="D137" s="379"/>
      <c r="E137" s="362"/>
    </row>
    <row r="138" spans="1:5" ht="12" customHeight="1">
      <c r="A138" s="341" t="s">
        <v>68</v>
      </c>
      <c r="B138" s="335" t="s">
        <v>454</v>
      </c>
      <c r="C138" s="379"/>
      <c r="D138" s="379"/>
      <c r="E138" s="362"/>
    </row>
    <row r="139" spans="1:5" ht="12" customHeight="1">
      <c r="A139" s="341" t="s">
        <v>353</v>
      </c>
      <c r="B139" s="335" t="s">
        <v>666</v>
      </c>
      <c r="C139" s="379"/>
      <c r="D139" s="379"/>
      <c r="E139" s="362"/>
    </row>
    <row r="140" spans="1:5" ht="12" customHeight="1">
      <c r="A140" s="341" t="s">
        <v>355</v>
      </c>
      <c r="B140" s="335" t="s">
        <v>455</v>
      </c>
      <c r="C140" s="379"/>
      <c r="D140" s="379">
        <v>31183366</v>
      </c>
      <c r="E140" s="362">
        <v>31183366</v>
      </c>
    </row>
    <row r="141" spans="1:5" ht="12" customHeight="1" thickBot="1">
      <c r="A141" s="339" t="s">
        <v>665</v>
      </c>
      <c r="B141" s="333" t="s">
        <v>456</v>
      </c>
      <c r="C141" s="379"/>
      <c r="D141" s="379"/>
      <c r="E141" s="362"/>
    </row>
    <row r="142" spans="1:9" ht="15" customHeight="1" thickBot="1">
      <c r="A142" s="346" t="s">
        <v>14</v>
      </c>
      <c r="B142" s="354" t="s">
        <v>457</v>
      </c>
      <c r="C142" s="715">
        <f>+C143+C144+C145+C146</f>
        <v>0</v>
      </c>
      <c r="D142" s="715">
        <f>+D143+D144+D145+D146</f>
        <v>0</v>
      </c>
      <c r="E142" s="716">
        <f>+E143+E144+E145+E146</f>
        <v>0</v>
      </c>
      <c r="F142" s="395"/>
      <c r="G142" s="396"/>
      <c r="H142" s="396"/>
      <c r="I142" s="396"/>
    </row>
    <row r="143" spans="1:5" s="388" customFormat="1" ht="12.75" customHeight="1">
      <c r="A143" s="341" t="s">
        <v>129</v>
      </c>
      <c r="B143" s="335" t="s">
        <v>458</v>
      </c>
      <c r="C143" s="379"/>
      <c r="D143" s="379"/>
      <c r="E143" s="362"/>
    </row>
    <row r="144" spans="1:5" ht="12.75" customHeight="1">
      <c r="A144" s="341" t="s">
        <v>130</v>
      </c>
      <c r="B144" s="335" t="s">
        <v>459</v>
      </c>
      <c r="C144" s="379"/>
      <c r="D144" s="379"/>
      <c r="E144" s="362"/>
    </row>
    <row r="145" spans="1:5" ht="12.75" customHeight="1">
      <c r="A145" s="341" t="s">
        <v>156</v>
      </c>
      <c r="B145" s="335" t="s">
        <v>460</v>
      </c>
      <c r="C145" s="379"/>
      <c r="D145" s="379"/>
      <c r="E145" s="362"/>
    </row>
    <row r="146" spans="1:5" ht="12.75" customHeight="1" thickBot="1">
      <c r="A146" s="341" t="s">
        <v>361</v>
      </c>
      <c r="B146" s="335" t="s">
        <v>461</v>
      </c>
      <c r="C146" s="379"/>
      <c r="D146" s="379"/>
      <c r="E146" s="362"/>
    </row>
    <row r="147" spans="1:5" ht="16.5" thickBot="1">
      <c r="A147" s="346" t="s">
        <v>15</v>
      </c>
      <c r="B147" s="354" t="s">
        <v>462</v>
      </c>
      <c r="C147" s="328">
        <f>+C127+C131+C136+C142</f>
        <v>0</v>
      </c>
      <c r="D147" s="328">
        <f>+D127+D131+D136+D142</f>
        <v>31183366</v>
      </c>
      <c r="E147" s="329">
        <f>+E127+E131+E136+E142</f>
        <v>31183366</v>
      </c>
    </row>
    <row r="148" spans="1:5" ht="16.5" thickBot="1">
      <c r="A148" s="371" t="s">
        <v>16</v>
      </c>
      <c r="B148" s="374" t="s">
        <v>463</v>
      </c>
      <c r="C148" s="328">
        <f>+C126+C147</f>
        <v>322772326</v>
      </c>
      <c r="D148" s="328">
        <f>+D126+D147</f>
        <v>367474636</v>
      </c>
      <c r="E148" s="329">
        <f>+E126+E147</f>
        <v>192390851</v>
      </c>
    </row>
    <row r="150" spans="1:5" ht="18.75" customHeight="1">
      <c r="A150" s="718" t="s">
        <v>464</v>
      </c>
      <c r="B150" s="718"/>
      <c r="C150" s="718"/>
      <c r="D150" s="718"/>
      <c r="E150" s="718"/>
    </row>
    <row r="151" spans="1:5" ht="13.5" customHeight="1" thickBot="1">
      <c r="A151" s="356" t="s">
        <v>111</v>
      </c>
      <c r="B151" s="356"/>
      <c r="C151" s="386"/>
      <c r="E151" s="373" t="str">
        <f>E89</f>
        <v>Forintban!</v>
      </c>
    </row>
    <row r="152" spans="1:5" ht="21.75" thickBot="1">
      <c r="A152" s="346">
        <v>1</v>
      </c>
      <c r="B152" s="349" t="s">
        <v>465</v>
      </c>
      <c r="C152" s="372">
        <f>+C62-C126</f>
        <v>-177955606</v>
      </c>
      <c r="D152" s="372">
        <f>+D62-D126</f>
        <v>-153682423</v>
      </c>
      <c r="E152" s="372">
        <f>+E62-E126</f>
        <v>20755553</v>
      </c>
    </row>
    <row r="153" spans="1:5" ht="21.75" thickBot="1">
      <c r="A153" s="346" t="s">
        <v>8</v>
      </c>
      <c r="B153" s="349" t="s">
        <v>466</v>
      </c>
      <c r="C153" s="372">
        <f>+C85-C147</f>
        <v>0</v>
      </c>
      <c r="D153" s="372">
        <f>+D85-D147</f>
        <v>2983501</v>
      </c>
      <c r="E153" s="372">
        <f>+E85-E147</f>
        <v>2983501</v>
      </c>
    </row>
    <row r="154" ht="7.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spans="3:5" s="375" customFormat="1" ht="12.75" customHeight="1">
      <c r="C163" s="376"/>
      <c r="D163" s="376"/>
      <c r="E163" s="376"/>
    </row>
  </sheetData>
  <sheetProtection/>
  <mergeCells count="9">
    <mergeCell ref="A150:E150"/>
    <mergeCell ref="A1:E1"/>
    <mergeCell ref="A3:A4"/>
    <mergeCell ref="B3:B4"/>
    <mergeCell ref="C3:E3"/>
    <mergeCell ref="A88:E88"/>
    <mergeCell ref="A90:A91"/>
    <mergeCell ref="B90:B91"/>
    <mergeCell ref="C90:E90"/>
  </mergeCells>
  <printOptions horizontalCentered="1"/>
  <pageMargins left="0.7874015748031497" right="0.7874015748031497" top="1.4566929133858268" bottom="0.8661417322834646" header="0.7874015748031497" footer="0.5905511811023623"/>
  <pageSetup fitToHeight="0" fitToWidth="1" horizontalDpi="600" verticalDpi="600" orientation="portrait" paperSize="9" scale="81" r:id="rId1"/>
  <headerFooter alignWithMargins="0">
    <oddHeader>&amp;C&amp;"Times New Roman CE,Félkövér"&amp;12
Borsodszirák Község Önkormányzat
2019. ÉVI ZÁRSZÁMADÁS
ÖNKÉNT VÁLLALT FELADATAINAK MÉRLEGE
&amp;R&amp;"Times New Roman CE,Félkövér dőlt"&amp;11 1.3. melléklet a 4/2020. (VI.30.) önkormányzati rendelethez</oddHeader>
  </headerFooter>
  <rowBreaks count="1" manualBreakCount="1">
    <brk id="87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162"/>
  <sheetViews>
    <sheetView view="pageLayout" zoomScaleNormal="130" zoomScaleSheetLayoutView="100" workbookViewId="0" topLeftCell="A1">
      <selection activeCell="E43" sqref="E43"/>
    </sheetView>
  </sheetViews>
  <sheetFormatPr defaultColWidth="9.00390625" defaultRowHeight="12.75"/>
  <cols>
    <col min="1" max="1" width="9.50390625" style="375" customWidth="1"/>
    <col min="2" max="2" width="60.875" style="375" customWidth="1"/>
    <col min="3" max="5" width="15.875" style="376" customWidth="1"/>
    <col min="6" max="16384" width="9.375" style="386" customWidth="1"/>
  </cols>
  <sheetData>
    <row r="1" spans="1:5" ht="15.75" customHeight="1">
      <c r="A1" s="719" t="s">
        <v>4</v>
      </c>
      <c r="B1" s="719"/>
      <c r="C1" s="719"/>
      <c r="D1" s="719"/>
      <c r="E1" s="719"/>
    </row>
    <row r="2" spans="1:5" ht="15.75" customHeight="1" thickBot="1">
      <c r="A2" s="46" t="s">
        <v>109</v>
      </c>
      <c r="B2" s="46"/>
      <c r="C2" s="373"/>
      <c r="D2" s="373"/>
      <c r="E2" s="373" t="str">
        <f>'1.3.sz.mell.'!E2</f>
        <v>Forintban!</v>
      </c>
    </row>
    <row r="3" spans="1:5" ht="15.75" customHeight="1">
      <c r="A3" s="720" t="s">
        <v>57</v>
      </c>
      <c r="B3" s="722" t="s">
        <v>6</v>
      </c>
      <c r="C3" s="724" t="str">
        <f>+'1.1.sz.mell.'!C3:E3</f>
        <v>2019. évi</v>
      </c>
      <c r="D3" s="724"/>
      <c r="E3" s="725"/>
    </row>
    <row r="4" spans="1:5" ht="37.5" customHeight="1" thickBot="1">
      <c r="A4" s="721"/>
      <c r="B4" s="723"/>
      <c r="C4" s="48" t="s">
        <v>174</v>
      </c>
      <c r="D4" s="48" t="s">
        <v>179</v>
      </c>
      <c r="E4" s="49" t="s">
        <v>180</v>
      </c>
    </row>
    <row r="5" spans="1:5" s="387" customFormat="1" ht="12" customHeight="1" thickBot="1">
      <c r="A5" s="351" t="s">
        <v>410</v>
      </c>
      <c r="B5" s="352" t="s">
        <v>411</v>
      </c>
      <c r="C5" s="352" t="s">
        <v>412</v>
      </c>
      <c r="D5" s="352" t="s">
        <v>413</v>
      </c>
      <c r="E5" s="398" t="s">
        <v>414</v>
      </c>
    </row>
    <row r="6" spans="1:5" s="388" customFormat="1" ht="12" customHeight="1" thickBot="1">
      <c r="A6" s="346" t="s">
        <v>7</v>
      </c>
      <c r="B6" s="347" t="s">
        <v>302</v>
      </c>
      <c r="C6" s="378">
        <f>SUM(C7:C12)</f>
        <v>0</v>
      </c>
      <c r="D6" s="378">
        <f>SUM(D7:D12)</f>
        <v>0</v>
      </c>
      <c r="E6" s="361">
        <f>SUM(E7:E12)</f>
        <v>0</v>
      </c>
    </row>
    <row r="7" spans="1:5" s="388" customFormat="1" ht="12" customHeight="1">
      <c r="A7" s="341" t="s">
        <v>69</v>
      </c>
      <c r="B7" s="389" t="s">
        <v>303</v>
      </c>
      <c r="C7" s="380"/>
      <c r="D7" s="380"/>
      <c r="E7" s="363"/>
    </row>
    <row r="8" spans="1:5" s="388" customFormat="1" ht="12" customHeight="1">
      <c r="A8" s="340" t="s">
        <v>70</v>
      </c>
      <c r="B8" s="390" t="s">
        <v>304</v>
      </c>
      <c r="C8" s="379"/>
      <c r="D8" s="379"/>
      <c r="E8" s="362"/>
    </row>
    <row r="9" spans="1:5" s="388" customFormat="1" ht="12" customHeight="1">
      <c r="A9" s="340" t="s">
        <v>71</v>
      </c>
      <c r="B9" s="390" t="s">
        <v>305</v>
      </c>
      <c r="C9" s="379"/>
      <c r="D9" s="379"/>
      <c r="E9" s="362"/>
    </row>
    <row r="10" spans="1:5" s="388" customFormat="1" ht="12" customHeight="1">
      <c r="A10" s="340" t="s">
        <v>72</v>
      </c>
      <c r="B10" s="390" t="s">
        <v>306</v>
      </c>
      <c r="C10" s="379"/>
      <c r="D10" s="379"/>
      <c r="E10" s="362"/>
    </row>
    <row r="11" spans="1:5" s="388" customFormat="1" ht="12" customHeight="1">
      <c r="A11" s="340" t="s">
        <v>105</v>
      </c>
      <c r="B11" s="390" t="s">
        <v>307</v>
      </c>
      <c r="C11" s="379"/>
      <c r="D11" s="379"/>
      <c r="E11" s="362"/>
    </row>
    <row r="12" spans="1:5" s="388" customFormat="1" ht="12" customHeight="1" thickBot="1">
      <c r="A12" s="342" t="s">
        <v>73</v>
      </c>
      <c r="B12" s="391" t="s">
        <v>308</v>
      </c>
      <c r="C12" s="381"/>
      <c r="D12" s="381"/>
      <c r="E12" s="364"/>
    </row>
    <row r="13" spans="1:5" s="388" customFormat="1" ht="21.75" thickBot="1">
      <c r="A13" s="346" t="s">
        <v>8</v>
      </c>
      <c r="B13" s="368" t="s">
        <v>309</v>
      </c>
      <c r="C13" s="378">
        <f>SUM(C14:C18)</f>
        <v>11853484</v>
      </c>
      <c r="D13" s="378">
        <f>SUM(D14:D18)</f>
        <v>20510449</v>
      </c>
      <c r="E13" s="361">
        <f>SUM(E14:E18)</f>
        <v>12710815</v>
      </c>
    </row>
    <row r="14" spans="1:5" s="388" customFormat="1" ht="12" customHeight="1">
      <c r="A14" s="341" t="s">
        <v>75</v>
      </c>
      <c r="B14" s="389" t="s">
        <v>310</v>
      </c>
      <c r="C14" s="380"/>
      <c r="D14" s="380"/>
      <c r="E14" s="363"/>
    </row>
    <row r="15" spans="1:5" s="388" customFormat="1" ht="12" customHeight="1">
      <c r="A15" s="340" t="s">
        <v>76</v>
      </c>
      <c r="B15" s="390" t="s">
        <v>311</v>
      </c>
      <c r="C15" s="379"/>
      <c r="D15" s="379"/>
      <c r="E15" s="362"/>
    </row>
    <row r="16" spans="1:5" s="388" customFormat="1" ht="12" customHeight="1">
      <c r="A16" s="340" t="s">
        <v>77</v>
      </c>
      <c r="B16" s="390" t="s">
        <v>312</v>
      </c>
      <c r="C16" s="379"/>
      <c r="D16" s="379"/>
      <c r="E16" s="362"/>
    </row>
    <row r="17" spans="1:5" s="388" customFormat="1" ht="12" customHeight="1">
      <c r="A17" s="340" t="s">
        <v>78</v>
      </c>
      <c r="B17" s="390" t="s">
        <v>313</v>
      </c>
      <c r="C17" s="379"/>
      <c r="D17" s="379"/>
      <c r="E17" s="362"/>
    </row>
    <row r="18" spans="1:5" s="388" customFormat="1" ht="12" customHeight="1">
      <c r="A18" s="340" t="s">
        <v>79</v>
      </c>
      <c r="B18" s="390" t="s">
        <v>314</v>
      </c>
      <c r="C18" s="379">
        <v>11853484</v>
      </c>
      <c r="D18" s="379">
        <v>20510449</v>
      </c>
      <c r="E18" s="362">
        <v>12710815</v>
      </c>
    </row>
    <row r="19" spans="1:5" s="388" customFormat="1" ht="12" customHeight="1" thickBot="1">
      <c r="A19" s="342" t="s">
        <v>86</v>
      </c>
      <c r="B19" s="391" t="s">
        <v>315</v>
      </c>
      <c r="C19" s="381"/>
      <c r="D19" s="381"/>
      <c r="E19" s="364"/>
    </row>
    <row r="20" spans="1:5" s="388" customFormat="1" ht="21.75" thickBot="1">
      <c r="A20" s="346" t="s">
        <v>9</v>
      </c>
      <c r="B20" s="347" t="s">
        <v>316</v>
      </c>
      <c r="C20" s="378">
        <f>SUM(C21:C25)</f>
        <v>0</v>
      </c>
      <c r="D20" s="378">
        <f>SUM(D21:D25)</f>
        <v>0</v>
      </c>
      <c r="E20" s="361">
        <f>SUM(E21:E25)</f>
        <v>0</v>
      </c>
    </row>
    <row r="21" spans="1:5" s="388" customFormat="1" ht="12" customHeight="1">
      <c r="A21" s="341" t="s">
        <v>58</v>
      </c>
      <c r="B21" s="389" t="s">
        <v>317</v>
      </c>
      <c r="C21" s="380"/>
      <c r="D21" s="380"/>
      <c r="E21" s="363"/>
    </row>
    <row r="22" spans="1:5" s="388" customFormat="1" ht="12" customHeight="1">
      <c r="A22" s="340" t="s">
        <v>59</v>
      </c>
      <c r="B22" s="390" t="s">
        <v>318</v>
      </c>
      <c r="C22" s="379"/>
      <c r="D22" s="379"/>
      <c r="E22" s="362"/>
    </row>
    <row r="23" spans="1:5" s="388" customFormat="1" ht="12" customHeight="1">
      <c r="A23" s="340" t="s">
        <v>60</v>
      </c>
      <c r="B23" s="390" t="s">
        <v>319</v>
      </c>
      <c r="C23" s="379"/>
      <c r="D23" s="379"/>
      <c r="E23" s="362"/>
    </row>
    <row r="24" spans="1:5" s="388" customFormat="1" ht="12" customHeight="1">
      <c r="A24" s="340" t="s">
        <v>61</v>
      </c>
      <c r="B24" s="390" t="s">
        <v>320</v>
      </c>
      <c r="C24" s="379"/>
      <c r="D24" s="379"/>
      <c r="E24" s="362"/>
    </row>
    <row r="25" spans="1:5" s="388" customFormat="1" ht="12" customHeight="1">
      <c r="A25" s="340" t="s">
        <v>119</v>
      </c>
      <c r="B25" s="390" t="s">
        <v>321</v>
      </c>
      <c r="C25" s="379"/>
      <c r="D25" s="379"/>
      <c r="E25" s="362"/>
    </row>
    <row r="26" spans="1:5" s="388" customFormat="1" ht="12" customHeight="1" thickBot="1">
      <c r="A26" s="342" t="s">
        <v>120</v>
      </c>
      <c r="B26" s="391" t="s">
        <v>322</v>
      </c>
      <c r="C26" s="381"/>
      <c r="D26" s="381"/>
      <c r="E26" s="364"/>
    </row>
    <row r="27" spans="1:5" s="388" customFormat="1" ht="12" customHeight="1" thickBot="1">
      <c r="A27" s="346" t="s">
        <v>121</v>
      </c>
      <c r="B27" s="347" t="s">
        <v>724</v>
      </c>
      <c r="C27" s="384">
        <f>SUM(C28:C33)</f>
        <v>0</v>
      </c>
      <c r="D27" s="384">
        <f>SUM(D28:D33)</f>
        <v>0</v>
      </c>
      <c r="E27" s="397">
        <f>SUM(E28:E33)</f>
        <v>0</v>
      </c>
    </row>
    <row r="28" spans="1:5" s="388" customFormat="1" ht="12" customHeight="1">
      <c r="A28" s="341" t="s">
        <v>323</v>
      </c>
      <c r="B28" s="389" t="s">
        <v>728</v>
      </c>
      <c r="C28" s="380"/>
      <c r="D28" s="380">
        <f>+D29+D30</f>
        <v>0</v>
      </c>
      <c r="E28" s="363">
        <f>+E29+E30</f>
        <v>0</v>
      </c>
    </row>
    <row r="29" spans="1:5" s="388" customFormat="1" ht="12" customHeight="1">
      <c r="A29" s="340" t="s">
        <v>324</v>
      </c>
      <c r="B29" s="390" t="s">
        <v>729</v>
      </c>
      <c r="C29" s="379"/>
      <c r="D29" s="379"/>
      <c r="E29" s="362"/>
    </row>
    <row r="30" spans="1:5" s="388" customFormat="1" ht="12" customHeight="1">
      <c r="A30" s="340" t="s">
        <v>325</v>
      </c>
      <c r="B30" s="390" t="s">
        <v>730</v>
      </c>
      <c r="C30" s="379"/>
      <c r="D30" s="379"/>
      <c r="E30" s="362"/>
    </row>
    <row r="31" spans="1:5" s="388" customFormat="1" ht="12" customHeight="1">
      <c r="A31" s="340" t="s">
        <v>725</v>
      </c>
      <c r="B31" s="390" t="s">
        <v>731</v>
      </c>
      <c r="C31" s="379"/>
      <c r="D31" s="379"/>
      <c r="E31" s="362"/>
    </row>
    <row r="32" spans="1:5" s="388" customFormat="1" ht="12" customHeight="1">
      <c r="A32" s="340" t="s">
        <v>726</v>
      </c>
      <c r="B32" s="390" t="s">
        <v>326</v>
      </c>
      <c r="C32" s="379"/>
      <c r="D32" s="379"/>
      <c r="E32" s="362"/>
    </row>
    <row r="33" spans="1:5" s="388" customFormat="1" ht="12" customHeight="1" thickBot="1">
      <c r="A33" s="342" t="s">
        <v>727</v>
      </c>
      <c r="B33" s="370" t="s">
        <v>327</v>
      </c>
      <c r="C33" s="381"/>
      <c r="D33" s="381"/>
      <c r="E33" s="364"/>
    </row>
    <row r="34" spans="1:5" s="388" customFormat="1" ht="12" customHeight="1" thickBot="1">
      <c r="A34" s="346" t="s">
        <v>11</v>
      </c>
      <c r="B34" s="347" t="s">
        <v>328</v>
      </c>
      <c r="C34" s="378">
        <f>SUM(C35:C44)</f>
        <v>0</v>
      </c>
      <c r="D34" s="378">
        <f>SUM(D35:D44)</f>
        <v>140971</v>
      </c>
      <c r="E34" s="361">
        <f>SUM(E35:E44)</f>
        <v>140971</v>
      </c>
    </row>
    <row r="35" spans="1:5" s="388" customFormat="1" ht="12" customHeight="1">
      <c r="A35" s="341" t="s">
        <v>62</v>
      </c>
      <c r="B35" s="389" t="s">
        <v>329</v>
      </c>
      <c r="C35" s="380"/>
      <c r="D35" s="380"/>
      <c r="E35" s="363"/>
    </row>
    <row r="36" spans="1:5" s="388" customFormat="1" ht="12" customHeight="1">
      <c r="A36" s="340" t="s">
        <v>63</v>
      </c>
      <c r="B36" s="390" t="s">
        <v>330</v>
      </c>
      <c r="C36" s="379"/>
      <c r="D36" s="379">
        <v>140000</v>
      </c>
      <c r="E36" s="362">
        <v>140000</v>
      </c>
    </row>
    <row r="37" spans="1:5" s="388" customFormat="1" ht="12" customHeight="1">
      <c r="A37" s="340" t="s">
        <v>64</v>
      </c>
      <c r="B37" s="390" t="s">
        <v>331</v>
      </c>
      <c r="C37" s="379"/>
      <c r="D37" s="379"/>
      <c r="E37" s="362"/>
    </row>
    <row r="38" spans="1:5" s="388" customFormat="1" ht="12" customHeight="1">
      <c r="A38" s="340" t="s">
        <v>123</v>
      </c>
      <c r="B38" s="390" t="s">
        <v>332</v>
      </c>
      <c r="C38" s="379"/>
      <c r="D38" s="379"/>
      <c r="E38" s="362"/>
    </row>
    <row r="39" spans="1:5" s="388" customFormat="1" ht="12" customHeight="1">
      <c r="A39" s="340" t="s">
        <v>124</v>
      </c>
      <c r="B39" s="390" t="s">
        <v>333</v>
      </c>
      <c r="C39" s="379"/>
      <c r="D39" s="379"/>
      <c r="E39" s="362"/>
    </row>
    <row r="40" spans="1:5" s="388" customFormat="1" ht="12" customHeight="1">
      <c r="A40" s="340" t="s">
        <v>125</v>
      </c>
      <c r="B40" s="390" t="s">
        <v>334</v>
      </c>
      <c r="C40" s="379"/>
      <c r="D40" s="379"/>
      <c r="E40" s="362"/>
    </row>
    <row r="41" spans="1:5" s="388" customFormat="1" ht="12" customHeight="1">
      <c r="A41" s="340" t="s">
        <v>126</v>
      </c>
      <c r="B41" s="390" t="s">
        <v>335</v>
      </c>
      <c r="C41" s="379"/>
      <c r="D41" s="379"/>
      <c r="E41" s="362"/>
    </row>
    <row r="42" spans="1:5" s="388" customFormat="1" ht="12" customHeight="1">
      <c r="A42" s="340" t="s">
        <v>127</v>
      </c>
      <c r="B42" s="390" t="s">
        <v>336</v>
      </c>
      <c r="C42" s="379"/>
      <c r="D42" s="379">
        <v>971</v>
      </c>
      <c r="E42" s="362">
        <v>971</v>
      </c>
    </row>
    <row r="43" spans="1:5" s="388" customFormat="1" ht="12" customHeight="1">
      <c r="A43" s="340" t="s">
        <v>337</v>
      </c>
      <c r="B43" s="390" t="s">
        <v>338</v>
      </c>
      <c r="C43" s="382"/>
      <c r="D43" s="382"/>
      <c r="E43" s="365"/>
    </row>
    <row r="44" spans="1:5" s="388" customFormat="1" ht="12" customHeight="1" thickBot="1">
      <c r="A44" s="342" t="s">
        <v>339</v>
      </c>
      <c r="B44" s="391" t="s">
        <v>340</v>
      </c>
      <c r="C44" s="383"/>
      <c r="D44" s="383"/>
      <c r="E44" s="366"/>
    </row>
    <row r="45" spans="1:5" s="388" customFormat="1" ht="12" customHeight="1" thickBot="1">
      <c r="A45" s="346" t="s">
        <v>12</v>
      </c>
      <c r="B45" s="347" t="s">
        <v>341</v>
      </c>
      <c r="C45" s="378">
        <f>SUM(C46:C50)</f>
        <v>0</v>
      </c>
      <c r="D45" s="378">
        <f>SUM(D46:D50)</f>
        <v>0</v>
      </c>
      <c r="E45" s="361">
        <f>SUM(E46:E50)</f>
        <v>0</v>
      </c>
    </row>
    <row r="46" spans="1:5" s="388" customFormat="1" ht="12" customHeight="1">
      <c r="A46" s="341" t="s">
        <v>65</v>
      </c>
      <c r="B46" s="389" t="s">
        <v>342</v>
      </c>
      <c r="C46" s="399"/>
      <c r="D46" s="399"/>
      <c r="E46" s="367"/>
    </row>
    <row r="47" spans="1:5" s="388" customFormat="1" ht="12" customHeight="1">
      <c r="A47" s="340" t="s">
        <v>66</v>
      </c>
      <c r="B47" s="390" t="s">
        <v>343</v>
      </c>
      <c r="C47" s="382"/>
      <c r="D47" s="382"/>
      <c r="E47" s="365"/>
    </row>
    <row r="48" spans="1:5" s="388" customFormat="1" ht="12" customHeight="1">
      <c r="A48" s="340" t="s">
        <v>344</v>
      </c>
      <c r="B48" s="390" t="s">
        <v>345</v>
      </c>
      <c r="C48" s="382"/>
      <c r="D48" s="382"/>
      <c r="E48" s="365"/>
    </row>
    <row r="49" spans="1:5" s="388" customFormat="1" ht="12" customHeight="1">
      <c r="A49" s="340" t="s">
        <v>346</v>
      </c>
      <c r="B49" s="390" t="s">
        <v>347</v>
      </c>
      <c r="C49" s="382"/>
      <c r="D49" s="382"/>
      <c r="E49" s="365"/>
    </row>
    <row r="50" spans="1:5" s="388" customFormat="1" ht="12" customHeight="1" thickBot="1">
      <c r="A50" s="342" t="s">
        <v>348</v>
      </c>
      <c r="B50" s="391" t="s">
        <v>349</v>
      </c>
      <c r="C50" s="383"/>
      <c r="D50" s="383"/>
      <c r="E50" s="366"/>
    </row>
    <row r="51" spans="1:5" s="388" customFormat="1" ht="17.25" customHeight="1" thickBot="1">
      <c r="A51" s="346" t="s">
        <v>128</v>
      </c>
      <c r="B51" s="347" t="s">
        <v>350</v>
      </c>
      <c r="C51" s="378">
        <f>SUM(C52:C54)</f>
        <v>0</v>
      </c>
      <c r="D51" s="378">
        <f>SUM(D52:D54)</f>
        <v>0</v>
      </c>
      <c r="E51" s="361">
        <f>SUM(E52:E54)</f>
        <v>0</v>
      </c>
    </row>
    <row r="52" spans="1:5" s="388" customFormat="1" ht="12" customHeight="1">
      <c r="A52" s="341" t="s">
        <v>67</v>
      </c>
      <c r="B52" s="389" t="s">
        <v>351</v>
      </c>
      <c r="C52" s="380"/>
      <c r="D52" s="380"/>
      <c r="E52" s="363"/>
    </row>
    <row r="53" spans="1:5" s="388" customFormat="1" ht="12" customHeight="1">
      <c r="A53" s="340" t="s">
        <v>68</v>
      </c>
      <c r="B53" s="390" t="s">
        <v>352</v>
      </c>
      <c r="C53" s="379"/>
      <c r="D53" s="379"/>
      <c r="E53" s="362"/>
    </row>
    <row r="54" spans="1:5" s="388" customFormat="1" ht="12" customHeight="1">
      <c r="A54" s="340" t="s">
        <v>353</v>
      </c>
      <c r="B54" s="390" t="s">
        <v>354</v>
      </c>
      <c r="C54" s="379"/>
      <c r="D54" s="379"/>
      <c r="E54" s="362"/>
    </row>
    <row r="55" spans="1:5" s="388" customFormat="1" ht="12" customHeight="1" thickBot="1">
      <c r="A55" s="342" t="s">
        <v>355</v>
      </c>
      <c r="B55" s="391" t="s">
        <v>356</v>
      </c>
      <c r="C55" s="381"/>
      <c r="D55" s="381"/>
      <c r="E55" s="364"/>
    </row>
    <row r="56" spans="1:5" s="388" customFormat="1" ht="12" customHeight="1" thickBot="1">
      <c r="A56" s="346" t="s">
        <v>14</v>
      </c>
      <c r="B56" s="368" t="s">
        <v>357</v>
      </c>
      <c r="C56" s="378">
        <f>SUM(C57:C59)</f>
        <v>0</v>
      </c>
      <c r="D56" s="378">
        <f>SUM(D57:D59)</f>
        <v>0</v>
      </c>
      <c r="E56" s="361">
        <f>SUM(E57:E59)</f>
        <v>0</v>
      </c>
    </row>
    <row r="57" spans="1:5" s="388" customFormat="1" ht="12" customHeight="1">
      <c r="A57" s="341" t="s">
        <v>129</v>
      </c>
      <c r="B57" s="389" t="s">
        <v>358</v>
      </c>
      <c r="C57" s="382"/>
      <c r="D57" s="382"/>
      <c r="E57" s="365"/>
    </row>
    <row r="58" spans="1:5" s="388" customFormat="1" ht="12" customHeight="1">
      <c r="A58" s="340" t="s">
        <v>130</v>
      </c>
      <c r="B58" s="390" t="s">
        <v>359</v>
      </c>
      <c r="C58" s="382"/>
      <c r="D58" s="382"/>
      <c r="E58" s="365"/>
    </row>
    <row r="59" spans="1:5" s="388" customFormat="1" ht="12" customHeight="1">
      <c r="A59" s="340" t="s">
        <v>156</v>
      </c>
      <c r="B59" s="390" t="s">
        <v>360</v>
      </c>
      <c r="C59" s="382"/>
      <c r="D59" s="382"/>
      <c r="E59" s="365"/>
    </row>
    <row r="60" spans="1:5" s="388" customFormat="1" ht="12" customHeight="1" thickBot="1">
      <c r="A60" s="342" t="s">
        <v>361</v>
      </c>
      <c r="B60" s="391" t="s">
        <v>362</v>
      </c>
      <c r="C60" s="382"/>
      <c r="D60" s="382"/>
      <c r="E60" s="365"/>
    </row>
    <row r="61" spans="1:5" s="388" customFormat="1" ht="12" customHeight="1" thickBot="1">
      <c r="A61" s="346" t="s">
        <v>15</v>
      </c>
      <c r="B61" s="347" t="s">
        <v>363</v>
      </c>
      <c r="C61" s="384">
        <f>+C6+C13+C20+C27+C34+C45+C51+C56</f>
        <v>11853484</v>
      </c>
      <c r="D61" s="384">
        <f>+D6+D13+D20+D27+D34+D45+D51+D56</f>
        <v>20651420</v>
      </c>
      <c r="E61" s="397">
        <f>+E6+E13+E20+E27+E34+E45+E51+E56</f>
        <v>12851786</v>
      </c>
    </row>
    <row r="62" spans="1:5" s="388" customFormat="1" ht="12" customHeight="1" thickBot="1">
      <c r="A62" s="400" t="s">
        <v>364</v>
      </c>
      <c r="B62" s="368" t="s">
        <v>365</v>
      </c>
      <c r="C62" s="378">
        <f>+C63+C64+C65</f>
        <v>0</v>
      </c>
      <c r="D62" s="378">
        <f>+D63+D64+D65</f>
        <v>0</v>
      </c>
      <c r="E62" s="361">
        <f>+E63+E64+E65</f>
        <v>0</v>
      </c>
    </row>
    <row r="63" spans="1:5" s="388" customFormat="1" ht="12" customHeight="1">
      <c r="A63" s="341" t="s">
        <v>366</v>
      </c>
      <c r="B63" s="389" t="s">
        <v>367</v>
      </c>
      <c r="C63" s="382"/>
      <c r="D63" s="382"/>
      <c r="E63" s="365"/>
    </row>
    <row r="64" spans="1:5" s="388" customFormat="1" ht="12" customHeight="1">
      <c r="A64" s="340" t="s">
        <v>368</v>
      </c>
      <c r="B64" s="390" t="s">
        <v>369</v>
      </c>
      <c r="C64" s="382"/>
      <c r="D64" s="382"/>
      <c r="E64" s="365"/>
    </row>
    <row r="65" spans="1:5" s="388" customFormat="1" ht="12" customHeight="1" thickBot="1">
      <c r="A65" s="342" t="s">
        <v>370</v>
      </c>
      <c r="B65" s="326" t="s">
        <v>415</v>
      </c>
      <c r="C65" s="382"/>
      <c r="D65" s="382"/>
      <c r="E65" s="365"/>
    </row>
    <row r="66" spans="1:5" s="388" customFormat="1" ht="12" customHeight="1" thickBot="1">
      <c r="A66" s="400" t="s">
        <v>372</v>
      </c>
      <c r="B66" s="368" t="s">
        <v>373</v>
      </c>
      <c r="C66" s="378">
        <f>+C67+C68+C69+C70</f>
        <v>0</v>
      </c>
      <c r="D66" s="378">
        <f>+D67+D68+D69+D70</f>
        <v>0</v>
      </c>
      <c r="E66" s="361">
        <f>+E67+E68+E69+E70</f>
        <v>0</v>
      </c>
    </row>
    <row r="67" spans="1:5" s="388" customFormat="1" ht="13.5" customHeight="1">
      <c r="A67" s="341" t="s">
        <v>106</v>
      </c>
      <c r="B67" s="389" t="s">
        <v>374</v>
      </c>
      <c r="C67" s="382"/>
      <c r="D67" s="382"/>
      <c r="E67" s="365"/>
    </row>
    <row r="68" spans="1:5" s="388" customFormat="1" ht="12" customHeight="1">
      <c r="A68" s="340" t="s">
        <v>107</v>
      </c>
      <c r="B68" s="390" t="s">
        <v>375</v>
      </c>
      <c r="C68" s="382"/>
      <c r="D68" s="382"/>
      <c r="E68" s="365"/>
    </row>
    <row r="69" spans="1:5" s="388" customFormat="1" ht="12" customHeight="1">
      <c r="A69" s="340" t="s">
        <v>376</v>
      </c>
      <c r="B69" s="390" t="s">
        <v>377</v>
      </c>
      <c r="C69" s="382"/>
      <c r="D69" s="382"/>
      <c r="E69" s="365"/>
    </row>
    <row r="70" spans="1:5" s="388" customFormat="1" ht="12" customHeight="1" thickBot="1">
      <c r="A70" s="342" t="s">
        <v>378</v>
      </c>
      <c r="B70" s="391" t="s">
        <v>379</v>
      </c>
      <c r="C70" s="382"/>
      <c r="D70" s="382"/>
      <c r="E70" s="365"/>
    </row>
    <row r="71" spans="1:5" s="388" customFormat="1" ht="12" customHeight="1" thickBot="1">
      <c r="A71" s="400" t="s">
        <v>380</v>
      </c>
      <c r="B71" s="368" t="s">
        <v>381</v>
      </c>
      <c r="C71" s="378">
        <f>+C72+C74</f>
        <v>226765</v>
      </c>
      <c r="D71" s="378">
        <f>+D72+D74</f>
        <v>1243565</v>
      </c>
      <c r="E71" s="361">
        <f>+E72+E74</f>
        <v>1243565</v>
      </c>
    </row>
    <row r="72" spans="1:5" s="388" customFormat="1" ht="12" customHeight="1">
      <c r="A72" s="341" t="s">
        <v>382</v>
      </c>
      <c r="B72" s="389" t="s">
        <v>383</v>
      </c>
      <c r="C72" s="382">
        <v>226765</v>
      </c>
      <c r="D72" s="382">
        <v>1243565</v>
      </c>
      <c r="E72" s="365">
        <v>1243565</v>
      </c>
    </row>
    <row r="73" spans="1:5" s="388" customFormat="1" ht="12" customHeight="1">
      <c r="A73" s="341" t="s">
        <v>384</v>
      </c>
      <c r="B73" s="687" t="s">
        <v>755</v>
      </c>
      <c r="C73" s="382"/>
      <c r="D73" s="382"/>
      <c r="E73" s="365"/>
    </row>
    <row r="74" spans="1:5" s="388" customFormat="1" ht="12" customHeight="1" thickBot="1">
      <c r="A74" s="342" t="s">
        <v>754</v>
      </c>
      <c r="B74" s="391" t="s">
        <v>566</v>
      </c>
      <c r="C74" s="382"/>
      <c r="D74" s="382"/>
      <c r="E74" s="365"/>
    </row>
    <row r="75" spans="1:5" s="388" customFormat="1" ht="12" customHeight="1" thickBot="1">
      <c r="A75" s="400" t="s">
        <v>386</v>
      </c>
      <c r="B75" s="368" t="s">
        <v>387</v>
      </c>
      <c r="C75" s="378">
        <f>+C76+C77+C78</f>
        <v>0</v>
      </c>
      <c r="D75" s="378">
        <f>+D76+D77+D78</f>
        <v>0</v>
      </c>
      <c r="E75" s="361">
        <f>+E76+E77+E78</f>
        <v>0</v>
      </c>
    </row>
    <row r="76" spans="1:5" s="388" customFormat="1" ht="12" customHeight="1">
      <c r="A76" s="341" t="s">
        <v>388</v>
      </c>
      <c r="B76" s="389" t="s">
        <v>389</v>
      </c>
      <c r="C76" s="382"/>
      <c r="D76" s="382"/>
      <c r="E76" s="365"/>
    </row>
    <row r="77" spans="1:5" s="388" customFormat="1" ht="12" customHeight="1">
      <c r="A77" s="340" t="s">
        <v>390</v>
      </c>
      <c r="B77" s="390" t="s">
        <v>391</v>
      </c>
      <c r="C77" s="382"/>
      <c r="D77" s="382"/>
      <c r="E77" s="365"/>
    </row>
    <row r="78" spans="1:5" s="388" customFormat="1" ht="12" customHeight="1" thickBot="1">
      <c r="A78" s="342" t="s">
        <v>392</v>
      </c>
      <c r="B78" s="370" t="s">
        <v>393</v>
      </c>
      <c r="C78" s="382"/>
      <c r="D78" s="382"/>
      <c r="E78" s="365"/>
    </row>
    <row r="79" spans="1:5" s="388" customFormat="1" ht="12" customHeight="1" thickBot="1">
      <c r="A79" s="400" t="s">
        <v>394</v>
      </c>
      <c r="B79" s="368" t="s">
        <v>395</v>
      </c>
      <c r="C79" s="378">
        <f>+C80+C81+C82+C83</f>
        <v>0</v>
      </c>
      <c r="D79" s="378">
        <f>+D80+D81+D82+D83</f>
        <v>0</v>
      </c>
      <c r="E79" s="361">
        <f>+E80+E81+E82+E83</f>
        <v>0</v>
      </c>
    </row>
    <row r="80" spans="1:5" s="388" customFormat="1" ht="12" customHeight="1">
      <c r="A80" s="392" t="s">
        <v>396</v>
      </c>
      <c r="B80" s="389" t="s">
        <v>397</v>
      </c>
      <c r="C80" s="382"/>
      <c r="D80" s="382"/>
      <c r="E80" s="365"/>
    </row>
    <row r="81" spans="1:5" s="388" customFormat="1" ht="12" customHeight="1">
      <c r="A81" s="393" t="s">
        <v>398</v>
      </c>
      <c r="B81" s="390" t="s">
        <v>399</v>
      </c>
      <c r="C81" s="382"/>
      <c r="D81" s="382"/>
      <c r="E81" s="365"/>
    </row>
    <row r="82" spans="1:5" s="388" customFormat="1" ht="12" customHeight="1">
      <c r="A82" s="393" t="s">
        <v>400</v>
      </c>
      <c r="B82" s="390" t="s">
        <v>401</v>
      </c>
      <c r="C82" s="382"/>
      <c r="D82" s="382"/>
      <c r="E82" s="365"/>
    </row>
    <row r="83" spans="1:5" s="388" customFormat="1" ht="12" customHeight="1" thickBot="1">
      <c r="A83" s="401" t="s">
        <v>402</v>
      </c>
      <c r="B83" s="370" t="s">
        <v>403</v>
      </c>
      <c r="C83" s="382"/>
      <c r="D83" s="382"/>
      <c r="E83" s="365"/>
    </row>
    <row r="84" spans="1:5" s="388" customFormat="1" ht="12" customHeight="1" thickBot="1">
      <c r="A84" s="400" t="s">
        <v>404</v>
      </c>
      <c r="B84" s="368" t="s">
        <v>405</v>
      </c>
      <c r="C84" s="403"/>
      <c r="D84" s="403"/>
      <c r="E84" s="404"/>
    </row>
    <row r="85" spans="1:5" s="388" customFormat="1" ht="12" customHeight="1" thickBot="1">
      <c r="A85" s="400" t="s">
        <v>406</v>
      </c>
      <c r="B85" s="324" t="s">
        <v>407</v>
      </c>
      <c r="C85" s="384">
        <f>+C62+C66+C71+C75+C79+C84</f>
        <v>226765</v>
      </c>
      <c r="D85" s="384">
        <f>+D62+D66+D71+D75+D79+D84</f>
        <v>1243565</v>
      </c>
      <c r="E85" s="397">
        <f>+E62+E66+E71+E75+E79+E84</f>
        <v>1243565</v>
      </c>
    </row>
    <row r="86" spans="1:5" s="388" customFormat="1" ht="12" customHeight="1" thickBot="1">
      <c r="A86" s="402" t="s">
        <v>408</v>
      </c>
      <c r="B86" s="327" t="s">
        <v>409</v>
      </c>
      <c r="C86" s="384">
        <f>+C61+C85</f>
        <v>12080249</v>
      </c>
      <c r="D86" s="384">
        <f>+D61+D85</f>
        <v>21894985</v>
      </c>
      <c r="E86" s="397">
        <f>+E61+E85</f>
        <v>14095351</v>
      </c>
    </row>
    <row r="87" spans="1:5" s="388" customFormat="1" ht="12" customHeight="1">
      <c r="A87" s="322"/>
      <c r="B87" s="322"/>
      <c r="C87" s="323"/>
      <c r="D87" s="323"/>
      <c r="E87" s="323"/>
    </row>
    <row r="88" spans="1:5" ht="16.5" customHeight="1">
      <c r="A88" s="719" t="s">
        <v>36</v>
      </c>
      <c r="B88" s="719"/>
      <c r="C88" s="719"/>
      <c r="D88" s="719"/>
      <c r="E88" s="719"/>
    </row>
    <row r="89" spans="1:5" s="394" customFormat="1" ht="16.5" customHeight="1" thickBot="1">
      <c r="A89" s="47" t="s">
        <v>110</v>
      </c>
      <c r="B89" s="47"/>
      <c r="C89" s="355"/>
      <c r="D89" s="355"/>
      <c r="E89" s="355" t="str">
        <f>E2</f>
        <v>Forintban!</v>
      </c>
    </row>
    <row r="90" spans="1:5" s="394" customFormat="1" ht="16.5" customHeight="1">
      <c r="A90" s="720" t="s">
        <v>57</v>
      </c>
      <c r="B90" s="722" t="s">
        <v>173</v>
      </c>
      <c r="C90" s="724" t="str">
        <f>+C3</f>
        <v>2019. évi</v>
      </c>
      <c r="D90" s="724"/>
      <c r="E90" s="725"/>
    </row>
    <row r="91" spans="1:5" ht="37.5" customHeight="1" thickBot="1">
      <c r="A91" s="721"/>
      <c r="B91" s="723"/>
      <c r="C91" s="48" t="s">
        <v>174</v>
      </c>
      <c r="D91" s="48" t="s">
        <v>179</v>
      </c>
      <c r="E91" s="49" t="s">
        <v>180</v>
      </c>
    </row>
    <row r="92" spans="1:5" s="387" customFormat="1" ht="12" customHeight="1" thickBot="1">
      <c r="A92" s="351" t="s">
        <v>410</v>
      </c>
      <c r="B92" s="352" t="s">
        <v>411</v>
      </c>
      <c r="C92" s="352" t="s">
        <v>412</v>
      </c>
      <c r="D92" s="352" t="s">
        <v>413</v>
      </c>
      <c r="E92" s="353" t="s">
        <v>414</v>
      </c>
    </row>
    <row r="93" spans="1:5" ht="12" customHeight="1" thickBot="1">
      <c r="A93" s="346" t="s">
        <v>7</v>
      </c>
      <c r="B93" s="349" t="s">
        <v>416</v>
      </c>
      <c r="C93" s="378">
        <f>SUM(C94:C98)</f>
        <v>84064649</v>
      </c>
      <c r="D93" s="378">
        <f>SUM(D94:D98)</f>
        <v>95580073</v>
      </c>
      <c r="E93" s="361">
        <f>SUM(E94:E98)</f>
        <v>85592767</v>
      </c>
    </row>
    <row r="94" spans="1:5" ht="12" customHeight="1">
      <c r="A94" s="341" t="s">
        <v>69</v>
      </c>
      <c r="B94" s="335" t="s">
        <v>37</v>
      </c>
      <c r="C94" s="81">
        <v>63721400</v>
      </c>
      <c r="D94" s="81">
        <v>73203634</v>
      </c>
      <c r="E94" s="439">
        <v>65287071</v>
      </c>
    </row>
    <row r="95" spans="1:5" ht="12" customHeight="1">
      <c r="A95" s="340" t="s">
        <v>70</v>
      </c>
      <c r="B95" s="334" t="s">
        <v>131</v>
      </c>
      <c r="C95" s="407">
        <v>12640000</v>
      </c>
      <c r="D95" s="407">
        <v>13530163</v>
      </c>
      <c r="E95" s="440">
        <v>13424747</v>
      </c>
    </row>
    <row r="96" spans="1:5" ht="12" customHeight="1">
      <c r="A96" s="340" t="s">
        <v>71</v>
      </c>
      <c r="B96" s="334" t="s">
        <v>98</v>
      </c>
      <c r="C96" s="407">
        <v>7703249</v>
      </c>
      <c r="D96" s="407">
        <v>8846276</v>
      </c>
      <c r="E96" s="440">
        <v>6880949</v>
      </c>
    </row>
    <row r="97" spans="1:5" ht="12" customHeight="1">
      <c r="A97" s="340" t="s">
        <v>72</v>
      </c>
      <c r="B97" s="337" t="s">
        <v>132</v>
      </c>
      <c r="C97" s="381"/>
      <c r="D97" s="381"/>
      <c r="E97" s="364"/>
    </row>
    <row r="98" spans="1:5" ht="12" customHeight="1">
      <c r="A98" s="340" t="s">
        <v>81</v>
      </c>
      <c r="B98" s="345" t="s">
        <v>133</v>
      </c>
      <c r="C98" s="381"/>
      <c r="D98" s="381"/>
      <c r="E98" s="364"/>
    </row>
    <row r="99" spans="1:5" ht="12" customHeight="1">
      <c r="A99" s="340" t="s">
        <v>73</v>
      </c>
      <c r="B99" s="334" t="s">
        <v>417</v>
      </c>
      <c r="C99" s="381"/>
      <c r="D99" s="381"/>
      <c r="E99" s="364"/>
    </row>
    <row r="100" spans="1:5" ht="12" customHeight="1">
      <c r="A100" s="340" t="s">
        <v>74</v>
      </c>
      <c r="B100" s="357" t="s">
        <v>418</v>
      </c>
      <c r="C100" s="381"/>
      <c r="D100" s="381"/>
      <c r="E100" s="364"/>
    </row>
    <row r="101" spans="1:5" ht="12" customHeight="1">
      <c r="A101" s="340" t="s">
        <v>82</v>
      </c>
      <c r="B101" s="358" t="s">
        <v>419</v>
      </c>
      <c r="C101" s="381"/>
      <c r="D101" s="381"/>
      <c r="E101" s="364"/>
    </row>
    <row r="102" spans="1:5" ht="12" customHeight="1">
      <c r="A102" s="340" t="s">
        <v>83</v>
      </c>
      <c r="B102" s="358" t="s">
        <v>420</v>
      </c>
      <c r="C102" s="381"/>
      <c r="D102" s="381"/>
      <c r="E102" s="364"/>
    </row>
    <row r="103" spans="1:5" ht="12" customHeight="1">
      <c r="A103" s="340" t="s">
        <v>84</v>
      </c>
      <c r="B103" s="357" t="s">
        <v>421</v>
      </c>
      <c r="C103" s="381"/>
      <c r="D103" s="381"/>
      <c r="E103" s="364"/>
    </row>
    <row r="104" spans="1:5" ht="12" customHeight="1">
      <c r="A104" s="340" t="s">
        <v>85</v>
      </c>
      <c r="B104" s="357" t="s">
        <v>422</v>
      </c>
      <c r="C104" s="381"/>
      <c r="D104" s="381"/>
      <c r="E104" s="364"/>
    </row>
    <row r="105" spans="1:5" ht="12" customHeight="1">
      <c r="A105" s="340" t="s">
        <v>87</v>
      </c>
      <c r="B105" s="358" t="s">
        <v>423</v>
      </c>
      <c r="C105" s="381"/>
      <c r="D105" s="381"/>
      <c r="E105" s="364"/>
    </row>
    <row r="106" spans="1:5" ht="12" customHeight="1">
      <c r="A106" s="339" t="s">
        <v>134</v>
      </c>
      <c r="B106" s="359" t="s">
        <v>424</v>
      </c>
      <c r="C106" s="381"/>
      <c r="D106" s="381"/>
      <c r="E106" s="364"/>
    </row>
    <row r="107" spans="1:5" ht="12" customHeight="1">
      <c r="A107" s="340" t="s">
        <v>425</v>
      </c>
      <c r="B107" s="359" t="s">
        <v>426</v>
      </c>
      <c r="C107" s="381"/>
      <c r="D107" s="381"/>
      <c r="E107" s="364"/>
    </row>
    <row r="108" spans="1:5" ht="12" customHeight="1" thickBot="1">
      <c r="A108" s="344" t="s">
        <v>427</v>
      </c>
      <c r="B108" s="360" t="s">
        <v>428</v>
      </c>
      <c r="C108" s="79"/>
      <c r="D108" s="79"/>
      <c r="E108" s="325"/>
    </row>
    <row r="109" spans="1:5" ht="12" customHeight="1" thickBot="1">
      <c r="A109" s="346" t="s">
        <v>8</v>
      </c>
      <c r="B109" s="349" t="s">
        <v>429</v>
      </c>
      <c r="C109" s="378">
        <f>+C110+C112+C114</f>
        <v>0</v>
      </c>
      <c r="D109" s="378">
        <f>+D110+D112+D114</f>
        <v>0</v>
      </c>
      <c r="E109" s="361">
        <f>+E110+E112+E114</f>
        <v>0</v>
      </c>
    </row>
    <row r="110" spans="1:5" ht="12" customHeight="1">
      <c r="A110" s="341" t="s">
        <v>75</v>
      </c>
      <c r="B110" s="334" t="s">
        <v>155</v>
      </c>
      <c r="C110" s="380"/>
      <c r="D110" s="380"/>
      <c r="E110" s="363"/>
    </row>
    <row r="111" spans="1:5" ht="12" customHeight="1">
      <c r="A111" s="341" t="s">
        <v>76</v>
      </c>
      <c r="B111" s="338" t="s">
        <v>430</v>
      </c>
      <c r="C111" s="380"/>
      <c r="D111" s="380"/>
      <c r="E111" s="363"/>
    </row>
    <row r="112" spans="1:5" ht="15.75">
      <c r="A112" s="341" t="s">
        <v>77</v>
      </c>
      <c r="B112" s="338" t="s">
        <v>135</v>
      </c>
      <c r="C112" s="379"/>
      <c r="D112" s="379"/>
      <c r="E112" s="362"/>
    </row>
    <row r="113" spans="1:5" ht="12" customHeight="1">
      <c r="A113" s="341" t="s">
        <v>78</v>
      </c>
      <c r="B113" s="338" t="s">
        <v>431</v>
      </c>
      <c r="C113" s="379"/>
      <c r="D113" s="379"/>
      <c r="E113" s="362"/>
    </row>
    <row r="114" spans="1:5" ht="12" customHeight="1">
      <c r="A114" s="341" t="s">
        <v>79</v>
      </c>
      <c r="B114" s="370" t="s">
        <v>157</v>
      </c>
      <c r="C114" s="379"/>
      <c r="D114" s="379"/>
      <c r="E114" s="362"/>
    </row>
    <row r="115" spans="1:5" ht="21.75" customHeight="1">
      <c r="A115" s="341" t="s">
        <v>86</v>
      </c>
      <c r="B115" s="369" t="s">
        <v>432</v>
      </c>
      <c r="C115" s="379"/>
      <c r="D115" s="379"/>
      <c r="E115" s="362"/>
    </row>
    <row r="116" spans="1:5" ht="24" customHeight="1">
      <c r="A116" s="341" t="s">
        <v>88</v>
      </c>
      <c r="B116" s="385" t="s">
        <v>433</v>
      </c>
      <c r="C116" s="379"/>
      <c r="D116" s="379"/>
      <c r="E116" s="362"/>
    </row>
    <row r="117" spans="1:5" ht="12" customHeight="1">
      <c r="A117" s="341" t="s">
        <v>136</v>
      </c>
      <c r="B117" s="358" t="s">
        <v>420</v>
      </c>
      <c r="C117" s="379"/>
      <c r="D117" s="379"/>
      <c r="E117" s="362"/>
    </row>
    <row r="118" spans="1:5" ht="12" customHeight="1">
      <c r="A118" s="341" t="s">
        <v>137</v>
      </c>
      <c r="B118" s="358" t="s">
        <v>434</v>
      </c>
      <c r="C118" s="379"/>
      <c r="D118" s="379"/>
      <c r="E118" s="362"/>
    </row>
    <row r="119" spans="1:5" ht="12" customHeight="1">
      <c r="A119" s="341" t="s">
        <v>138</v>
      </c>
      <c r="B119" s="358" t="s">
        <v>435</v>
      </c>
      <c r="C119" s="379"/>
      <c r="D119" s="379"/>
      <c r="E119" s="362"/>
    </row>
    <row r="120" spans="1:5" s="405" customFormat="1" ht="12" customHeight="1">
      <c r="A120" s="341" t="s">
        <v>436</v>
      </c>
      <c r="B120" s="358" t="s">
        <v>423</v>
      </c>
      <c r="C120" s="379"/>
      <c r="D120" s="379"/>
      <c r="E120" s="362"/>
    </row>
    <row r="121" spans="1:5" ht="12" customHeight="1">
      <c r="A121" s="341" t="s">
        <v>437</v>
      </c>
      <c r="B121" s="358" t="s">
        <v>438</v>
      </c>
      <c r="C121" s="379"/>
      <c r="D121" s="379"/>
      <c r="E121" s="362"/>
    </row>
    <row r="122" spans="1:5" ht="12" customHeight="1" thickBot="1">
      <c r="A122" s="339" t="s">
        <v>439</v>
      </c>
      <c r="B122" s="358" t="s">
        <v>440</v>
      </c>
      <c r="C122" s="381"/>
      <c r="D122" s="381"/>
      <c r="E122" s="364"/>
    </row>
    <row r="123" spans="1:5" ht="12" customHeight="1" thickBot="1">
      <c r="A123" s="346" t="s">
        <v>9</v>
      </c>
      <c r="B123" s="354" t="s">
        <v>441</v>
      </c>
      <c r="C123" s="378">
        <f>+C124+C125</f>
        <v>0</v>
      </c>
      <c r="D123" s="378">
        <f>+D124+D125</f>
        <v>0</v>
      </c>
      <c r="E123" s="361">
        <f>+E124+E125</f>
        <v>0</v>
      </c>
    </row>
    <row r="124" spans="1:5" ht="12" customHeight="1">
      <c r="A124" s="341" t="s">
        <v>58</v>
      </c>
      <c r="B124" s="335" t="s">
        <v>45</v>
      </c>
      <c r="C124" s="380"/>
      <c r="D124" s="380"/>
      <c r="E124" s="363"/>
    </row>
    <row r="125" spans="1:5" ht="12" customHeight="1" thickBot="1">
      <c r="A125" s="342" t="s">
        <v>59</v>
      </c>
      <c r="B125" s="338" t="s">
        <v>46</v>
      </c>
      <c r="C125" s="381"/>
      <c r="D125" s="381"/>
      <c r="E125" s="364"/>
    </row>
    <row r="126" spans="1:5" ht="12" customHeight="1" thickBot="1">
      <c r="A126" s="346" t="s">
        <v>10</v>
      </c>
      <c r="B126" s="354" t="s">
        <v>442</v>
      </c>
      <c r="C126" s="378">
        <f>+C93+C109+C123</f>
        <v>84064649</v>
      </c>
      <c r="D126" s="378">
        <f>+D93+D109+D123</f>
        <v>95580073</v>
      </c>
      <c r="E126" s="361">
        <f>+E93+E109+E123</f>
        <v>85592767</v>
      </c>
    </row>
    <row r="127" spans="1:5" ht="12" customHeight="1" thickBot="1">
      <c r="A127" s="346" t="s">
        <v>11</v>
      </c>
      <c r="B127" s="354" t="s">
        <v>443</v>
      </c>
      <c r="C127" s="378">
        <f>+C128+C129+C130</f>
        <v>0</v>
      </c>
      <c r="D127" s="378">
        <f>+D128+D129+D130</f>
        <v>0</v>
      </c>
      <c r="E127" s="361">
        <f>+E128+E129+E130</f>
        <v>0</v>
      </c>
    </row>
    <row r="128" spans="1:5" ht="12" customHeight="1">
      <c r="A128" s="341" t="s">
        <v>62</v>
      </c>
      <c r="B128" s="335" t="s">
        <v>444</v>
      </c>
      <c r="C128" s="379"/>
      <c r="D128" s="379"/>
      <c r="E128" s="362"/>
    </row>
    <row r="129" spans="1:5" ht="12" customHeight="1">
      <c r="A129" s="341" t="s">
        <v>63</v>
      </c>
      <c r="B129" s="335" t="s">
        <v>445</v>
      </c>
      <c r="C129" s="379"/>
      <c r="D129" s="379"/>
      <c r="E129" s="362"/>
    </row>
    <row r="130" spans="1:5" ht="12" customHeight="1" thickBot="1">
      <c r="A130" s="339" t="s">
        <v>64</v>
      </c>
      <c r="B130" s="333" t="s">
        <v>446</v>
      </c>
      <c r="C130" s="379"/>
      <c r="D130" s="379"/>
      <c r="E130" s="362"/>
    </row>
    <row r="131" spans="1:5" ht="12" customHeight="1" thickBot="1">
      <c r="A131" s="346" t="s">
        <v>12</v>
      </c>
      <c r="B131" s="354" t="s">
        <v>447</v>
      </c>
      <c r="C131" s="378">
        <f>+C132+C133+C135+C134</f>
        <v>0</v>
      </c>
      <c r="D131" s="378">
        <f>+D132+D133+D135+D134</f>
        <v>0</v>
      </c>
      <c r="E131" s="361">
        <f>+E132+E133+E135+E134</f>
        <v>0</v>
      </c>
    </row>
    <row r="132" spans="1:5" ht="12" customHeight="1">
      <c r="A132" s="341" t="s">
        <v>65</v>
      </c>
      <c r="B132" s="335" t="s">
        <v>448</v>
      </c>
      <c r="C132" s="379"/>
      <c r="D132" s="379"/>
      <c r="E132" s="362"/>
    </row>
    <row r="133" spans="1:5" ht="12" customHeight="1">
      <c r="A133" s="341" t="s">
        <v>66</v>
      </c>
      <c r="B133" s="335" t="s">
        <v>449</v>
      </c>
      <c r="C133" s="379"/>
      <c r="D133" s="379"/>
      <c r="E133" s="362"/>
    </row>
    <row r="134" spans="1:5" ht="12" customHeight="1">
      <c r="A134" s="341" t="s">
        <v>344</v>
      </c>
      <c r="B134" s="335" t="s">
        <v>450</v>
      </c>
      <c r="C134" s="379"/>
      <c r="D134" s="379"/>
      <c r="E134" s="362"/>
    </row>
    <row r="135" spans="1:5" ht="12" customHeight="1" thickBot="1">
      <c r="A135" s="339" t="s">
        <v>346</v>
      </c>
      <c r="B135" s="333" t="s">
        <v>451</v>
      </c>
      <c r="C135" s="379"/>
      <c r="D135" s="379"/>
      <c r="E135" s="362"/>
    </row>
    <row r="136" spans="1:5" ht="12" customHeight="1" thickBot="1">
      <c r="A136" s="346" t="s">
        <v>13</v>
      </c>
      <c r="B136" s="354" t="s">
        <v>452</v>
      </c>
      <c r="C136" s="384">
        <f>+C137+C138+C139+C140</f>
        <v>0</v>
      </c>
      <c r="D136" s="384">
        <f>+D137+D138+D139+D140</f>
        <v>0</v>
      </c>
      <c r="E136" s="397">
        <f>+E137+E138+E139+E140</f>
        <v>0</v>
      </c>
    </row>
    <row r="137" spans="1:5" ht="12" customHeight="1">
      <c r="A137" s="341" t="s">
        <v>67</v>
      </c>
      <c r="B137" s="335" t="s">
        <v>453</v>
      </c>
      <c r="C137" s="379"/>
      <c r="D137" s="379"/>
      <c r="E137" s="362"/>
    </row>
    <row r="138" spans="1:5" ht="12" customHeight="1">
      <c r="A138" s="341" t="s">
        <v>68</v>
      </c>
      <c r="B138" s="335" t="s">
        <v>454</v>
      </c>
      <c r="C138" s="379"/>
      <c r="D138" s="379"/>
      <c r="E138" s="362"/>
    </row>
    <row r="139" spans="1:5" ht="12" customHeight="1">
      <c r="A139" s="341" t="s">
        <v>353</v>
      </c>
      <c r="B139" s="335" t="s">
        <v>455</v>
      </c>
      <c r="C139" s="379"/>
      <c r="D139" s="379"/>
      <c r="E139" s="362"/>
    </row>
    <row r="140" spans="1:5" ht="12" customHeight="1" thickBot="1">
      <c r="A140" s="339" t="s">
        <v>355</v>
      </c>
      <c r="B140" s="333" t="s">
        <v>456</v>
      </c>
      <c r="C140" s="379"/>
      <c r="D140" s="379"/>
      <c r="E140" s="362"/>
    </row>
    <row r="141" spans="1:9" ht="15" customHeight="1" thickBot="1">
      <c r="A141" s="346" t="s">
        <v>14</v>
      </c>
      <c r="B141" s="354" t="s">
        <v>457</v>
      </c>
      <c r="C141" s="80">
        <f>+C142+C143+C144+C145</f>
        <v>0</v>
      </c>
      <c r="D141" s="80">
        <f>+D142+D143+D144+D145</f>
        <v>0</v>
      </c>
      <c r="E141" s="330">
        <f>+E142+E143+E144+E145</f>
        <v>0</v>
      </c>
      <c r="F141" s="395"/>
      <c r="G141" s="396"/>
      <c r="H141" s="396"/>
      <c r="I141" s="396"/>
    </row>
    <row r="142" spans="1:5" s="388" customFormat="1" ht="12.75" customHeight="1">
      <c r="A142" s="341" t="s">
        <v>129</v>
      </c>
      <c r="B142" s="335" t="s">
        <v>458</v>
      </c>
      <c r="C142" s="379"/>
      <c r="D142" s="379"/>
      <c r="E142" s="362"/>
    </row>
    <row r="143" spans="1:5" ht="12.75" customHeight="1">
      <c r="A143" s="341" t="s">
        <v>130</v>
      </c>
      <c r="B143" s="335" t="s">
        <v>459</v>
      </c>
      <c r="C143" s="379"/>
      <c r="D143" s="379"/>
      <c r="E143" s="362"/>
    </row>
    <row r="144" spans="1:5" ht="12.75" customHeight="1">
      <c r="A144" s="341" t="s">
        <v>156</v>
      </c>
      <c r="B144" s="335" t="s">
        <v>460</v>
      </c>
      <c r="C144" s="379"/>
      <c r="D144" s="379"/>
      <c r="E144" s="362"/>
    </row>
    <row r="145" spans="1:5" ht="12.75" customHeight="1" thickBot="1">
      <c r="A145" s="341" t="s">
        <v>361</v>
      </c>
      <c r="B145" s="335" t="s">
        <v>461</v>
      </c>
      <c r="C145" s="379"/>
      <c r="D145" s="379"/>
      <c r="E145" s="362"/>
    </row>
    <row r="146" spans="1:5" ht="16.5" thickBot="1">
      <c r="A146" s="346" t="s">
        <v>15</v>
      </c>
      <c r="B146" s="354" t="s">
        <v>462</v>
      </c>
      <c r="C146" s="328">
        <f>+C127+C131+C136+C141</f>
        <v>0</v>
      </c>
      <c r="D146" s="328">
        <f>+D127+D131+D136+D141</f>
        <v>0</v>
      </c>
      <c r="E146" s="329">
        <f>+E127+E131+E136+E141</f>
        <v>0</v>
      </c>
    </row>
    <row r="147" spans="1:5" ht="16.5" thickBot="1">
      <c r="A147" s="371" t="s">
        <v>16</v>
      </c>
      <c r="B147" s="374" t="s">
        <v>463</v>
      </c>
      <c r="C147" s="328">
        <f>+C126+C146</f>
        <v>84064649</v>
      </c>
      <c r="D147" s="328">
        <f>+D126+D146</f>
        <v>95580073</v>
      </c>
      <c r="E147" s="329">
        <f>+E126+E146</f>
        <v>85592767</v>
      </c>
    </row>
    <row r="149" spans="1:5" ht="18.75" customHeight="1">
      <c r="A149" s="718" t="s">
        <v>464</v>
      </c>
      <c r="B149" s="718"/>
      <c r="C149" s="718"/>
      <c r="D149" s="718"/>
      <c r="E149" s="718"/>
    </row>
    <row r="150" spans="1:5" ht="13.5" customHeight="1" thickBot="1">
      <c r="A150" s="356" t="s">
        <v>111</v>
      </c>
      <c r="B150" s="356"/>
      <c r="C150" s="386"/>
      <c r="E150" s="373" t="str">
        <f>E89</f>
        <v>Forintban!</v>
      </c>
    </row>
    <row r="151" spans="1:5" ht="21.75" thickBot="1">
      <c r="A151" s="346">
        <v>1</v>
      </c>
      <c r="B151" s="349" t="s">
        <v>465</v>
      </c>
      <c r="C151" s="372">
        <f>+C61-C126</f>
        <v>-72211165</v>
      </c>
      <c r="D151" s="372">
        <f>+D61-D126</f>
        <v>-74928653</v>
      </c>
      <c r="E151" s="372">
        <f>+E61-E126</f>
        <v>-72740981</v>
      </c>
    </row>
    <row r="152" spans="1:5" ht="21.75" thickBot="1">
      <c r="A152" s="346" t="s">
        <v>8</v>
      </c>
      <c r="B152" s="349" t="s">
        <v>466</v>
      </c>
      <c r="C152" s="372">
        <f>+C85-C146</f>
        <v>226765</v>
      </c>
      <c r="D152" s="372">
        <f>+D85-D146</f>
        <v>1243565</v>
      </c>
      <c r="E152" s="372">
        <f>+E85-E146</f>
        <v>1243565</v>
      </c>
    </row>
    <row r="153" ht="7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spans="3:5" s="375" customFormat="1" ht="12.75" customHeight="1">
      <c r="C162" s="376"/>
      <c r="D162" s="376"/>
      <c r="E162" s="376"/>
    </row>
  </sheetData>
  <sheetProtection/>
  <mergeCells count="9">
    <mergeCell ref="A149:E149"/>
    <mergeCell ref="A1:E1"/>
    <mergeCell ref="A3:A4"/>
    <mergeCell ref="B3:B4"/>
    <mergeCell ref="C3:E3"/>
    <mergeCell ref="A88:E88"/>
    <mergeCell ref="A90:A91"/>
    <mergeCell ref="B90:B91"/>
    <mergeCell ref="C90:E90"/>
  </mergeCells>
  <printOptions horizontalCentered="1"/>
  <pageMargins left="0.7874015748031497" right="0.7874015748031497" top="1.4566929133858268" bottom="0.8661417322834646" header="0.7874015748031497" footer="0.5905511811023623"/>
  <pageSetup fitToHeight="0" fitToWidth="1" horizontalDpi="600" verticalDpi="600" orientation="portrait" paperSize="9" scale="81" r:id="rId1"/>
  <headerFooter alignWithMargins="0">
    <oddHeader>&amp;C&amp;"Times New Roman CE,Félkövér"&amp;12
Borodszirák Község Önkormányzat
2019. ÉVI ZÁRSZÁMADÁS
ÁLLAMIGAZGATÁSI FELADATOK MÉRLEGE
&amp;R&amp;"Times New Roman CE,Félkövér dőlt"&amp;11 1.4. melléklet a 4/2020. (VI.30.) önkormányzati rendelethez</oddHeader>
  </headerFooter>
  <rowBreaks count="1" manualBreakCount="1">
    <brk id="87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30"/>
  <sheetViews>
    <sheetView view="pageLayout" zoomScaleSheetLayoutView="100" workbookViewId="0" topLeftCell="B1">
      <selection activeCell="G1" sqref="G1"/>
    </sheetView>
  </sheetViews>
  <sheetFormatPr defaultColWidth="9.00390625" defaultRowHeight="12.75"/>
  <cols>
    <col min="1" max="1" width="6.875" style="10" customWidth="1"/>
    <col min="2" max="2" width="55.125" style="27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18" t="s">
        <v>115</v>
      </c>
      <c r="C1" s="419"/>
      <c r="D1" s="419"/>
      <c r="E1" s="419"/>
      <c r="F1" s="419"/>
      <c r="G1" s="419"/>
      <c r="H1" s="419"/>
      <c r="I1" s="419"/>
      <c r="J1" s="728" t="str">
        <f>+CONCATENATE("2.1. melléklet a .../",LEFT('1.1.sz.mell.'!C3,4)+1,". (.V…..') önkormányzati rendelethez")</f>
        <v>2.1. melléklet a .../2020. (.V…..') önkormányzati rendelethez</v>
      </c>
    </row>
    <row r="2" spans="7:10" ht="14.25" thickBot="1">
      <c r="G2" s="40"/>
      <c r="H2" s="40"/>
      <c r="I2" s="40" t="str">
        <f>'1.4.sz.mell.'!E2</f>
        <v>Forintban!</v>
      </c>
      <c r="J2" s="728"/>
    </row>
    <row r="3" spans="1:10" ht="18" customHeight="1" thickBot="1">
      <c r="A3" s="726" t="s">
        <v>57</v>
      </c>
      <c r="B3" s="445" t="s">
        <v>42</v>
      </c>
      <c r="C3" s="446"/>
      <c r="D3" s="446"/>
      <c r="E3" s="446"/>
      <c r="F3" s="445" t="s">
        <v>43</v>
      </c>
      <c r="G3" s="447"/>
      <c r="H3" s="447"/>
      <c r="I3" s="447"/>
      <c r="J3" s="728"/>
    </row>
    <row r="4" spans="1:10" s="420" customFormat="1" ht="35.25" customHeight="1" thickBot="1">
      <c r="A4" s="727"/>
      <c r="B4" s="28" t="s">
        <v>50</v>
      </c>
      <c r="C4" s="29" t="str">
        <f>+CONCATENATE(LEFT('1.1.sz.mell.'!C3,4),". évi eredeti előirányzat")</f>
        <v>2019. évi eredeti előirányzat</v>
      </c>
      <c r="D4" s="406" t="str">
        <f>+CONCATENATE(LEFT('1.1.sz.mell.'!C3,4),". évi módosított előirányzat")</f>
        <v>2019. évi módosított előirányzat</v>
      </c>
      <c r="E4" s="29" t="str">
        <f>+CONCATENATE(LEFT('1.1.sz.mell.'!C3,4),". évi teljesítés")</f>
        <v>2019. évi teljesítés</v>
      </c>
      <c r="F4" s="28" t="s">
        <v>50</v>
      </c>
      <c r="G4" s="29" t="str">
        <f>+C4</f>
        <v>2019. évi eredeti előirányzat</v>
      </c>
      <c r="H4" s="406" t="str">
        <f>+D4</f>
        <v>2019. évi módosított előirányzat</v>
      </c>
      <c r="I4" s="435" t="str">
        <f>+E4</f>
        <v>2019. évi teljesítés</v>
      </c>
      <c r="J4" s="728"/>
    </row>
    <row r="5" spans="1:10" s="421" customFormat="1" ht="12" customHeight="1" thickBot="1">
      <c r="A5" s="448" t="s">
        <v>410</v>
      </c>
      <c r="B5" s="449" t="s">
        <v>411</v>
      </c>
      <c r="C5" s="450" t="s">
        <v>412</v>
      </c>
      <c r="D5" s="450" t="s">
        <v>413</v>
      </c>
      <c r="E5" s="450" t="s">
        <v>414</v>
      </c>
      <c r="F5" s="449" t="s">
        <v>491</v>
      </c>
      <c r="G5" s="450" t="s">
        <v>492</v>
      </c>
      <c r="H5" s="450" t="s">
        <v>493</v>
      </c>
      <c r="I5" s="451" t="s">
        <v>494</v>
      </c>
      <c r="J5" s="728"/>
    </row>
    <row r="6" spans="1:10" ht="15" customHeight="1">
      <c r="A6" s="422" t="s">
        <v>7</v>
      </c>
      <c r="B6" s="423" t="s">
        <v>467</v>
      </c>
      <c r="C6" s="409">
        <f>SUM('1.1.sz.mell.'!C6)</f>
        <v>136620875</v>
      </c>
      <c r="D6" s="409">
        <f>SUM('1.1.sz.mell.'!D6)</f>
        <v>169702262</v>
      </c>
      <c r="E6" s="409">
        <f>SUM('1.1.sz.mell.'!E6)</f>
        <v>169702262</v>
      </c>
      <c r="F6" s="423" t="s">
        <v>51</v>
      </c>
      <c r="G6" s="409">
        <f>SUM('1.1.sz.mell.'!C94)</f>
        <v>148015450</v>
      </c>
      <c r="H6" s="409">
        <f>SUM('1.1.sz.mell.'!D94)</f>
        <v>166662740</v>
      </c>
      <c r="I6" s="415">
        <f>SUM('1.1.sz.mell.'!E94)</f>
        <v>154588103</v>
      </c>
      <c r="J6" s="728"/>
    </row>
    <row r="7" spans="1:10" ht="15" customHeight="1">
      <c r="A7" s="424" t="s">
        <v>8</v>
      </c>
      <c r="B7" s="425" t="s">
        <v>468</v>
      </c>
      <c r="C7" s="410">
        <f>SUM('1.1.sz.mell.'!C13)</f>
        <v>70646484</v>
      </c>
      <c r="D7" s="410">
        <f>SUM('1.1.sz.mell.'!D13)</f>
        <v>70686137</v>
      </c>
      <c r="E7" s="410">
        <f>SUM('1.1.sz.mell.'!E13)</f>
        <v>58425418</v>
      </c>
      <c r="F7" s="425" t="s">
        <v>131</v>
      </c>
      <c r="G7" s="410">
        <f>SUM('1.1.sz.mell.'!C95)</f>
        <v>29679350</v>
      </c>
      <c r="H7" s="410">
        <f>SUM('1.1.sz.mell.'!D95)</f>
        <v>30569513</v>
      </c>
      <c r="I7" s="416">
        <f>SUM('1.1.sz.mell.'!E95)</f>
        <v>28391629</v>
      </c>
      <c r="J7" s="728"/>
    </row>
    <row r="8" spans="1:10" ht="15" customHeight="1">
      <c r="A8" s="424" t="s">
        <v>9</v>
      </c>
      <c r="B8" s="425" t="s">
        <v>469</v>
      </c>
      <c r="C8" s="410"/>
      <c r="D8" s="410"/>
      <c r="E8" s="410"/>
      <c r="F8" s="425" t="s">
        <v>159</v>
      </c>
      <c r="G8" s="410">
        <f>SUM('1.1.sz.mell.'!C96)</f>
        <v>66867249</v>
      </c>
      <c r="H8" s="410">
        <f>SUM('1.1.sz.mell.'!D96)</f>
        <v>114067761</v>
      </c>
      <c r="I8" s="416">
        <f>SUM('1.1.sz.mell.'!E96)</f>
        <v>96128518</v>
      </c>
      <c r="J8" s="728"/>
    </row>
    <row r="9" spans="1:10" ht="15" customHeight="1">
      <c r="A9" s="424" t="s">
        <v>10</v>
      </c>
      <c r="B9" s="425" t="s">
        <v>122</v>
      </c>
      <c r="C9" s="410">
        <f>SUM('1.1.sz.mell.'!C28)</f>
        <v>31350000</v>
      </c>
      <c r="D9" s="410">
        <f>SUM('1.1.sz.mell.'!D28)</f>
        <v>50438604</v>
      </c>
      <c r="E9" s="410">
        <f>SUM('1.1.sz.mell.'!E28)</f>
        <v>50340079</v>
      </c>
      <c r="F9" s="425" t="s">
        <v>132</v>
      </c>
      <c r="G9" s="410">
        <f>SUM('1.1.sz.mell.'!C97)</f>
        <v>24362574</v>
      </c>
      <c r="H9" s="410">
        <f>SUM('1.1.sz.mell.'!D97)</f>
        <v>27688954</v>
      </c>
      <c r="I9" s="416">
        <f>SUM('1.1.sz.mell.'!E97)</f>
        <v>15609758</v>
      </c>
      <c r="J9" s="728"/>
    </row>
    <row r="10" spans="1:10" ht="15" customHeight="1">
      <c r="A10" s="424" t="s">
        <v>11</v>
      </c>
      <c r="B10" s="426" t="s">
        <v>470</v>
      </c>
      <c r="C10" s="410">
        <f>SUM('1.1.sz.mell.'!C51)</f>
        <v>0</v>
      </c>
      <c r="D10" s="410">
        <f>SUM('1.1.sz.mell.'!D51)</f>
        <v>0</v>
      </c>
      <c r="E10" s="410">
        <f>SUM('1.1.sz.mell.'!E51)</f>
        <v>0</v>
      </c>
      <c r="F10" s="425" t="s">
        <v>133</v>
      </c>
      <c r="G10" s="410">
        <f>SUM('1.1.sz.mell.'!C98)</f>
        <v>7291332</v>
      </c>
      <c r="H10" s="410">
        <f>SUM('1.1.sz.mell.'!D98)</f>
        <v>17488192</v>
      </c>
      <c r="I10" s="416">
        <f>SUM('1.1.sz.mell.'!E98)</f>
        <v>13341514</v>
      </c>
      <c r="J10" s="728"/>
    </row>
    <row r="11" spans="1:10" ht="15" customHeight="1">
      <c r="A11" s="424" t="s">
        <v>12</v>
      </c>
      <c r="B11" s="425" t="s">
        <v>662</v>
      </c>
      <c r="C11" s="411"/>
      <c r="D11" s="411"/>
      <c r="E11" s="411"/>
      <c r="F11" s="425" t="s">
        <v>38</v>
      </c>
      <c r="G11" s="410"/>
      <c r="H11" s="410"/>
      <c r="I11" s="416"/>
      <c r="J11" s="728"/>
    </row>
    <row r="12" spans="1:10" ht="15" customHeight="1">
      <c r="A12" s="424" t="s">
        <v>13</v>
      </c>
      <c r="B12" s="425" t="s">
        <v>340</v>
      </c>
      <c r="C12" s="410">
        <f>SUM('1.1.sz.mell.'!C34)</f>
        <v>9727948</v>
      </c>
      <c r="D12" s="410">
        <f>SUM('1.1.sz.mell.'!D34)</f>
        <v>24755727</v>
      </c>
      <c r="E12" s="410">
        <f>SUM('1.1.sz.mell.'!E34)</f>
        <v>24019407</v>
      </c>
      <c r="F12" s="7"/>
      <c r="G12" s="410"/>
      <c r="H12" s="410"/>
      <c r="I12" s="416"/>
      <c r="J12" s="728"/>
    </row>
    <row r="13" spans="1:10" ht="15" customHeight="1">
      <c r="A13" s="424" t="s">
        <v>14</v>
      </c>
      <c r="B13" s="7"/>
      <c r="C13" s="410"/>
      <c r="D13" s="410"/>
      <c r="E13" s="410"/>
      <c r="F13" s="7"/>
      <c r="G13" s="410"/>
      <c r="H13" s="410"/>
      <c r="I13" s="416"/>
      <c r="J13" s="728"/>
    </row>
    <row r="14" spans="1:10" ht="15" customHeight="1">
      <c r="A14" s="424" t="s">
        <v>15</v>
      </c>
      <c r="B14" s="434"/>
      <c r="C14" s="411"/>
      <c r="D14" s="411"/>
      <c r="E14" s="411"/>
      <c r="F14" s="7"/>
      <c r="G14" s="410"/>
      <c r="H14" s="410"/>
      <c r="I14" s="416"/>
      <c r="J14" s="728"/>
    </row>
    <row r="15" spans="1:10" ht="15" customHeight="1">
      <c r="A15" s="424" t="s">
        <v>16</v>
      </c>
      <c r="B15" s="7"/>
      <c r="C15" s="410"/>
      <c r="D15" s="410"/>
      <c r="E15" s="410"/>
      <c r="F15" s="7"/>
      <c r="G15" s="410"/>
      <c r="H15" s="410"/>
      <c r="I15" s="416"/>
      <c r="J15" s="728"/>
    </row>
    <row r="16" spans="1:10" ht="15" customHeight="1">
      <c r="A16" s="424" t="s">
        <v>17</v>
      </c>
      <c r="B16" s="7"/>
      <c r="C16" s="410"/>
      <c r="D16" s="410"/>
      <c r="E16" s="410"/>
      <c r="F16" s="7"/>
      <c r="G16" s="410"/>
      <c r="H16" s="410"/>
      <c r="I16" s="416"/>
      <c r="J16" s="728"/>
    </row>
    <row r="17" spans="1:10" ht="15" customHeight="1" thickBot="1">
      <c r="A17" s="424" t="s">
        <v>18</v>
      </c>
      <c r="B17" s="13"/>
      <c r="C17" s="412"/>
      <c r="D17" s="412"/>
      <c r="E17" s="412"/>
      <c r="F17" s="7"/>
      <c r="G17" s="412"/>
      <c r="H17" s="412"/>
      <c r="I17" s="417"/>
      <c r="J17" s="728"/>
    </row>
    <row r="18" spans="1:10" ht="17.25" customHeight="1" thickBot="1">
      <c r="A18" s="427" t="s">
        <v>19</v>
      </c>
      <c r="B18" s="408" t="s">
        <v>471</v>
      </c>
      <c r="C18" s="413">
        <f>+C6+C7+C9+C10+C12+C13+C14+C15+C16+C17</f>
        <v>248345307</v>
      </c>
      <c r="D18" s="413">
        <f>+D6+D7+D9+D10+D12+D13+D14+D15+D16+D17</f>
        <v>315582730</v>
      </c>
      <c r="E18" s="413">
        <f>+E6+E7+E9+E10+E12+E13+E14+E15+E16+E17</f>
        <v>302487166</v>
      </c>
      <c r="F18" s="408" t="s">
        <v>478</v>
      </c>
      <c r="G18" s="413">
        <f>SUM(G6:G17)</f>
        <v>276215955</v>
      </c>
      <c r="H18" s="413">
        <f>SUM(H6:H17)</f>
        <v>356477160</v>
      </c>
      <c r="I18" s="413">
        <f>SUM(I6:I17)</f>
        <v>308059522</v>
      </c>
      <c r="J18" s="728"/>
    </row>
    <row r="19" spans="1:10" ht="15" customHeight="1">
      <c r="A19" s="428" t="s">
        <v>20</v>
      </c>
      <c r="B19" s="429" t="s">
        <v>472</v>
      </c>
      <c r="C19" s="41">
        <f>+C20+C21+C22+C23</f>
        <v>0</v>
      </c>
      <c r="D19" s="41">
        <f>+D20+D21+D22+D23</f>
        <v>5718007</v>
      </c>
      <c r="E19" s="41">
        <f>+E20+E21+E22+E23</f>
        <v>5718007</v>
      </c>
      <c r="F19" s="430" t="s">
        <v>454</v>
      </c>
      <c r="G19" s="414">
        <v>5167571</v>
      </c>
      <c r="H19" s="414">
        <f>SUM('1.1.sz.mell.'!D138)</f>
        <v>5167571</v>
      </c>
      <c r="I19" s="414">
        <f>SUM('1.1.sz.mell.'!E138)</f>
        <v>5167571</v>
      </c>
      <c r="J19" s="728"/>
    </row>
    <row r="20" spans="1:10" ht="15" customHeight="1">
      <c r="A20" s="431" t="s">
        <v>21</v>
      </c>
      <c r="B20" s="430" t="s">
        <v>153</v>
      </c>
      <c r="C20" s="407"/>
      <c r="D20" s="407"/>
      <c r="E20" s="407"/>
      <c r="F20" s="430" t="s">
        <v>479</v>
      </c>
      <c r="G20" s="407"/>
      <c r="H20" s="407"/>
      <c r="I20" s="407"/>
      <c r="J20" s="728"/>
    </row>
    <row r="21" spans="1:10" ht="15" customHeight="1">
      <c r="A21" s="431" t="s">
        <v>22</v>
      </c>
      <c r="B21" s="430" t="s">
        <v>154</v>
      </c>
      <c r="C21" s="407"/>
      <c r="D21" s="407"/>
      <c r="E21" s="407"/>
      <c r="F21" s="430" t="s">
        <v>113</v>
      </c>
      <c r="G21" s="407"/>
      <c r="H21" s="407"/>
      <c r="I21" s="407"/>
      <c r="J21" s="728"/>
    </row>
    <row r="22" spans="1:10" ht="15" customHeight="1">
      <c r="A22" s="431" t="s">
        <v>23</v>
      </c>
      <c r="B22" s="430" t="s">
        <v>756</v>
      </c>
      <c r="C22" s="407"/>
      <c r="D22" s="407">
        <v>5718007</v>
      </c>
      <c r="E22" s="407">
        <f>SUM('1.1.sz.mell.'!E76)</f>
        <v>5718007</v>
      </c>
      <c r="F22" s="430" t="s">
        <v>114</v>
      </c>
      <c r="G22" s="407"/>
      <c r="H22" s="407"/>
      <c r="I22" s="407"/>
      <c r="J22" s="728"/>
    </row>
    <row r="23" spans="1:10" ht="15" customHeight="1">
      <c r="A23" s="431" t="s">
        <v>24</v>
      </c>
      <c r="B23" s="430" t="s">
        <v>158</v>
      </c>
      <c r="C23" s="407">
        <f>SUM('1.1.sz.mell.'!C74)</f>
        <v>0</v>
      </c>
      <c r="D23" s="407">
        <f>SUM('1.1.sz.mell.'!D74)</f>
        <v>0</v>
      </c>
      <c r="E23" s="407">
        <f>SUM('1.1.sz.mell.'!E74)</f>
        <v>0</v>
      </c>
      <c r="F23" s="429" t="s">
        <v>160</v>
      </c>
      <c r="G23" s="407"/>
      <c r="H23" s="407"/>
      <c r="I23" s="407"/>
      <c r="J23" s="728"/>
    </row>
    <row r="24" spans="1:10" ht="15" customHeight="1">
      <c r="A24" s="431" t="s">
        <v>25</v>
      </c>
      <c r="B24" s="430" t="s">
        <v>473</v>
      </c>
      <c r="C24" s="432">
        <f>+C25+C26</f>
        <v>0</v>
      </c>
      <c r="D24" s="432">
        <f>+D25+D26</f>
        <v>0</v>
      </c>
      <c r="E24" s="432">
        <f>+E25+E26</f>
        <v>0</v>
      </c>
      <c r="F24" s="430" t="s">
        <v>140</v>
      </c>
      <c r="G24" s="407"/>
      <c r="H24" s="407"/>
      <c r="I24" s="407"/>
      <c r="J24" s="728"/>
    </row>
    <row r="25" spans="1:10" ht="15" customHeight="1">
      <c r="A25" s="428" t="s">
        <v>26</v>
      </c>
      <c r="B25" s="429" t="s">
        <v>474</v>
      </c>
      <c r="C25" s="414"/>
      <c r="D25" s="414"/>
      <c r="E25" s="414"/>
      <c r="F25" s="423" t="s">
        <v>141</v>
      </c>
      <c r="G25" s="414"/>
      <c r="H25" s="414"/>
      <c r="I25" s="414"/>
      <c r="J25" s="728"/>
    </row>
    <row r="26" spans="1:10" ht="15" customHeight="1" thickBot="1">
      <c r="A26" s="431" t="s">
        <v>27</v>
      </c>
      <c r="B26" s="430" t="s">
        <v>475</v>
      </c>
      <c r="C26" s="407"/>
      <c r="D26" s="407"/>
      <c r="E26" s="407"/>
      <c r="F26" s="335" t="s">
        <v>666</v>
      </c>
      <c r="G26" s="407"/>
      <c r="H26" s="407">
        <f>SUM('1.1.sz.mell.'!D139)</f>
        <v>0</v>
      </c>
      <c r="I26" s="407">
        <f>SUM('1.1.sz.mell.'!E139)</f>
        <v>0</v>
      </c>
      <c r="J26" s="728"/>
    </row>
    <row r="27" spans="1:10" ht="17.25" customHeight="1" thickBot="1">
      <c r="A27" s="427" t="s">
        <v>28</v>
      </c>
      <c r="B27" s="408" t="s">
        <v>476</v>
      </c>
      <c r="C27" s="413">
        <f>+C19+C24</f>
        <v>0</v>
      </c>
      <c r="D27" s="413">
        <f>+D19+D24</f>
        <v>5718007</v>
      </c>
      <c r="E27" s="413">
        <f>+E19+E24</f>
        <v>5718007</v>
      </c>
      <c r="F27" s="408" t="s">
        <v>480</v>
      </c>
      <c r="G27" s="413">
        <f>SUM(G19:G26)</f>
        <v>5167571</v>
      </c>
      <c r="H27" s="413">
        <f>SUM(H19:H26)</f>
        <v>5167571</v>
      </c>
      <c r="I27" s="413">
        <f>SUM(I19:I26)</f>
        <v>5167571</v>
      </c>
      <c r="J27" s="728"/>
    </row>
    <row r="28" spans="1:10" ht="17.25" customHeight="1" thickBot="1">
      <c r="A28" s="427" t="s">
        <v>29</v>
      </c>
      <c r="B28" s="433" t="s">
        <v>477</v>
      </c>
      <c r="C28" s="643">
        <f>+C18+C27</f>
        <v>248345307</v>
      </c>
      <c r="D28" s="643">
        <f>+D18+D27</f>
        <v>321300737</v>
      </c>
      <c r="E28" s="644">
        <f>+E18+E27</f>
        <v>308205173</v>
      </c>
      <c r="F28" s="433" t="s">
        <v>481</v>
      </c>
      <c r="G28" s="643">
        <f>+G18+G27</f>
        <v>281383526</v>
      </c>
      <c r="H28" s="643">
        <f>+H18+H27</f>
        <v>361644731</v>
      </c>
      <c r="I28" s="643">
        <f>+I18+I27</f>
        <v>313227093</v>
      </c>
      <c r="J28" s="728"/>
    </row>
    <row r="29" spans="1:10" ht="17.25" customHeight="1" thickBot="1">
      <c r="A29" s="427" t="s">
        <v>30</v>
      </c>
      <c r="B29" s="433" t="s">
        <v>117</v>
      </c>
      <c r="C29" s="643">
        <f>IF(C18-G18&lt;0,G18-C18,"-")</f>
        <v>27870648</v>
      </c>
      <c r="D29" s="643">
        <f>IF(D18-H18&lt;0,H18-D18,"-")</f>
        <v>40894430</v>
      </c>
      <c r="E29" s="644">
        <f>IF(E18-I18&lt;0,I18-E18,"-")</f>
        <v>5572356</v>
      </c>
      <c r="F29" s="433" t="s">
        <v>118</v>
      </c>
      <c r="G29" s="643" t="str">
        <f>IF(C18-G18&gt;0,C18-G18,"-")</f>
        <v>-</v>
      </c>
      <c r="H29" s="643" t="str">
        <f>IF(D18-H18&gt;0,D18-H18,"-")</f>
        <v>-</v>
      </c>
      <c r="I29" s="643" t="str">
        <f>IF(E18-I18&gt;0,E18-I18,"-")</f>
        <v>-</v>
      </c>
      <c r="J29" s="728"/>
    </row>
    <row r="30" spans="1:10" ht="17.25" customHeight="1" thickBot="1">
      <c r="A30" s="427" t="s">
        <v>31</v>
      </c>
      <c r="B30" s="433" t="s">
        <v>739</v>
      </c>
      <c r="C30" s="643">
        <f>IF(C28-G28&lt;0,G28-C28,"-")</f>
        <v>33038219</v>
      </c>
      <c r="D30" s="643">
        <f>IF(D28-H28&lt;0,H28-D28,"-")</f>
        <v>40343994</v>
      </c>
      <c r="E30" s="644">
        <f>IF(E28-I28&lt;0,I28-E28,"-")</f>
        <v>5021920</v>
      </c>
      <c r="F30" s="433" t="s">
        <v>740</v>
      </c>
      <c r="G30" s="643" t="str">
        <f>IF(C28-G28&gt;0,C28-G28,"-")</f>
        <v>-</v>
      </c>
      <c r="H30" s="643" t="str">
        <f>IF(D28-H28&gt;0,D28-H28,"-")</f>
        <v>-</v>
      </c>
      <c r="I30" s="643" t="str">
        <f>IF(E28-I28&gt;0,E28-I28,"-")</f>
        <v>-</v>
      </c>
      <c r="J30" s="728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fitToHeight="0" fitToWidth="1" horizontalDpi="600" verticalDpi="600" orientation="landscape" paperSize="9" scale="71" r:id="rId1"/>
  <headerFooter alignWithMargins="0">
    <oddHeader>&amp;R&amp;"Times New Roman CE,Félkövér dőlt"&amp;11 2.1. melléklet a 4/2020. (VI.30.)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33"/>
  <sheetViews>
    <sheetView view="pageLayout" zoomScaleSheetLayoutView="115" workbookViewId="0" topLeftCell="B1">
      <selection activeCell="H25" sqref="H25"/>
    </sheetView>
  </sheetViews>
  <sheetFormatPr defaultColWidth="9.00390625" defaultRowHeight="12.75"/>
  <cols>
    <col min="1" max="1" width="6.875" style="10" customWidth="1"/>
    <col min="2" max="2" width="55.125" style="27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18" t="s">
        <v>116</v>
      </c>
      <c r="C1" s="419"/>
      <c r="D1" s="419"/>
      <c r="E1" s="419"/>
      <c r="F1" s="419"/>
      <c r="G1" s="419"/>
      <c r="H1" s="419"/>
      <c r="I1" s="419"/>
      <c r="J1" s="731" t="str">
        <f>+CONCATENATE("2.2. melléklet a .../",LEFT('1.1.sz.mell.'!C3,4)+1,". (V…..) önkormányzati rendelethez")</f>
        <v>2.2. melléklet a .../2020. (V…..) önkormányzati rendelethez</v>
      </c>
    </row>
    <row r="2" spans="7:10" ht="14.25" thickBot="1">
      <c r="G2" s="40"/>
      <c r="H2" s="40"/>
      <c r="I2" s="40" t="str">
        <f>'2.1.sz.mell  '!I2</f>
        <v>Forintban!</v>
      </c>
      <c r="J2" s="731"/>
    </row>
    <row r="3" spans="1:10" ht="24" customHeight="1" thickBot="1">
      <c r="A3" s="729" t="s">
        <v>57</v>
      </c>
      <c r="B3" s="445" t="s">
        <v>42</v>
      </c>
      <c r="C3" s="446"/>
      <c r="D3" s="446"/>
      <c r="E3" s="446"/>
      <c r="F3" s="445" t="s">
        <v>43</v>
      </c>
      <c r="G3" s="447"/>
      <c r="H3" s="447"/>
      <c r="I3" s="447"/>
      <c r="J3" s="731"/>
    </row>
    <row r="4" spans="1:10" s="420" customFormat="1" ht="35.25" customHeight="1" thickBot="1">
      <c r="A4" s="730"/>
      <c r="B4" s="28" t="s">
        <v>50</v>
      </c>
      <c r="C4" s="29" t="str">
        <f>+'2.1.sz.mell  '!C4</f>
        <v>2019. évi eredeti előirányzat</v>
      </c>
      <c r="D4" s="406" t="str">
        <f>+'2.1.sz.mell  '!D4</f>
        <v>2019. évi módosított előirányzat</v>
      </c>
      <c r="E4" s="29" t="str">
        <f>+'2.1.sz.mell  '!E4</f>
        <v>2019. évi teljesítés</v>
      </c>
      <c r="F4" s="28" t="s">
        <v>50</v>
      </c>
      <c r="G4" s="29" t="str">
        <f>+'2.1.sz.mell  '!C4</f>
        <v>2019. évi eredeti előirányzat</v>
      </c>
      <c r="H4" s="406" t="str">
        <f>+'2.1.sz.mell  '!D4</f>
        <v>2019. évi módosított előirányzat</v>
      </c>
      <c r="I4" s="435" t="str">
        <f>+'2.1.sz.mell  '!E4</f>
        <v>2019. évi teljesítés</v>
      </c>
      <c r="J4" s="731"/>
    </row>
    <row r="5" spans="1:10" s="420" customFormat="1" ht="13.5" thickBot="1">
      <c r="A5" s="448" t="s">
        <v>410</v>
      </c>
      <c r="B5" s="449" t="s">
        <v>411</v>
      </c>
      <c r="C5" s="450" t="s">
        <v>412</v>
      </c>
      <c r="D5" s="450" t="s">
        <v>413</v>
      </c>
      <c r="E5" s="450" t="s">
        <v>414</v>
      </c>
      <c r="F5" s="449" t="s">
        <v>491</v>
      </c>
      <c r="G5" s="450" t="s">
        <v>492</v>
      </c>
      <c r="H5" s="450" t="s">
        <v>493</v>
      </c>
      <c r="I5" s="451" t="s">
        <v>494</v>
      </c>
      <c r="J5" s="731"/>
    </row>
    <row r="6" spans="1:10" ht="12.75" customHeight="1">
      <c r="A6" s="422" t="s">
        <v>7</v>
      </c>
      <c r="B6" s="423" t="s">
        <v>482</v>
      </c>
      <c r="C6" s="409">
        <v>109415154</v>
      </c>
      <c r="D6" s="409">
        <f>SUM('1.1.sz.mell.'!D20)</f>
        <v>114540185</v>
      </c>
      <c r="E6" s="409">
        <f>SUM('1.1.sz.mell.'!E20)</f>
        <v>114540185</v>
      </c>
      <c r="F6" s="423" t="s">
        <v>155</v>
      </c>
      <c r="G6" s="409">
        <f>SUM('1.1.sz.mell.'!C110)</f>
        <v>179712700</v>
      </c>
      <c r="H6" s="409">
        <f>SUM('1.1.sz.mell.'!D110)</f>
        <v>182697036</v>
      </c>
      <c r="I6" s="415">
        <f>SUM('1.1.sz.mell.'!E110)</f>
        <v>36070621</v>
      </c>
      <c r="J6" s="731"/>
    </row>
    <row r="7" spans="1:10" ht="12.75">
      <c r="A7" s="424" t="s">
        <v>8</v>
      </c>
      <c r="B7" s="425" t="s">
        <v>483</v>
      </c>
      <c r="C7" s="410"/>
      <c r="D7" s="410"/>
      <c r="E7" s="410"/>
      <c r="F7" s="425" t="s">
        <v>495</v>
      </c>
      <c r="G7" s="410"/>
      <c r="H7" s="410"/>
      <c r="I7" s="416"/>
      <c r="J7" s="731"/>
    </row>
    <row r="8" spans="1:10" ht="12.75" customHeight="1">
      <c r="A8" s="424" t="s">
        <v>9</v>
      </c>
      <c r="B8" s="425" t="s">
        <v>484</v>
      </c>
      <c r="C8" s="410"/>
      <c r="D8" s="410"/>
      <c r="E8" s="410"/>
      <c r="F8" s="425" t="s">
        <v>135</v>
      </c>
      <c r="G8" s="410">
        <f>SUM('1.1.sz.mell.'!C112)</f>
        <v>132997094</v>
      </c>
      <c r="H8" s="410">
        <f>SUM('1.1.sz.mell.'!D112)</f>
        <v>132389674</v>
      </c>
      <c r="I8" s="416">
        <f>SUM('1.1.sz.mell.'!E112)</f>
        <v>109124001</v>
      </c>
      <c r="J8" s="731"/>
    </row>
    <row r="9" spans="1:10" ht="12.75" customHeight="1">
      <c r="A9" s="424" t="s">
        <v>10</v>
      </c>
      <c r="B9" s="425" t="s">
        <v>485</v>
      </c>
      <c r="C9" s="410"/>
      <c r="D9" s="410"/>
      <c r="E9" s="410"/>
      <c r="F9" s="425" t="s">
        <v>496</v>
      </c>
      <c r="G9" s="410"/>
      <c r="H9" s="410"/>
      <c r="I9" s="416"/>
      <c r="J9" s="731"/>
    </row>
    <row r="10" spans="1:10" ht="12.75" customHeight="1">
      <c r="A10" s="424" t="s">
        <v>11</v>
      </c>
      <c r="B10" s="425" t="s">
        <v>486</v>
      </c>
      <c r="C10" s="410"/>
      <c r="D10" s="410"/>
      <c r="E10" s="410"/>
      <c r="F10" s="425" t="s">
        <v>157</v>
      </c>
      <c r="G10" s="410"/>
      <c r="H10" s="410"/>
      <c r="I10" s="416"/>
      <c r="J10" s="731"/>
    </row>
    <row r="11" spans="1:10" ht="12.75" customHeight="1">
      <c r="A11" s="424" t="s">
        <v>12</v>
      </c>
      <c r="B11" s="425" t="s">
        <v>487</v>
      </c>
      <c r="C11" s="411"/>
      <c r="D11" s="411"/>
      <c r="E11" s="411"/>
      <c r="F11" s="466"/>
      <c r="G11" s="410"/>
      <c r="H11" s="410"/>
      <c r="I11" s="416"/>
      <c r="J11" s="731"/>
    </row>
    <row r="12" spans="1:10" ht="12.75" customHeight="1">
      <c r="A12" s="424" t="s">
        <v>13</v>
      </c>
      <c r="B12" s="7"/>
      <c r="C12" s="410"/>
      <c r="D12" s="410"/>
      <c r="E12" s="410"/>
      <c r="F12" s="466"/>
      <c r="G12" s="410"/>
      <c r="H12" s="410"/>
      <c r="I12" s="416"/>
      <c r="J12" s="731"/>
    </row>
    <row r="13" spans="1:10" ht="12.75" customHeight="1">
      <c r="A13" s="424" t="s">
        <v>14</v>
      </c>
      <c r="B13" s="7"/>
      <c r="C13" s="410"/>
      <c r="D13" s="410"/>
      <c r="E13" s="410"/>
      <c r="F13" s="467"/>
      <c r="G13" s="410"/>
      <c r="H13" s="410"/>
      <c r="I13" s="416"/>
      <c r="J13" s="731"/>
    </row>
    <row r="14" spans="1:10" ht="12.75" customHeight="1">
      <c r="A14" s="424" t="s">
        <v>15</v>
      </c>
      <c r="B14" s="464"/>
      <c r="C14" s="411"/>
      <c r="D14" s="411"/>
      <c r="E14" s="411"/>
      <c r="F14" s="466"/>
      <c r="G14" s="410"/>
      <c r="H14" s="410"/>
      <c r="I14" s="416"/>
      <c r="J14" s="731"/>
    </row>
    <row r="15" spans="1:10" ht="12.75">
      <c r="A15" s="424" t="s">
        <v>16</v>
      </c>
      <c r="B15" s="7"/>
      <c r="C15" s="411"/>
      <c r="D15" s="411"/>
      <c r="E15" s="411"/>
      <c r="F15" s="466"/>
      <c r="G15" s="410"/>
      <c r="H15" s="410"/>
      <c r="I15" s="416"/>
      <c r="J15" s="731"/>
    </row>
    <row r="16" spans="1:10" ht="12.75" customHeight="1" thickBot="1">
      <c r="A16" s="461" t="s">
        <v>17</v>
      </c>
      <c r="B16" s="465"/>
      <c r="C16" s="463"/>
      <c r="D16" s="86"/>
      <c r="E16" s="93"/>
      <c r="F16" s="462" t="s">
        <v>38</v>
      </c>
      <c r="G16" s="410"/>
      <c r="H16" s="410"/>
      <c r="I16" s="416"/>
      <c r="J16" s="731"/>
    </row>
    <row r="17" spans="1:10" ht="15.75" customHeight="1" thickBot="1">
      <c r="A17" s="427" t="s">
        <v>18</v>
      </c>
      <c r="B17" s="408" t="s">
        <v>488</v>
      </c>
      <c r="C17" s="413">
        <f>+C6+C8+C9+C11+C12+C13+C14+C15+C16</f>
        <v>109415154</v>
      </c>
      <c r="D17" s="413">
        <f>+D6+D8+D9+D11+D12+D13+D14+D15+D16</f>
        <v>114540185</v>
      </c>
      <c r="E17" s="413">
        <f>+E6+E8+E9+E11+E12+E13+E14+E15+E16</f>
        <v>114540185</v>
      </c>
      <c r="F17" s="408" t="s">
        <v>497</v>
      </c>
      <c r="G17" s="413">
        <f>+G6+G8+G10+G11+G12+G13+G14+G15+G16</f>
        <v>312709794</v>
      </c>
      <c r="H17" s="413">
        <f>+H6+H8+H10+H11+H12+H13+H14+H15+H16</f>
        <v>315086710</v>
      </c>
      <c r="I17" s="444">
        <f>+I6+I8+I10+I11+I12+I13+I14+I15+I16</f>
        <v>145194622</v>
      </c>
      <c r="J17" s="731"/>
    </row>
    <row r="18" spans="1:10" ht="12.75" customHeight="1">
      <c r="A18" s="422" t="s">
        <v>19</v>
      </c>
      <c r="B18" s="453" t="s">
        <v>172</v>
      </c>
      <c r="C18" s="460">
        <f>+C19+C20+C21+C22+C23</f>
        <v>236332859</v>
      </c>
      <c r="D18" s="460">
        <f>+D19+D20+D21+D22+D23</f>
        <v>272073885</v>
      </c>
      <c r="E18" s="460">
        <f>+E19+E20+E21+E22+E23</f>
        <v>236059538</v>
      </c>
      <c r="F18" s="430" t="s">
        <v>139</v>
      </c>
      <c r="G18" s="81"/>
      <c r="H18" s="81"/>
      <c r="I18" s="439"/>
      <c r="J18" s="731"/>
    </row>
    <row r="19" spans="1:10" ht="12.75" customHeight="1">
      <c r="A19" s="424" t="s">
        <v>20</v>
      </c>
      <c r="B19" s="454" t="s">
        <v>161</v>
      </c>
      <c r="C19" s="407">
        <f>SUM('1.1.sz.mell.'!C72)</f>
        <v>236332859</v>
      </c>
      <c r="D19" s="407">
        <f>SUM('1.1.sz.mell.'!D72)</f>
        <v>237907018</v>
      </c>
      <c r="E19" s="407">
        <f>SUM('1.1.sz.mell.'!E72)</f>
        <v>201892671</v>
      </c>
      <c r="F19" s="430" t="s">
        <v>142</v>
      </c>
      <c r="G19" s="407"/>
      <c r="H19" s="407"/>
      <c r="I19" s="440"/>
      <c r="J19" s="731"/>
    </row>
    <row r="20" spans="1:10" ht="12.75" customHeight="1">
      <c r="A20" s="422" t="s">
        <v>21</v>
      </c>
      <c r="B20" s="454" t="s">
        <v>162</v>
      </c>
      <c r="C20" s="407"/>
      <c r="D20" s="407"/>
      <c r="E20" s="407"/>
      <c r="F20" s="430" t="s">
        <v>113</v>
      </c>
      <c r="G20" s="407"/>
      <c r="H20" s="407"/>
      <c r="I20" s="440"/>
      <c r="J20" s="731"/>
    </row>
    <row r="21" spans="1:10" ht="12.75" customHeight="1">
      <c r="A21" s="424" t="s">
        <v>22</v>
      </c>
      <c r="B21" s="454" t="s">
        <v>163</v>
      </c>
      <c r="C21" s="407"/>
      <c r="D21" s="407">
        <v>34166867</v>
      </c>
      <c r="E21" s="407">
        <f>SUM('1.1.sz.mell.'!E78)</f>
        <v>34166867</v>
      </c>
      <c r="F21" s="430" t="s">
        <v>114</v>
      </c>
      <c r="G21" s="407"/>
      <c r="H21" s="407"/>
      <c r="I21" s="440"/>
      <c r="J21" s="731"/>
    </row>
    <row r="22" spans="1:10" ht="12.75" customHeight="1">
      <c r="A22" s="422" t="s">
        <v>23</v>
      </c>
      <c r="B22" s="454" t="s">
        <v>164</v>
      </c>
      <c r="C22" s="407"/>
      <c r="D22" s="407"/>
      <c r="E22" s="407"/>
      <c r="F22" s="429" t="s">
        <v>160</v>
      </c>
      <c r="G22" s="407"/>
      <c r="H22" s="407"/>
      <c r="I22" s="440"/>
      <c r="J22" s="731"/>
    </row>
    <row r="23" spans="1:10" ht="12.75" customHeight="1">
      <c r="A23" s="424" t="s">
        <v>24</v>
      </c>
      <c r="B23" s="455" t="s">
        <v>165</v>
      </c>
      <c r="C23" s="407"/>
      <c r="D23" s="407"/>
      <c r="E23" s="407"/>
      <c r="F23" s="430" t="s">
        <v>143</v>
      </c>
      <c r="G23" s="407"/>
      <c r="H23" s="407"/>
      <c r="I23" s="440"/>
      <c r="J23" s="731"/>
    </row>
    <row r="24" spans="1:10" ht="12.75" customHeight="1">
      <c r="A24" s="422" t="s">
        <v>25</v>
      </c>
      <c r="B24" s="456" t="s">
        <v>166</v>
      </c>
      <c r="C24" s="432">
        <f>+C25+C26+C27+C28+C29</f>
        <v>0</v>
      </c>
      <c r="D24" s="432">
        <f>+D25+D26+D27+D28+D29</f>
        <v>0</v>
      </c>
      <c r="E24" s="432">
        <f>+E25+E26+E27+E28+E29</f>
        <v>0</v>
      </c>
      <c r="F24" s="457" t="s">
        <v>141</v>
      </c>
      <c r="G24" s="407"/>
      <c r="H24" s="407">
        <v>31183366</v>
      </c>
      <c r="I24" s="440">
        <f>SUM('1.1.sz.mell.'!E140)</f>
        <v>31183366</v>
      </c>
      <c r="J24" s="731"/>
    </row>
    <row r="25" spans="1:10" ht="12.75" customHeight="1">
      <c r="A25" s="424" t="s">
        <v>26</v>
      </c>
      <c r="B25" s="455" t="s">
        <v>167</v>
      </c>
      <c r="C25" s="407"/>
      <c r="D25" s="407"/>
      <c r="E25" s="407"/>
      <c r="F25" s="457" t="s">
        <v>498</v>
      </c>
      <c r="G25" s="407"/>
      <c r="H25" s="407"/>
      <c r="I25" s="440"/>
      <c r="J25" s="731"/>
    </row>
    <row r="26" spans="1:10" ht="12.75" customHeight="1">
      <c r="A26" s="422" t="s">
        <v>27</v>
      </c>
      <c r="B26" s="455" t="s">
        <v>168</v>
      </c>
      <c r="C26" s="407"/>
      <c r="D26" s="407"/>
      <c r="E26" s="407"/>
      <c r="F26" s="452"/>
      <c r="G26" s="407"/>
      <c r="H26" s="407"/>
      <c r="I26" s="440"/>
      <c r="J26" s="731"/>
    </row>
    <row r="27" spans="1:10" ht="12.75" customHeight="1">
      <c r="A27" s="424" t="s">
        <v>28</v>
      </c>
      <c r="B27" s="454" t="s">
        <v>169</v>
      </c>
      <c r="C27" s="407"/>
      <c r="D27" s="407"/>
      <c r="E27" s="407"/>
      <c r="F27" s="441"/>
      <c r="G27" s="407"/>
      <c r="H27" s="407"/>
      <c r="I27" s="440"/>
      <c r="J27" s="731"/>
    </row>
    <row r="28" spans="1:10" ht="12.75" customHeight="1">
      <c r="A28" s="422" t="s">
        <v>29</v>
      </c>
      <c r="B28" s="458" t="s">
        <v>170</v>
      </c>
      <c r="C28" s="407"/>
      <c r="D28" s="407"/>
      <c r="E28" s="407"/>
      <c r="F28" s="7"/>
      <c r="G28" s="407"/>
      <c r="H28" s="407"/>
      <c r="I28" s="440"/>
      <c r="J28" s="731"/>
    </row>
    <row r="29" spans="1:10" ht="12.75" customHeight="1" thickBot="1">
      <c r="A29" s="424" t="s">
        <v>30</v>
      </c>
      <c r="B29" s="459" t="s">
        <v>171</v>
      </c>
      <c r="C29" s="407"/>
      <c r="D29" s="407"/>
      <c r="E29" s="407"/>
      <c r="F29" s="441"/>
      <c r="G29" s="407"/>
      <c r="H29" s="407"/>
      <c r="I29" s="440"/>
      <c r="J29" s="731"/>
    </row>
    <row r="30" spans="1:10" ht="24.75" customHeight="1" thickBot="1">
      <c r="A30" s="427" t="s">
        <v>31</v>
      </c>
      <c r="B30" s="408" t="s">
        <v>489</v>
      </c>
      <c r="C30" s="413">
        <f>+C18+C24</f>
        <v>236332859</v>
      </c>
      <c r="D30" s="413">
        <f>+D18+D24</f>
        <v>272073885</v>
      </c>
      <c r="E30" s="413">
        <f>+E18+E24</f>
        <v>236059538</v>
      </c>
      <c r="F30" s="408" t="s">
        <v>500</v>
      </c>
      <c r="G30" s="413">
        <f>SUM(G18:G29)</f>
        <v>0</v>
      </c>
      <c r="H30" s="413">
        <f>SUM(H18:H29)</f>
        <v>31183366</v>
      </c>
      <c r="I30" s="444">
        <f>SUM(I18:I29)</f>
        <v>31183366</v>
      </c>
      <c r="J30" s="731"/>
    </row>
    <row r="31" spans="1:10" ht="16.5" customHeight="1" thickBot="1">
      <c r="A31" s="427" t="s">
        <v>32</v>
      </c>
      <c r="B31" s="433" t="s">
        <v>490</v>
      </c>
      <c r="C31" s="643">
        <f>+C17+C30</f>
        <v>345748013</v>
      </c>
      <c r="D31" s="643">
        <f>+D17+D30</f>
        <v>386614070</v>
      </c>
      <c r="E31" s="644">
        <f>+E17+E30</f>
        <v>350599723</v>
      </c>
      <c r="F31" s="433" t="s">
        <v>499</v>
      </c>
      <c r="G31" s="643">
        <f>+G17+G30</f>
        <v>312709794</v>
      </c>
      <c r="H31" s="643">
        <f>+H17+H30</f>
        <v>346270076</v>
      </c>
      <c r="I31" s="645">
        <f>+I17+I30</f>
        <v>176377988</v>
      </c>
      <c r="J31" s="731"/>
    </row>
    <row r="32" spans="1:10" ht="16.5" customHeight="1" thickBot="1">
      <c r="A32" s="427" t="s">
        <v>33</v>
      </c>
      <c r="B32" s="433" t="s">
        <v>117</v>
      </c>
      <c r="C32" s="643">
        <f>IF(C17-G17&lt;0,G17-C17,"-")</f>
        <v>203294640</v>
      </c>
      <c r="D32" s="643">
        <f>IF(D17-H17&lt;0,H17-D17,"-")</f>
        <v>200546525</v>
      </c>
      <c r="E32" s="644">
        <f>IF(E17-I17&lt;0,I17-E17,"-")</f>
        <v>30654437</v>
      </c>
      <c r="F32" s="433" t="s">
        <v>118</v>
      </c>
      <c r="G32" s="643" t="str">
        <f>IF(C17-G17&gt;0,C17-G17,"-")</f>
        <v>-</v>
      </c>
      <c r="H32" s="643" t="str">
        <f>IF(D17-H17&gt;0,D17-H17,"-")</f>
        <v>-</v>
      </c>
      <c r="I32" s="645" t="str">
        <f>IF(E17-I17&gt;0,E17-I17,"-")</f>
        <v>-</v>
      </c>
      <c r="J32" s="731"/>
    </row>
    <row r="33" spans="1:10" ht="16.5" customHeight="1" thickBot="1">
      <c r="A33" s="427" t="s">
        <v>34</v>
      </c>
      <c r="B33" s="433" t="s">
        <v>739</v>
      </c>
      <c r="C33" s="643" t="str">
        <f>IF(C31-G31&lt;0,G31-C31,"-")</f>
        <v>-</v>
      </c>
      <c r="D33" s="643" t="str">
        <f>IF(D31-H31&lt;0,H31-D31,"-")</f>
        <v>-</v>
      </c>
      <c r="E33" s="643" t="str">
        <f>IF(E31-I31&lt;0,I31-E31,"-")</f>
        <v>-</v>
      </c>
      <c r="F33" s="433" t="s">
        <v>740</v>
      </c>
      <c r="G33" s="643">
        <f>IF(C31-G31&gt;0,C31-G31,"-")</f>
        <v>33038219</v>
      </c>
      <c r="H33" s="643">
        <f>IF(D31-H31&gt;0,D31-H31,"-")</f>
        <v>40343994</v>
      </c>
      <c r="I33" s="643">
        <f>IF(E31-I31&gt;0,E31-I31,"-")</f>
        <v>174221735</v>
      </c>
      <c r="J33" s="731"/>
    </row>
  </sheetData>
  <sheetProtection sheet="1"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landscape" paperSize="9" scale="66" r:id="rId1"/>
  <headerFooter alignWithMargins="0">
    <oddHeader>&amp;R2.2. melléklet a 4/2020. (VI.30.)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SheetLayoutView="115" workbookViewId="0" topLeftCell="A1">
      <selection activeCell="E31" sqref="E31"/>
    </sheetView>
  </sheetViews>
  <sheetFormatPr defaultColWidth="9.00390625" defaultRowHeight="12.75"/>
  <cols>
    <col min="1" max="1" width="46.375" style="282" customWidth="1"/>
    <col min="2" max="2" width="13.875" style="282" customWidth="1"/>
    <col min="3" max="3" width="66.125" style="282" customWidth="1"/>
    <col min="4" max="5" width="13.875" style="282" customWidth="1"/>
    <col min="6" max="16384" width="9.375" style="282" customWidth="1"/>
  </cols>
  <sheetData>
    <row r="1" spans="1:5" ht="18.75">
      <c r="A1" s="468" t="s">
        <v>108</v>
      </c>
      <c r="E1" s="474" t="s">
        <v>112</v>
      </c>
    </row>
    <row r="3" spans="1:5" ht="12.75">
      <c r="A3" s="469"/>
      <c r="B3" s="475"/>
      <c r="C3" s="469"/>
      <c r="D3" s="476"/>
      <c r="E3" s="475"/>
    </row>
    <row r="4" spans="1:5" ht="15.75">
      <c r="A4" s="443" t="str">
        <f>+ÖSSZEFÜGGÉSEK!A4</f>
        <v>2019. évi eredeti előirányzat BEVÉTELEK</v>
      </c>
      <c r="B4" s="477"/>
      <c r="C4" s="470"/>
      <c r="D4" s="476"/>
      <c r="E4" s="475"/>
    </row>
    <row r="5" spans="1:5" ht="12.75">
      <c r="A5" s="469"/>
      <c r="B5" s="475"/>
      <c r="C5" s="469"/>
      <c r="D5" s="476"/>
      <c r="E5" s="475"/>
    </row>
    <row r="6" spans="1:5" ht="12.75">
      <c r="A6" s="469" t="s">
        <v>504</v>
      </c>
      <c r="B6" s="475">
        <f>+'1.1.sz.mell.'!C61</f>
        <v>357760461</v>
      </c>
      <c r="C6" s="469" t="s">
        <v>505</v>
      </c>
      <c r="D6" s="476">
        <f>+'2.1.sz.mell  '!C18+'2.2.sz.mell  '!C17</f>
        <v>357760461</v>
      </c>
      <c r="E6" s="475">
        <f>+B6-D6</f>
        <v>0</v>
      </c>
    </row>
    <row r="7" spans="1:5" ht="12.75">
      <c r="A7" s="469" t="s">
        <v>506</v>
      </c>
      <c r="B7" s="475">
        <f>+'1.1.sz.mell.'!C85</f>
        <v>236332859</v>
      </c>
      <c r="C7" s="469" t="s">
        <v>507</v>
      </c>
      <c r="D7" s="476">
        <f>+'2.1.sz.mell  '!C27+'2.2.sz.mell  '!C30</f>
        <v>236332859</v>
      </c>
      <c r="E7" s="475">
        <f>+B7-D7</f>
        <v>0</v>
      </c>
    </row>
    <row r="8" spans="1:5" ht="12.75">
      <c r="A8" s="469" t="s">
        <v>508</v>
      </c>
      <c r="B8" s="475">
        <f>+'1.1.sz.mell.'!C86</f>
        <v>594093320</v>
      </c>
      <c r="C8" s="469" t="s">
        <v>509</v>
      </c>
      <c r="D8" s="476">
        <f>+'2.1.sz.mell  '!C28+'2.2.sz.mell  '!C31</f>
        <v>594093320</v>
      </c>
      <c r="E8" s="475">
        <f>+B8-D8</f>
        <v>0</v>
      </c>
    </row>
    <row r="9" spans="1:5" ht="12.75">
      <c r="A9" s="469"/>
      <c r="B9" s="475"/>
      <c r="C9" s="469"/>
      <c r="D9" s="476"/>
      <c r="E9" s="475"/>
    </row>
    <row r="10" spans="1:5" ht="15.75">
      <c r="A10" s="443" t="str">
        <f>+ÖSSZEFÜGGÉSEK!A10</f>
        <v>2019. évi módosított előirányzat BEVÉTELEK</v>
      </c>
      <c r="B10" s="477"/>
      <c r="C10" s="470"/>
      <c r="D10" s="476"/>
      <c r="E10" s="475"/>
    </row>
    <row r="11" spans="1:5" ht="12.75">
      <c r="A11" s="469"/>
      <c r="B11" s="475"/>
      <c r="C11" s="469"/>
      <c r="D11" s="476"/>
      <c r="E11" s="475"/>
    </row>
    <row r="12" spans="1:5" ht="12.75">
      <c r="A12" s="469" t="s">
        <v>510</v>
      </c>
      <c r="B12" s="475">
        <f>+'1.1.sz.mell.'!D61</f>
        <v>430122915</v>
      </c>
      <c r="C12" s="469" t="s">
        <v>516</v>
      </c>
      <c r="D12" s="476">
        <f>+'2.1.sz.mell  '!D18+'2.2.sz.mell  '!D17</f>
        <v>430122915</v>
      </c>
      <c r="E12" s="475">
        <f>+B12-D12</f>
        <v>0</v>
      </c>
    </row>
    <row r="13" spans="1:5" ht="12.75">
      <c r="A13" s="469" t="s">
        <v>511</v>
      </c>
      <c r="B13" s="475">
        <f>+'1.1.sz.mell.'!D85</f>
        <v>277791892</v>
      </c>
      <c r="C13" s="469" t="s">
        <v>517</v>
      </c>
      <c r="D13" s="476">
        <f>+'2.1.sz.mell  '!D27+'2.2.sz.mell  '!D30</f>
        <v>277791892</v>
      </c>
      <c r="E13" s="475">
        <f>+B13-D13</f>
        <v>0</v>
      </c>
    </row>
    <row r="14" spans="1:5" ht="12.75">
      <c r="A14" s="469" t="s">
        <v>512</v>
      </c>
      <c r="B14" s="475">
        <f>+'1.1.sz.mell.'!D86</f>
        <v>707914807</v>
      </c>
      <c r="C14" s="469" t="s">
        <v>518</v>
      </c>
      <c r="D14" s="476">
        <f>+'2.1.sz.mell  '!D28+'2.2.sz.mell  '!D31</f>
        <v>707914807</v>
      </c>
      <c r="E14" s="475">
        <f>+B14-D14</f>
        <v>0</v>
      </c>
    </row>
    <row r="15" spans="1:5" ht="12.75">
      <c r="A15" s="469"/>
      <c r="B15" s="475"/>
      <c r="C15" s="469"/>
      <c r="D15" s="476"/>
      <c r="E15" s="475"/>
    </row>
    <row r="16" spans="1:5" ht="14.25">
      <c r="A16" s="478" t="str">
        <f>+ÖSSZEFÜGGÉSEK!A16</f>
        <v>2019. évi teljesítés BEVÉTELEK</v>
      </c>
      <c r="B16" s="442"/>
      <c r="C16" s="470"/>
      <c r="D16" s="476"/>
      <c r="E16" s="475"/>
    </row>
    <row r="17" spans="1:5" ht="12.75">
      <c r="A17" s="469"/>
      <c r="B17" s="475"/>
      <c r="C17" s="469"/>
      <c r="D17" s="476"/>
      <c r="E17" s="475"/>
    </row>
    <row r="18" spans="1:5" ht="12.75">
      <c r="A18" s="469" t="s">
        <v>513</v>
      </c>
      <c r="B18" s="475">
        <f>+'1.1.sz.mell.'!E61</f>
        <v>417027351</v>
      </c>
      <c r="C18" s="469" t="s">
        <v>519</v>
      </c>
      <c r="D18" s="476">
        <f>+'2.1.sz.mell  '!E18+'2.2.sz.mell  '!E17</f>
        <v>417027351</v>
      </c>
      <c r="E18" s="475">
        <f>+B18-D18</f>
        <v>0</v>
      </c>
    </row>
    <row r="19" spans="1:5" ht="12.75">
      <c r="A19" s="469" t="s">
        <v>514</v>
      </c>
      <c r="B19" s="475">
        <f>+'1.1.sz.mell.'!E85</f>
        <v>241777545</v>
      </c>
      <c r="C19" s="469" t="s">
        <v>520</v>
      </c>
      <c r="D19" s="476">
        <f>+'2.1.sz.mell  '!E27+'2.2.sz.mell  '!E30</f>
        <v>241777545</v>
      </c>
      <c r="E19" s="475">
        <f>+B19-D19</f>
        <v>0</v>
      </c>
    </row>
    <row r="20" spans="1:5" ht="12.75">
      <c r="A20" s="469" t="s">
        <v>515</v>
      </c>
      <c r="B20" s="475">
        <f>+'1.1.sz.mell.'!E86</f>
        <v>658804896</v>
      </c>
      <c r="C20" s="469" t="s">
        <v>521</v>
      </c>
      <c r="D20" s="476">
        <f>+'2.1.sz.mell  '!E28+'2.2.sz.mell  '!E31</f>
        <v>658804896</v>
      </c>
      <c r="E20" s="475">
        <f>+B20-D20</f>
        <v>0</v>
      </c>
    </row>
    <row r="21" spans="1:5" ht="12.75">
      <c r="A21" s="469"/>
      <c r="B21" s="475"/>
      <c r="C21" s="469"/>
      <c r="D21" s="476"/>
      <c r="E21" s="475"/>
    </row>
    <row r="22" spans="1:5" ht="15.75">
      <c r="A22" s="443" t="str">
        <f>+ÖSSZEFÜGGÉSEK!A22</f>
        <v>2019. évi eredeti előirányzat KIADÁSOK</v>
      </c>
      <c r="B22" s="477"/>
      <c r="C22" s="470"/>
      <c r="D22" s="476"/>
      <c r="E22" s="475"/>
    </row>
    <row r="23" spans="1:5" ht="12.75">
      <c r="A23" s="469"/>
      <c r="B23" s="475"/>
      <c r="C23" s="469"/>
      <c r="D23" s="476"/>
      <c r="E23" s="475"/>
    </row>
    <row r="24" spans="1:5" ht="12.75">
      <c r="A24" s="469" t="s">
        <v>522</v>
      </c>
      <c r="B24" s="475">
        <f>+'1.1.sz.mell.'!C126</f>
        <v>588925749</v>
      </c>
      <c r="C24" s="469" t="s">
        <v>528</v>
      </c>
      <c r="D24" s="476">
        <f>+'2.1.sz.mell  '!G18+'2.2.sz.mell  '!G17</f>
        <v>588925749</v>
      </c>
      <c r="E24" s="475">
        <f>+B24-D24</f>
        <v>0</v>
      </c>
    </row>
    <row r="25" spans="1:5" ht="12.75">
      <c r="A25" s="469" t="s">
        <v>501</v>
      </c>
      <c r="B25" s="475">
        <f>+'1.1.sz.mell.'!C147</f>
        <v>5167571</v>
      </c>
      <c r="C25" s="469" t="s">
        <v>529</v>
      </c>
      <c r="D25" s="476">
        <f>+'2.1.sz.mell  '!G27+'2.2.sz.mell  '!G30</f>
        <v>5167571</v>
      </c>
      <c r="E25" s="475">
        <f>+B25-D25</f>
        <v>0</v>
      </c>
    </row>
    <row r="26" spans="1:5" ht="12.75">
      <c r="A26" s="469" t="s">
        <v>523</v>
      </c>
      <c r="B26" s="475">
        <f>+'1.1.sz.mell.'!C148</f>
        <v>594093320</v>
      </c>
      <c r="C26" s="469" t="s">
        <v>530</v>
      </c>
      <c r="D26" s="476">
        <f>+'2.1.sz.mell  '!G28+'2.2.sz.mell  '!G31</f>
        <v>594093320</v>
      </c>
      <c r="E26" s="475">
        <f>+B26-D26</f>
        <v>0</v>
      </c>
    </row>
    <row r="27" spans="1:5" ht="12.75">
      <c r="A27" s="469"/>
      <c r="B27" s="475"/>
      <c r="C27" s="469"/>
      <c r="D27" s="476"/>
      <c r="E27" s="475"/>
    </row>
    <row r="28" spans="1:5" ht="15.75">
      <c r="A28" s="443" t="str">
        <f>+ÖSSZEFÜGGÉSEK!A28</f>
        <v>2019. évi módosított előirányzat KIADÁSOK</v>
      </c>
      <c r="B28" s="477"/>
      <c r="C28" s="470"/>
      <c r="D28" s="476"/>
      <c r="E28" s="475"/>
    </row>
    <row r="29" spans="1:5" ht="12.75">
      <c r="A29" s="469"/>
      <c r="B29" s="475"/>
      <c r="C29" s="469"/>
      <c r="D29" s="476"/>
      <c r="E29" s="475"/>
    </row>
    <row r="30" spans="1:5" ht="12.75">
      <c r="A30" s="469" t="s">
        <v>524</v>
      </c>
      <c r="B30" s="475">
        <f>+'1.1.sz.mell.'!D126</f>
        <v>671563870</v>
      </c>
      <c r="C30" s="469" t="s">
        <v>535</v>
      </c>
      <c r="D30" s="476">
        <f>+'2.1.sz.mell  '!H18+'2.2.sz.mell  '!H17</f>
        <v>671563870</v>
      </c>
      <c r="E30" s="475">
        <f>+B30-D30</f>
        <v>0</v>
      </c>
    </row>
    <row r="31" spans="1:5" ht="12.75">
      <c r="A31" s="469" t="s">
        <v>502</v>
      </c>
      <c r="B31" s="475">
        <f>+'1.1.sz.mell.'!D147</f>
        <v>36350937</v>
      </c>
      <c r="C31" s="469" t="s">
        <v>532</v>
      </c>
      <c r="D31" s="476">
        <f>+'2.1.sz.mell  '!H27+'2.2.sz.mell  '!H30</f>
        <v>36350937</v>
      </c>
      <c r="E31" s="475">
        <f>+B31-D31</f>
        <v>0</v>
      </c>
    </row>
    <row r="32" spans="1:5" ht="12.75">
      <c r="A32" s="469" t="s">
        <v>525</v>
      </c>
      <c r="B32" s="475">
        <f>+'1.1.sz.mell.'!D148</f>
        <v>707914807</v>
      </c>
      <c r="C32" s="469" t="s">
        <v>531</v>
      </c>
      <c r="D32" s="476">
        <f>+'2.1.sz.mell  '!H28+'2.2.sz.mell  '!H31</f>
        <v>707914807</v>
      </c>
      <c r="E32" s="475">
        <f>+B32-D32</f>
        <v>0</v>
      </c>
    </row>
    <row r="33" spans="1:5" ht="12.75">
      <c r="A33" s="469"/>
      <c r="B33" s="475"/>
      <c r="C33" s="469"/>
      <c r="D33" s="476"/>
      <c r="E33" s="475"/>
    </row>
    <row r="34" spans="1:5" ht="15.75">
      <c r="A34" s="473" t="str">
        <f>+ÖSSZEFÜGGÉSEK!A34</f>
        <v>2019. évi teljesítés KIADÁSOK</v>
      </c>
      <c r="B34" s="477"/>
      <c r="C34" s="470"/>
      <c r="D34" s="476"/>
      <c r="E34" s="475"/>
    </row>
    <row r="35" spans="1:5" ht="12.75">
      <c r="A35" s="469"/>
      <c r="B35" s="475"/>
      <c r="C35" s="469"/>
      <c r="D35" s="476"/>
      <c r="E35" s="475"/>
    </row>
    <row r="36" spans="1:5" ht="12.75">
      <c r="A36" s="469" t="s">
        <v>526</v>
      </c>
      <c r="B36" s="475">
        <f>+'1.1.sz.mell.'!E126</f>
        <v>453254144</v>
      </c>
      <c r="C36" s="469" t="s">
        <v>536</v>
      </c>
      <c r="D36" s="476">
        <f>+'2.1.sz.mell  '!I18+'2.2.sz.mell  '!I17</f>
        <v>453254144</v>
      </c>
      <c r="E36" s="475">
        <f>+B36-D36</f>
        <v>0</v>
      </c>
    </row>
    <row r="37" spans="1:5" ht="12.75">
      <c r="A37" s="469" t="s">
        <v>503</v>
      </c>
      <c r="B37" s="475">
        <f>+'1.1.sz.mell.'!E147</f>
        <v>36350937</v>
      </c>
      <c r="C37" s="469" t="s">
        <v>534</v>
      </c>
      <c r="D37" s="476">
        <f>+'2.1.sz.mell  '!I27+'2.2.sz.mell  '!I30</f>
        <v>36350937</v>
      </c>
      <c r="E37" s="475">
        <f>+B37-D37</f>
        <v>0</v>
      </c>
    </row>
    <row r="38" spans="1:5" ht="12.75">
      <c r="A38" s="469" t="s">
        <v>527</v>
      </c>
      <c r="B38" s="475">
        <f>+'1.1.sz.mell.'!E148</f>
        <v>489605081</v>
      </c>
      <c r="C38" s="469" t="s">
        <v>533</v>
      </c>
      <c r="D38" s="476">
        <f>+'2.1.sz.mell  '!I28+'2.2.sz.mell  '!I31</f>
        <v>489605081</v>
      </c>
      <c r="E38" s="475">
        <f>+B38-D38</f>
        <v>0</v>
      </c>
    </row>
  </sheetData>
  <sheetProtection sheet="1" objects="1" scenarios="1"/>
  <conditionalFormatting sqref="E3:E38">
    <cfRule type="cellIs" priority="1" dxfId="1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32"/>
  <sheetViews>
    <sheetView view="pageLayout" workbookViewId="0" topLeftCell="A1">
      <selection activeCell="G8" sqref="G8"/>
    </sheetView>
  </sheetViews>
  <sheetFormatPr defaultColWidth="9.00390625" defaultRowHeight="12.75"/>
  <cols>
    <col min="1" max="1" width="39.62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732" t="s">
        <v>1</v>
      </c>
      <c r="B1" s="732"/>
      <c r="C1" s="732"/>
      <c r="D1" s="732"/>
      <c r="E1" s="732"/>
      <c r="F1" s="732"/>
      <c r="G1" s="732"/>
      <c r="H1" s="733" t="str">
        <f>+CONCATENATE("3. melléklet a …../",LEFT(ÖSSZEFÜGGÉSEK!A4,4)+1,". (V…….) önkormányzati rendelethez")</f>
        <v>3. melléklet a …../2020. (V…….) önkormányzati rendelethez</v>
      </c>
    </row>
    <row r="2" spans="1:8" ht="22.5" customHeight="1" thickBot="1">
      <c r="A2" s="27"/>
      <c r="B2" s="10"/>
      <c r="C2" s="10"/>
      <c r="D2" s="10"/>
      <c r="E2" s="10"/>
      <c r="F2" s="641"/>
      <c r="G2" s="639" t="str">
        <f>'2.2.sz.mell  '!I2</f>
        <v>Forintban!</v>
      </c>
      <c r="H2" s="733"/>
    </row>
    <row r="3" spans="1:8" s="6" customFormat="1" ht="50.25" customHeight="1" thickBot="1">
      <c r="A3" s="28" t="s">
        <v>53</v>
      </c>
      <c r="B3" s="29" t="s">
        <v>54</v>
      </c>
      <c r="C3" s="29" t="s">
        <v>55</v>
      </c>
      <c r="D3" s="29" t="str">
        <f>+CONCATENATE("Felhasználás ",LEFT(ÖSSZEFÜGGÉSEK!A4,4)-1,". XII.31-ig")</f>
        <v>Felhasználás 2018. XII.31-ig</v>
      </c>
      <c r="E3" s="29" t="str">
        <f>+CONCATENATE(LEFT(ÖSSZEFÜGGÉSEK!A4,4),". évi módosított előirányzat")</f>
        <v>2019. évi módosított előirányzat</v>
      </c>
      <c r="F3" s="83" t="str">
        <f>+CONCATENATE(LEFT(ÖSSZEFÜGGÉSEK!A4,4),". évi teljesítés")</f>
        <v>2019. évi teljesítés</v>
      </c>
      <c r="G3" s="82" t="str">
        <f>+CONCATENATE("Összes teljesítés ",LEFT(ÖSSZEFÜGGÉSEK!A4,4),". dec. 31-ig")</f>
        <v>Összes teljesítés 2019. dec. 31-ig</v>
      </c>
      <c r="H3" s="733"/>
    </row>
    <row r="4" spans="1:8" s="10" customFormat="1" ht="12" customHeight="1" thickBot="1">
      <c r="A4" s="436" t="s">
        <v>410</v>
      </c>
      <c r="B4" s="437" t="s">
        <v>411</v>
      </c>
      <c r="C4" s="437" t="s">
        <v>412</v>
      </c>
      <c r="D4" s="437" t="s">
        <v>413</v>
      </c>
      <c r="E4" s="437" t="s">
        <v>414</v>
      </c>
      <c r="F4" s="50" t="s">
        <v>491</v>
      </c>
      <c r="G4" s="438" t="s">
        <v>537</v>
      </c>
      <c r="H4" s="733"/>
    </row>
    <row r="5" spans="1:8" ht="48" customHeight="1">
      <c r="A5" s="712" t="s">
        <v>773</v>
      </c>
      <c r="B5" s="717" t="s">
        <v>774</v>
      </c>
      <c r="C5" s="305" t="s">
        <v>765</v>
      </c>
      <c r="D5" s="2"/>
      <c r="E5" s="717">
        <v>2716213</v>
      </c>
      <c r="F5" s="51">
        <v>2716213</v>
      </c>
      <c r="G5" s="52">
        <f>+D5+F5</f>
        <v>2716213</v>
      </c>
      <c r="H5" s="733"/>
    </row>
    <row r="6" spans="1:8" ht="53.25" customHeight="1">
      <c r="A6" s="712" t="s">
        <v>761</v>
      </c>
      <c r="B6" s="2">
        <v>120992000</v>
      </c>
      <c r="C6" s="305" t="s">
        <v>776</v>
      </c>
      <c r="D6" s="2">
        <v>7575200</v>
      </c>
      <c r="E6" s="2">
        <v>30987808</v>
      </c>
      <c r="F6" s="51">
        <v>30987808</v>
      </c>
      <c r="G6" s="52">
        <f aca="true" t="shared" si="0" ref="G6:G22">+D6+F6</f>
        <v>38563008</v>
      </c>
      <c r="H6" s="733"/>
    </row>
    <row r="7" spans="1:8" ht="33.75" customHeight="1">
      <c r="A7" s="712" t="s">
        <v>762</v>
      </c>
      <c r="B7" s="2">
        <v>8318500</v>
      </c>
      <c r="C7" s="305" t="s">
        <v>763</v>
      </c>
      <c r="D7" s="2">
        <v>4470502</v>
      </c>
      <c r="E7" s="2">
        <v>3847998</v>
      </c>
      <c r="F7" s="51">
        <v>3847998</v>
      </c>
      <c r="G7" s="52">
        <f t="shared" si="0"/>
        <v>8318500</v>
      </c>
      <c r="H7" s="733"/>
    </row>
    <row r="8" spans="1:8" ht="25.5">
      <c r="A8" s="713" t="s">
        <v>777</v>
      </c>
      <c r="B8" s="2">
        <v>2999989</v>
      </c>
      <c r="C8" s="305" t="s">
        <v>778</v>
      </c>
      <c r="D8" s="2"/>
      <c r="E8" s="2">
        <v>2999989</v>
      </c>
      <c r="F8" s="51">
        <v>104999</v>
      </c>
      <c r="G8" s="52">
        <f t="shared" si="0"/>
        <v>104999</v>
      </c>
      <c r="H8" s="733"/>
    </row>
    <row r="9" spans="1:8" ht="15.75" customHeight="1">
      <c r="A9" s="12"/>
      <c r="B9" s="2"/>
      <c r="C9" s="11"/>
      <c r="D9" s="2"/>
      <c r="E9" s="2"/>
      <c r="F9" s="51"/>
      <c r="G9" s="52">
        <f t="shared" si="0"/>
        <v>0</v>
      </c>
      <c r="H9" s="733"/>
    </row>
    <row r="10" spans="1:8" ht="15.75" customHeight="1">
      <c r="A10" s="7"/>
      <c r="B10" s="2"/>
      <c r="C10" s="11"/>
      <c r="D10" s="2"/>
      <c r="E10" s="2"/>
      <c r="F10" s="51"/>
      <c r="G10" s="52">
        <f t="shared" si="0"/>
        <v>0</v>
      </c>
      <c r="H10" s="733"/>
    </row>
    <row r="11" spans="1:8" ht="15.75" customHeight="1">
      <c r="A11" s="7"/>
      <c r="B11" s="2"/>
      <c r="C11" s="11"/>
      <c r="D11" s="2"/>
      <c r="E11" s="2"/>
      <c r="F11" s="51"/>
      <c r="G11" s="52">
        <f t="shared" si="0"/>
        <v>0</v>
      </c>
      <c r="H11" s="733"/>
    </row>
    <row r="12" spans="1:8" ht="15.75" customHeight="1">
      <c r="A12" s="7"/>
      <c r="B12" s="2"/>
      <c r="C12" s="11"/>
      <c r="D12" s="2"/>
      <c r="E12" s="2"/>
      <c r="F12" s="51"/>
      <c r="G12" s="52">
        <f t="shared" si="0"/>
        <v>0</v>
      </c>
      <c r="H12" s="733"/>
    </row>
    <row r="13" spans="1:8" ht="15.75" customHeight="1">
      <c r="A13" s="7"/>
      <c r="B13" s="2"/>
      <c r="C13" s="11"/>
      <c r="D13" s="2"/>
      <c r="E13" s="2"/>
      <c r="F13" s="51"/>
      <c r="G13" s="52">
        <f t="shared" si="0"/>
        <v>0</v>
      </c>
      <c r="H13" s="733"/>
    </row>
    <row r="14" spans="1:8" ht="15.75" customHeight="1">
      <c r="A14" s="7"/>
      <c r="B14" s="2"/>
      <c r="C14" s="11"/>
      <c r="D14" s="2"/>
      <c r="E14" s="2"/>
      <c r="F14" s="51"/>
      <c r="G14" s="52">
        <f t="shared" si="0"/>
        <v>0</v>
      </c>
      <c r="H14" s="733"/>
    </row>
    <row r="15" spans="1:8" ht="15.75" customHeight="1">
      <c r="A15" s="7"/>
      <c r="B15" s="2"/>
      <c r="C15" s="11"/>
      <c r="D15" s="2"/>
      <c r="E15" s="2"/>
      <c r="F15" s="51"/>
      <c r="G15" s="52">
        <f t="shared" si="0"/>
        <v>0</v>
      </c>
      <c r="H15" s="733"/>
    </row>
    <row r="16" spans="1:8" ht="15.75" customHeight="1">
      <c r="A16" s="7"/>
      <c r="B16" s="2"/>
      <c r="C16" s="11"/>
      <c r="D16" s="2"/>
      <c r="E16" s="2"/>
      <c r="F16" s="51"/>
      <c r="G16" s="52">
        <f t="shared" si="0"/>
        <v>0</v>
      </c>
      <c r="H16" s="733"/>
    </row>
    <row r="17" spans="1:8" ht="15.75" customHeight="1">
      <c r="A17" s="7"/>
      <c r="B17" s="2"/>
      <c r="C17" s="11"/>
      <c r="D17" s="2"/>
      <c r="E17" s="2"/>
      <c r="F17" s="51"/>
      <c r="G17" s="52">
        <f t="shared" si="0"/>
        <v>0</v>
      </c>
      <c r="H17" s="733"/>
    </row>
    <row r="18" spans="1:8" ht="15.75" customHeight="1">
      <c r="A18" s="7"/>
      <c r="B18" s="2"/>
      <c r="C18" s="11"/>
      <c r="D18" s="2"/>
      <c r="E18" s="2"/>
      <c r="F18" s="51"/>
      <c r="G18" s="52">
        <f t="shared" si="0"/>
        <v>0</v>
      </c>
      <c r="H18" s="733"/>
    </row>
    <row r="19" spans="1:8" ht="15.75" customHeight="1">
      <c r="A19" s="7"/>
      <c r="B19" s="2"/>
      <c r="C19" s="11"/>
      <c r="D19" s="2"/>
      <c r="E19" s="2"/>
      <c r="F19" s="51"/>
      <c r="G19" s="52">
        <f t="shared" si="0"/>
        <v>0</v>
      </c>
      <c r="H19" s="733"/>
    </row>
    <row r="20" spans="1:8" ht="15.75" customHeight="1">
      <c r="A20" s="7"/>
      <c r="B20" s="2"/>
      <c r="C20" s="11"/>
      <c r="D20" s="2"/>
      <c r="E20" s="2"/>
      <c r="F20" s="51"/>
      <c r="G20" s="52">
        <f t="shared" si="0"/>
        <v>0</v>
      </c>
      <c r="H20" s="733"/>
    </row>
    <row r="21" spans="1:8" ht="15.75" customHeight="1">
      <c r="A21" s="7"/>
      <c r="B21" s="2"/>
      <c r="C21" s="11"/>
      <c r="D21" s="2"/>
      <c r="E21" s="2"/>
      <c r="F21" s="51"/>
      <c r="G21" s="52">
        <f t="shared" si="0"/>
        <v>0</v>
      </c>
      <c r="H21" s="733"/>
    </row>
    <row r="22" spans="1:8" ht="15.75" customHeight="1" thickBot="1">
      <c r="A22" s="13"/>
      <c r="B22" s="3"/>
      <c r="C22" s="14"/>
      <c r="D22" s="3"/>
      <c r="E22" s="3"/>
      <c r="F22" s="53"/>
      <c r="G22" s="52">
        <f t="shared" si="0"/>
        <v>0</v>
      </c>
      <c r="H22" s="733"/>
    </row>
    <row r="23" spans="1:8" s="17" customFormat="1" ht="18" customHeight="1" thickBot="1">
      <c r="A23" s="30" t="s">
        <v>52</v>
      </c>
      <c r="B23" s="15">
        <f>SUM(B5:B22)</f>
        <v>132310489</v>
      </c>
      <c r="C23" s="22"/>
      <c r="D23" s="15">
        <f>SUM(D5:D22)</f>
        <v>12045702</v>
      </c>
      <c r="E23" s="15">
        <f>SUM(E5:E22)</f>
        <v>40552008</v>
      </c>
      <c r="F23" s="15">
        <f>SUM(F5:F22)</f>
        <v>37657018</v>
      </c>
      <c r="G23" s="16">
        <f>SUM(G5:G22)</f>
        <v>49702720</v>
      </c>
      <c r="H23" s="733"/>
    </row>
    <row r="24" spans="6:8" ht="12.75">
      <c r="F24" s="17"/>
      <c r="G24" s="17"/>
      <c r="H24" s="617"/>
    </row>
    <row r="25" ht="12.75">
      <c r="H25" s="617"/>
    </row>
    <row r="26" ht="12.75">
      <c r="H26" s="617"/>
    </row>
    <row r="27" ht="12.75">
      <c r="H27" s="617"/>
    </row>
    <row r="28" ht="12.75">
      <c r="H28" s="617"/>
    </row>
    <row r="29" ht="12.75">
      <c r="H29" s="617"/>
    </row>
    <row r="30" ht="12.75">
      <c r="H30" s="617"/>
    </row>
    <row r="31" ht="12.75">
      <c r="H31" s="617"/>
    </row>
    <row r="32" ht="12.75">
      <c r="H32" s="617"/>
    </row>
  </sheetData>
  <sheetProtection/>
  <mergeCells count="2">
    <mergeCell ref="A1:G1"/>
    <mergeCell ref="H1:H23"/>
  </mergeCells>
  <printOptions horizontalCentered="1"/>
  <pageMargins left="0.7874015748031497" right="0.7874015748031497" top="1" bottom="0.984251968503937" header="0.7874015748031497" footer="0.7874015748031497"/>
  <pageSetup fitToHeight="1" fitToWidth="1" horizontalDpi="300" verticalDpi="300" orientation="landscape" paperSize="9" scale="89" r:id="rId1"/>
  <headerFooter alignWithMargins="0">
    <oddHeader>&amp;R3. melléklet a 4/2020. (VI.30.)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Jegyző</cp:lastModifiedBy>
  <cp:lastPrinted>2020-05-05T08:36:29Z</cp:lastPrinted>
  <dcterms:created xsi:type="dcterms:W3CDTF">1999-10-30T10:30:45Z</dcterms:created>
  <dcterms:modified xsi:type="dcterms:W3CDTF">2020-07-15T12:21:39Z</dcterms:modified>
  <cp:category/>
  <cp:version/>
  <cp:contentType/>
  <cp:contentStatus/>
</cp:coreProperties>
</file>