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60" yWindow="450" windowWidth="12660" windowHeight="11640" tabRatio="725" firstSheet="30" activeTab="36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 " sheetId="5" r:id="rId5"/>
    <sheet name="2.2.sz.mell ." sheetId="6" r:id="rId6"/>
    <sheet name="3.sz.mell." sheetId="7" r:id="rId7"/>
    <sheet name="6.sz.mell. " sheetId="8" r:id="rId8"/>
    <sheet name="7.sz.mell." sheetId="9" r:id="rId9"/>
    <sheet name="8. sz. mell. " sheetId="10" r:id="rId10"/>
    <sheet name="8.1. sz. mell. " sheetId="11" r:id="rId11"/>
    <sheet name="9.1. sz. mell." sheetId="12" r:id="rId12"/>
    <sheet name="9.1.1. sz. mell. " sheetId="13" r:id="rId13"/>
    <sheet name="9.1.2. sz. mell." sheetId="14" r:id="rId14"/>
    <sheet name="9.2. sz. mell. " sheetId="15" r:id="rId15"/>
    <sheet name="9.2.1. sz. mell" sheetId="16" r:id="rId16"/>
    <sheet name="9.2.3. sz. mell." sheetId="17" r:id="rId17"/>
    <sheet name="9.3. sz. mell " sheetId="18" r:id="rId18"/>
    <sheet name="9.3.1. sz. mell EOI" sheetId="19" r:id="rId19"/>
    <sheet name="9.4. sz. mell EKIK" sheetId="20" r:id="rId20"/>
    <sheet name="9.4.1. sz. mell EKIK" sheetId="21" r:id="rId21"/>
    <sheet name="9.4.2. sz. mell EKIK" sheetId="22" r:id="rId22"/>
    <sheet name="9.5. sz. mell VK" sheetId="23" r:id="rId23"/>
    <sheet name="9.5.1. sz. mell VK " sheetId="24" r:id="rId24"/>
    <sheet name="9.5.2. sz. mell VK" sheetId="25" r:id="rId25"/>
    <sheet name="9.6. sz. mell Kornisné Kp." sheetId="26" r:id="rId26"/>
    <sheet name="9.6.1. sz. mell Kornisné Kp. " sheetId="27" r:id="rId27"/>
    <sheet name="9.6.2. sz. mell Kornisné Kp." sheetId="28" r:id="rId28"/>
    <sheet name="9.7. sz. mell TIB  " sheetId="29" r:id="rId29"/>
    <sheet name="9.7.1. sz. mell TIB  " sheetId="30" r:id="rId30"/>
    <sheet name="int.összesítő" sheetId="31" r:id="rId31"/>
    <sheet name="engedélyezett álláshelyek " sheetId="32" r:id="rId32"/>
    <sheet name="tartalék" sheetId="33" r:id="rId33"/>
    <sheet name="1.sz tájékoztató t " sheetId="34" r:id="rId34"/>
    <sheet name="2. sz tájékoztató t" sheetId="35" r:id="rId35"/>
    <sheet name="4.sz tájékoztató t " sheetId="36" r:id="rId36"/>
    <sheet name="feladatos Önk. " sheetId="37" r:id="rId37"/>
  </sheets>
  <externalReferences>
    <externalReference r:id="rId40"/>
    <externalReference r:id="rId41"/>
  </externalReferences>
  <definedNames>
    <definedName name="_xlfn.IFERROR" hidden="1">#NAME?</definedName>
    <definedName name="_xlnm.Print_Titles" localSheetId="11">'9.1. sz. mell.'!$1:$6</definedName>
    <definedName name="_xlnm.Print_Titles" localSheetId="12">'9.1.1. sz. mell. '!$1:$6</definedName>
    <definedName name="_xlnm.Print_Titles" localSheetId="13">'9.1.2. sz. mell.'!$1:$6</definedName>
    <definedName name="_xlnm.Print_Titles" localSheetId="14">'9.2. sz. mell. '!$1:$6</definedName>
    <definedName name="_xlnm.Print_Titles" localSheetId="15">'9.2.1. sz. mell'!$1:$6</definedName>
    <definedName name="_xlnm.Print_Titles" localSheetId="16">'9.2.3. sz. mell.'!$1:$6</definedName>
    <definedName name="_xlnm.Print_Titles" localSheetId="17">'9.3. sz. mell '!$1:$6</definedName>
    <definedName name="_xlnm.Print_Titles" localSheetId="18">'9.3.1. sz. mell EOI'!$1:$6</definedName>
    <definedName name="_xlnm.Print_Titles" localSheetId="19">'9.4. sz. mell EKIK'!$1:$6</definedName>
    <definedName name="_xlnm.Print_Titles" localSheetId="20">'9.4.1. sz. mell EKIK'!$1:$6</definedName>
    <definedName name="_xlnm.Print_Titles" localSheetId="21">'9.4.2. sz. mell EKIK'!$1:$6</definedName>
    <definedName name="_xlnm.Print_Titles" localSheetId="22">'9.5. sz. mell VK'!$1:$6</definedName>
    <definedName name="_xlnm.Print_Titles" localSheetId="23">'9.5.1. sz. mell VK '!$1:$6</definedName>
    <definedName name="_xlnm.Print_Titles" localSheetId="24">'9.5.2. sz. mell VK'!$1:$6</definedName>
    <definedName name="_xlnm.Print_Titles" localSheetId="25">'9.6. sz. mell Kornisné Kp.'!$1:$6</definedName>
    <definedName name="_xlnm.Print_Titles" localSheetId="26">'9.6.1. sz. mell Kornisné Kp. '!$1:$6</definedName>
    <definedName name="_xlnm.Print_Titles" localSheetId="27">'9.6.2. sz. mell Kornisné Kp.'!$1:$6</definedName>
    <definedName name="_xlnm.Print_Titles" localSheetId="28">'9.7. sz. mell TIB  '!$1:$6</definedName>
    <definedName name="_xlnm.Print_Titles" localSheetId="29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<sst xmlns="http://schemas.openxmlformats.org/spreadsheetml/2006/main" count="4966" uniqueCount="737">
  <si>
    <t>Kis értékű tárgyi eszköz beszerzés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</si>
  <si>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</si>
  <si>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</si>
  <si>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</si>
  <si>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</si>
  <si>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Minimanó Óvoda tetőszerkezetének részleges felújítása</t>
  </si>
  <si>
    <t>Fülemüle Óvoda tetőszerkezetének részleges szigetelése</t>
  </si>
  <si>
    <t>Tiszavasvári Egyesített Óvodai Intézmény</t>
  </si>
  <si>
    <t>Támogatási tartalék ( EÜ Kft:1.266 eFt,Nyírs.Tiszk:163 eFt,Nyírv.K.K.: 4.568 eFt)</t>
  </si>
  <si>
    <t>Járóbetegek gyógyító szakellátása</t>
  </si>
  <si>
    <t>Intézmények megnevezése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</si>
  <si>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</si>
  <si>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</si>
  <si>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</si>
  <si>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</si>
  <si>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</si>
  <si>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- Egyesített Közművelődési Központ és Könyvtár</t>
  </si>
  <si>
    <t>Önkormányzat - GINOP 5.2.1-14-2015-00001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</si>
  <si>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</si>
  <si>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</si>
  <si>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</si>
  <si>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</si>
  <si>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</si>
  <si>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 xml:space="preserve">- Temető üzemeltetési tartalék: 200 eFt Sírbolt értékesítés: 5.000 eFt 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</si>
  <si>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</si>
  <si>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</si>
  <si>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</si>
  <si>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</si>
  <si>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</si>
  <si>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</si>
  <si>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</si>
  <si>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</si>
  <si>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</si>
  <si>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</si>
  <si>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</si>
  <si>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</si>
  <si>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</si>
  <si>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</si>
  <si>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</si>
  <si>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</si>
  <si>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</si>
  <si>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</si>
  <si>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</si>
  <si>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</si>
  <si>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</si>
  <si>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</si>
  <si>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</si>
  <si>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</si>
  <si>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</si>
  <si>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</si>
  <si>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</si>
  <si>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</si>
  <si>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</si>
  <si>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</si>
  <si>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</si>
  <si>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</si>
  <si>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</si>
  <si>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</si>
  <si>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</si>
  <si>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</si>
  <si>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</si>
  <si>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</si>
  <si>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</si>
  <si>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</si>
  <si>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</si>
  <si>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</si>
  <si>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</si>
  <si>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</si>
  <si>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</si>
  <si>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</si>
  <si>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</si>
  <si>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</si>
  <si>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</si>
  <si>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</si>
  <si>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</si>
  <si>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</si>
  <si>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</si>
  <si>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</si>
  <si>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</si>
  <si>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</si>
  <si>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</si>
  <si>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</si>
  <si>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</si>
  <si>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</si>
  <si>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</si>
  <si>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</si>
  <si>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</si>
  <si>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</si>
  <si>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</si>
  <si>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</si>
  <si>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</si>
  <si>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</si>
  <si>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</si>
  <si>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</si>
  <si>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</si>
  <si>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</si>
  <si>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</si>
  <si>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</si>
  <si>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</si>
  <si>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</si>
  <si>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</si>
  <si>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</si>
  <si>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</si>
  <si>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</si>
  <si>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</si>
  <si>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</si>
  <si>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</si>
  <si>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</si>
  <si>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</si>
  <si>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</si>
  <si>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</si>
  <si>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</si>
  <si>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</si>
  <si>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</si>
  <si>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</si>
  <si>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</si>
  <si>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</si>
  <si>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</si>
  <si>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</si>
  <si>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</si>
  <si>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</si>
  <si>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</si>
  <si>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</si>
  <si>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</si>
  <si>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</si>
  <si>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</si>
  <si>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</si>
  <si>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</si>
  <si>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</si>
  <si>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</si>
  <si>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</si>
  <si>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</si>
  <si>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</si>
  <si>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</si>
  <si>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</si>
  <si>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</si>
  <si>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</si>
  <si>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</si>
  <si>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</si>
  <si>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</si>
  <si>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</si>
  <si>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</si>
  <si>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</si>
  <si>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</si>
  <si>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</si>
  <si>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</si>
  <si>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</si>
  <si>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</si>
  <si>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</si>
  <si>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</si>
  <si>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</si>
  <si>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</si>
  <si>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</si>
  <si>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</si>
  <si>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</si>
  <si>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</si>
  <si>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</si>
  <si>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</si>
  <si>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</si>
  <si>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</si>
  <si>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</si>
  <si>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</si>
  <si>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</si>
  <si>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</si>
  <si>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</si>
  <si>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</si>
  <si>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</si>
  <si>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</si>
  <si>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</si>
  <si>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</si>
  <si>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</si>
  <si>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</si>
  <si>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</si>
  <si>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</si>
  <si>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</si>
  <si>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</si>
  <si>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</si>
  <si>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</si>
  <si>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</si>
  <si>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</si>
  <si>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</si>
  <si>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</si>
  <si>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</si>
  <si>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</si>
  <si>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</si>
  <si>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</si>
  <si>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</si>
  <si>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</si>
  <si>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</si>
  <si>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</si>
  <si>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</si>
  <si>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</si>
  <si>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</si>
  <si>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</si>
  <si>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</si>
  <si>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</si>
  <si>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</si>
  <si>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</si>
  <si>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</si>
  <si>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</si>
  <si>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</si>
  <si>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</si>
  <si>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</si>
  <si>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</si>
  <si>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</si>
  <si>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</si>
  <si>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</si>
  <si>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</si>
  <si>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</si>
  <si>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</si>
  <si>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</si>
  <si>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</si>
  <si>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</si>
  <si>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</si>
  <si>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</si>
  <si>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</si>
  <si>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</si>
  <si>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</si>
  <si>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</si>
  <si>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</si>
  <si>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</si>
  <si>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</si>
  <si>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</si>
  <si>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</si>
  <si>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</si>
  <si>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</si>
  <si>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</si>
  <si>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</si>
  <si>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</si>
  <si>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</si>
  <si>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</si>
  <si>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</si>
  <si>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</si>
  <si>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</si>
  <si>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</si>
  <si>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</si>
  <si>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</si>
  <si>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</si>
  <si>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</si>
  <si>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</si>
  <si>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</si>
  <si>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</si>
  <si>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</si>
  <si>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</si>
  <si>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</si>
  <si>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</si>
  <si>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</si>
  <si>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</si>
  <si>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</si>
  <si>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</si>
  <si>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</si>
  <si>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</si>
  <si>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</si>
  <si>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</si>
  <si>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</si>
  <si>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</si>
  <si>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</si>
  <si>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</si>
  <si>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</si>
  <si>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</si>
  <si>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</si>
  <si>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</si>
  <si>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</si>
  <si>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</si>
  <si>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</si>
  <si>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</si>
  <si>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</si>
  <si>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</si>
  <si>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</si>
  <si>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</si>
  <si>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</si>
  <si>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</si>
  <si>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</si>
  <si>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</si>
  <si>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</si>
  <si>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</si>
  <si>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</si>
  <si>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</si>
  <si>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</si>
  <si>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</si>
  <si>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</si>
  <si>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</si>
  <si>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</si>
  <si>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</si>
  <si>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</si>
  <si>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</si>
  <si>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</si>
  <si>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</si>
  <si>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</si>
  <si>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</si>
  <si>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</si>
  <si>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</si>
  <si>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</si>
  <si>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</si>
  <si>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</si>
  <si>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</si>
  <si>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</si>
  <si>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</si>
  <si>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</si>
  <si>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</si>
  <si>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</si>
  <si>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</si>
  <si>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</si>
  <si>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</si>
  <si>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</si>
  <si>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</si>
  <si>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</si>
  <si>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</si>
  <si>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</si>
  <si>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</si>
  <si>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</si>
  <si>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</si>
  <si>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</si>
  <si>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</si>
  <si>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</si>
  <si>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</si>
  <si>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</si>
  <si>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</si>
  <si>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</si>
  <si>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</si>
  <si>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</si>
  <si>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</si>
  <si>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</si>
  <si>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</si>
  <si>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</si>
  <si>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</si>
  <si>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</si>
  <si>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</si>
  <si>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</si>
  <si>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</si>
  <si>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</si>
  <si>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</si>
  <si>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</si>
  <si>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</si>
  <si>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</si>
  <si>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</si>
  <si>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</si>
  <si>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</si>
  <si>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</si>
  <si>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</si>
  <si>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</si>
  <si>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</si>
  <si>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</si>
  <si>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</si>
  <si>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</si>
  <si>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</si>
  <si>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</si>
  <si>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</si>
  <si>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</si>
  <si>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</si>
  <si>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</si>
  <si>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</si>
  <si>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</si>
  <si>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</si>
  <si>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</si>
  <si>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</si>
  <si>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</si>
  <si>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</si>
  <si>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</si>
  <si>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</si>
  <si>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</si>
  <si>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</si>
  <si>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</si>
  <si>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</si>
  <si>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</si>
  <si>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</si>
  <si>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</si>
  <si>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</si>
  <si>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</si>
  <si>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</si>
  <si>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</si>
  <si>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</si>
  <si>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</si>
  <si>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</si>
  <si>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</si>
  <si>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</si>
  <si>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</si>
  <si>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</si>
  <si>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</si>
  <si>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</si>
  <si>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</si>
  <si>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</si>
  <si>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</si>
  <si>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</si>
  <si>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</si>
  <si>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</si>
  <si>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</si>
  <si>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</si>
  <si>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</si>
  <si>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</si>
  <si>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</si>
  <si>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</si>
  <si>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</si>
  <si>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</si>
  <si>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</si>
  <si>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</si>
  <si>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</si>
  <si>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</si>
  <si>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</si>
  <si>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</si>
  <si>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</si>
  <si>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</si>
  <si>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</si>
  <si>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</si>
  <si>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</si>
  <si>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</si>
  <si>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</si>
  <si>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</si>
  <si>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</si>
  <si>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</si>
  <si>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</si>
  <si>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</si>
  <si>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</si>
  <si>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</si>
  <si>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</si>
  <si>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</si>
  <si>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</si>
  <si>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</si>
  <si>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</si>
  <si>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</si>
  <si>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</si>
  <si>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</si>
  <si>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</si>
  <si>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</si>
  <si>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</si>
  <si>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</si>
  <si>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</si>
  <si>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</si>
  <si>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</si>
  <si>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</si>
  <si>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</si>
  <si>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</si>
  <si>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</si>
  <si>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</si>
  <si>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</si>
  <si>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</si>
  <si>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</si>
  <si>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</si>
  <si>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</si>
  <si>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</si>
  <si>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</si>
  <si>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</si>
  <si>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</si>
  <si>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</si>
  <si>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</si>
  <si>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</si>
  <si>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</si>
  <si>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</si>
  <si>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</si>
  <si>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</si>
  <si>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</si>
  <si>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</si>
  <si>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</si>
  <si>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</si>
  <si>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</si>
  <si>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</si>
  <si>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</si>
  <si>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</si>
  <si>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</si>
  <si>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</si>
  <si>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</si>
  <si>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</si>
  <si>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</si>
  <si>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</si>
  <si>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</si>
  <si>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</si>
  <si>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</si>
  <si>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</si>
  <si>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</si>
  <si>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</si>
  <si>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</si>
  <si>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</si>
  <si>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</si>
  <si>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</si>
  <si>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</si>
  <si>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</si>
  <si>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</si>
  <si>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</si>
  <si>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</si>
  <si>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</si>
  <si>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</si>
  <si>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</si>
  <si>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</si>
  <si>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</si>
  <si>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</si>
  <si>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</si>
  <si>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</si>
  <si>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</si>
  <si>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</si>
  <si>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</si>
  <si>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</si>
  <si>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</si>
  <si>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</si>
  <si>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</si>
  <si>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</si>
  <si>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</si>
  <si>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Mindösszesen közfoglalkoztattok nélkül: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</si>
  <si>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</si>
  <si>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</si>
  <si>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</si>
  <si>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</si>
  <si>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</si>
  <si>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</si>
  <si>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</si>
  <si>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</si>
  <si>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</si>
  <si>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</si>
  <si>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</si>
  <si>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</si>
  <si>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</si>
  <si>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</si>
  <si>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</si>
  <si>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</si>
  <si>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</si>
  <si>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</si>
  <si>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</si>
  <si>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</si>
  <si>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</si>
  <si>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</si>
  <si>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</si>
  <si>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</si>
  <si>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</si>
  <si>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</si>
  <si>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</si>
  <si>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</si>
  <si>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</si>
  <si>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</si>
  <si>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</si>
  <si>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</si>
  <si>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</si>
  <si>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</si>
  <si>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</si>
  <si>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</si>
  <si>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</si>
  <si>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</si>
  <si>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</si>
  <si>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</si>
  <si>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</si>
  <si>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</si>
  <si>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</si>
  <si>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</si>
  <si>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</si>
  <si>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</si>
  <si>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</si>
  <si>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</si>
  <si>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</si>
  <si>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</si>
  <si>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</si>
  <si>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</si>
  <si>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</si>
  <si>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</si>
  <si>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</si>
  <si>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</si>
  <si>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</si>
  <si>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</si>
  <si>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</si>
  <si>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</si>
  <si>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</si>
  <si>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</si>
  <si>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</si>
  <si>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</si>
  <si>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</si>
  <si>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</si>
  <si>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</si>
  <si>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</si>
  <si>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</si>
  <si>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</si>
  <si>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</si>
  <si>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</si>
  <si>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</si>
  <si>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</si>
  <si>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</si>
  <si>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</si>
  <si>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</si>
  <si>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</si>
  <si>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</si>
  <si>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</si>
  <si>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</si>
  <si>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</si>
  <si>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</si>
  <si>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</si>
  <si>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</si>
  <si>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</si>
  <si>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</si>
  <si>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</si>
  <si>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</si>
  <si>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</si>
  <si>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</si>
  <si>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</si>
  <si>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Folyószámla-hitel (keret: 100.000 eFt)*</t>
  </si>
  <si>
    <t>ÉAOP Óvodabővítés projekt saját erő hitel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</si>
  <si>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</si>
  <si>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</si>
  <si>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</si>
  <si>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</si>
  <si>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</si>
  <si>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</si>
  <si>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</si>
  <si>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</si>
  <si>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</si>
  <si>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</si>
  <si>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</si>
  <si>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</si>
  <si>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</si>
  <si>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</si>
  <si>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</si>
  <si>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</si>
  <si>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</si>
  <si>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</si>
  <si>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</si>
  <si>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</si>
  <si>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Gyakorlati képz. - szoc. gondozó és ápoló (fő)</t>
  </si>
  <si>
    <t>NRSZH pályázat - megvált. munkakép. fogl.létszám (fő)</t>
  </si>
  <si>
    <t>Maradvány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</si>
  <si>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</si>
  <si>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</si>
  <si>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</si>
  <si>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</si>
  <si>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</si>
  <si>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</si>
  <si>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</si>
  <si>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</si>
  <si>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</si>
  <si>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</si>
  <si>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</si>
  <si>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</si>
  <si>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</si>
  <si>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</si>
  <si>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</si>
  <si>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</si>
  <si>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</si>
  <si>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</si>
  <si>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2017. előtti kifizetés</t>
  </si>
  <si>
    <t>2019 után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</si>
  <si>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</si>
  <si>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</si>
  <si>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</si>
  <si>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</si>
  <si>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</si>
  <si>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</si>
  <si>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</si>
  <si>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</si>
  <si>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</si>
  <si>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>Önkormányzaton kívüli EU-s projektekhez történő hozzájárulás 2017. évi előirányzat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</si>
  <si>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</si>
  <si>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</si>
  <si>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</si>
  <si>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</si>
  <si>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</si>
  <si>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</si>
  <si>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</si>
  <si>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</si>
  <si>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</si>
  <si>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</si>
  <si>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</si>
  <si>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</si>
  <si>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</si>
  <si>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</si>
  <si>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</si>
  <si>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</si>
  <si>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</si>
  <si>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</si>
  <si>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</si>
  <si>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</si>
  <si>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</si>
  <si>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</si>
  <si>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</si>
  <si>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 xml:space="preserve"> Forintban !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</si>
  <si>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</si>
  <si>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</si>
  <si>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</si>
  <si>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</si>
  <si>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</si>
  <si>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</si>
  <si>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</si>
  <si>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</si>
  <si>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Forintban!</t>
  </si>
  <si>
    <t>Hozzájárulás  (Ft)</t>
  </si>
  <si>
    <t>Egyesített Közműv. Int. és Könyv.</t>
  </si>
  <si>
    <t>- Üdülő VKT bevétel terhére kiadási tartalék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</si>
  <si>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</si>
  <si>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</si>
  <si>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</si>
  <si>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</si>
  <si>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</si>
  <si>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</si>
  <si>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Folyószámlahitel* (hitelkeret=100.000.000 Ft)</t>
  </si>
  <si>
    <t>ÉAOP Óvodabővítés saját erő hitel</t>
  </si>
  <si>
    <t>*: A folyószámlahitel-keret: 100.000eFt, a 4. oszlopban azért nem került feltüntetésre, mert törleszteni csak az igénybevett hitelkeret erejéig kell.</t>
  </si>
  <si>
    <t>Tiszavasvári Kabay konyha korszerűsítése és agrárlogisztikai pont kialakítása</t>
  </si>
  <si>
    <t>2017. előtt</t>
  </si>
  <si>
    <t>2017 után</t>
  </si>
  <si>
    <t>Beruházási tartalék</t>
  </si>
  <si>
    <t>-</t>
  </si>
  <si>
    <t xml:space="preserve">TSE TAO hitel 2017 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</si>
  <si>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</si>
  <si>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</si>
  <si>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</si>
  <si>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</si>
  <si>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</si>
  <si>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</si>
  <si>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</si>
  <si>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</si>
  <si>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</si>
  <si>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</si>
  <si>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</si>
  <si>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</si>
  <si>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</si>
  <si>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</si>
  <si>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</si>
  <si>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</si>
  <si>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EU-s projekt neve, azonosítója: A Tiszavasvári Kabay-konyha korszerűsítése és agrárlogisztikai pont kialakítása, TOP-1.1.3-15-SB1-2016-00033</t>
  </si>
  <si>
    <t>TSE TAO hitel 2017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</si>
  <si>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</si>
  <si>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</si>
  <si>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</si>
  <si>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</si>
  <si>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</si>
  <si>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</si>
  <si>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</si>
  <si>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Víziközmű rendszeren végrehajtandó beruházás</t>
  </si>
  <si>
    <t>Víziközmű rendszeren végrehajtandó felújítás</t>
  </si>
  <si>
    <t>Fotocellás ajtó (2016 évről áth. Beruházás Kornisné)</t>
  </si>
  <si>
    <t>2016</t>
  </si>
  <si>
    <t>1 db fagyasztóláda (Tiszavasvári Bölcsőde)</t>
  </si>
  <si>
    <t>ASP pályázat - informatikai eszköz beszerzés</t>
  </si>
  <si>
    <t>Útépítés környezetvédelmi alapból</t>
  </si>
  <si>
    <t>Sportcsarnok kisértékű tárgyi eszköz beszerzés</t>
  </si>
  <si>
    <t>8 db mobiltelefon besz. (Kornisné Központ)</t>
  </si>
  <si>
    <t>Minimanó Óvoda 3 db előtető felújítása</t>
  </si>
  <si>
    <t>Belvíz rendszer kiépítése</t>
  </si>
  <si>
    <t>Nyíri mezőség progr. ker. turisztikai fejlesztés</t>
  </si>
  <si>
    <t>EU-s projekt neve, azonosítója: Tiszavasvári város infrastruktúra fejlesztése, lakóterület belvíz mentesítése, TOP-2.1.3-15-SB1-2016-00024</t>
  </si>
  <si>
    <t>EU-s projekt neve, azonosítója: A Nyíri Mezőség turisztikai kínálatának integrált fejlesztése - Természeti és kulturális vonzerők, termékcsomagok fejlesztése a Nyíri Mezőségben, TOP-1.2.1-15-SB1-2016-00018</t>
  </si>
  <si>
    <t>Kornisné fűtés korszerűsítési tartalék</t>
  </si>
  <si>
    <t>Belvíz pályázat tartalék</t>
  </si>
  <si>
    <t>Turizmus fejlesztési támogatások és tevékenységek</t>
  </si>
</sst>
</file>

<file path=xl/styles.xml><?xml version="1.0" encoding="utf-8"?>
<styleSheet xmlns="http://schemas.openxmlformats.org/spreadsheetml/2006/main">
  <numFmts count="4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.0"/>
    <numFmt numFmtId="181" formatCode="0.0%"/>
    <numFmt numFmtId="182" formatCode="_-* #,##0.0\ _F_t_-;\-* #,##0.0\ _F_t_-;_-* &quot;-&quot;??\ _F_t_-;_-@_-"/>
    <numFmt numFmtId="183" formatCode="#,##0&quot;eFt&quot;"/>
    <numFmt numFmtId="184" formatCode="#,##0&quot; eFt&quot;"/>
    <numFmt numFmtId="185" formatCode="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\ _F_t_-;_-@_-"/>
    <numFmt numFmtId="189" formatCode="&quot;H-&quot;0000"/>
    <numFmt numFmtId="190" formatCode="0.000"/>
    <numFmt numFmtId="191" formatCode="#,##0_ ;\-#,##0\ "/>
    <numFmt numFmtId="192" formatCode="#,##0\f\ő"/>
    <numFmt numFmtId="193" formatCode="#,##0,\f\ő"/>
    <numFmt numFmtId="194" formatCode="#,##0.0,\f\ő"/>
    <numFmt numFmtId="195" formatCode="#,##0.0\f\ő"/>
    <numFmt numFmtId="196" formatCode="mmm/yyyy"/>
    <numFmt numFmtId="197" formatCode="#,##0.00\f\ő"/>
    <numFmt numFmtId="198" formatCode="#,##0.00\ _F_t"/>
    <numFmt numFmtId="199" formatCode="0&quot;.&quot;"/>
    <numFmt numFmtId="200" formatCode="#,##0.000"/>
  </numFmts>
  <fonts count="9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2"/>
    </font>
    <font>
      <b/>
      <u val="single"/>
      <sz val="12"/>
      <name val="Times New Roman CE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i/>
      <sz val="10"/>
      <color indexed="8"/>
      <name val="Times New Roman"/>
      <family val="1"/>
    </font>
    <font>
      <b/>
      <i/>
      <sz val="8"/>
      <color indexed="10"/>
      <name val="Times New Roman CE"/>
      <family val="0"/>
    </font>
    <font>
      <b/>
      <sz val="10"/>
      <color indexed="10"/>
      <name val="Times New Roman"/>
      <family val="1"/>
    </font>
    <font>
      <sz val="8"/>
      <color indexed="10"/>
      <name val="Times New Roman CE"/>
      <family val="0"/>
    </font>
    <font>
      <sz val="9"/>
      <color indexed="8"/>
      <name val="Times New Roman"/>
      <family val="1"/>
    </font>
    <font>
      <b/>
      <sz val="9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i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7" borderId="7" applyNumberFormat="0" applyFont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86" fillId="34" borderId="0" applyNumberFormat="0" applyBorder="0" applyAlignment="0" applyProtection="0"/>
    <xf numFmtId="0" fontId="87" fillId="35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9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36" borderId="0" applyNumberFormat="0" applyBorder="0" applyAlignment="0" applyProtection="0"/>
    <xf numFmtId="0" fontId="92" fillId="37" borderId="0" applyNumberFormat="0" applyBorder="0" applyAlignment="0" applyProtection="0"/>
    <xf numFmtId="0" fontId="93" fillId="35" borderId="1" applyNumberFormat="0" applyAlignment="0" applyProtection="0"/>
    <xf numFmtId="9" fontId="0" fillId="0" borderId="0" applyFont="0" applyFill="0" applyBorder="0" applyAlignment="0" applyProtection="0"/>
  </cellStyleXfs>
  <cellXfs count="978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73" applyFont="1" applyFill="1" applyBorder="1" applyAlignment="1" applyProtection="1">
      <alignment horizontal="center" vertical="center" wrapText="1"/>
      <protection/>
    </xf>
    <xf numFmtId="0" fontId="6" fillId="0" borderId="0" xfId="73" applyFont="1" applyFill="1" applyBorder="1" applyAlignment="1" applyProtection="1">
      <alignment vertical="center" wrapText="1"/>
      <protection/>
    </xf>
    <xf numFmtId="0" fontId="16" fillId="0" borderId="10" xfId="73" applyFont="1" applyFill="1" applyBorder="1" applyAlignment="1" applyProtection="1">
      <alignment horizontal="left" vertical="center" wrapText="1" indent="1"/>
      <protection/>
    </xf>
    <xf numFmtId="0" fontId="16" fillId="0" borderId="11" xfId="73" applyFont="1" applyFill="1" applyBorder="1" applyAlignment="1" applyProtection="1">
      <alignment horizontal="left" vertical="center" wrapText="1" indent="1"/>
      <protection/>
    </xf>
    <xf numFmtId="0" fontId="16" fillId="0" borderId="12" xfId="73" applyFont="1" applyFill="1" applyBorder="1" applyAlignment="1" applyProtection="1">
      <alignment horizontal="left" vertical="center" wrapText="1" indent="1"/>
      <protection/>
    </xf>
    <xf numFmtId="0" fontId="16" fillId="0" borderId="13" xfId="73" applyFont="1" applyFill="1" applyBorder="1" applyAlignment="1" applyProtection="1">
      <alignment horizontal="left" vertical="center" wrapText="1" indent="1"/>
      <protection/>
    </xf>
    <xf numFmtId="0" fontId="16" fillId="0" borderId="14" xfId="73" applyFont="1" applyFill="1" applyBorder="1" applyAlignment="1" applyProtection="1">
      <alignment horizontal="left" vertical="center" wrapText="1" indent="1"/>
      <protection/>
    </xf>
    <xf numFmtId="0" fontId="16" fillId="0" borderId="15" xfId="73" applyFont="1" applyFill="1" applyBorder="1" applyAlignment="1" applyProtection="1">
      <alignment horizontal="left" vertical="center" wrapText="1" indent="1"/>
      <protection/>
    </xf>
    <xf numFmtId="49" fontId="16" fillId="0" borderId="16" xfId="73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73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73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73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73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73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73" applyFont="1" applyFill="1" applyBorder="1" applyAlignment="1" applyProtection="1">
      <alignment horizontal="left" vertical="center" wrapText="1" indent="1"/>
      <protection/>
    </xf>
    <xf numFmtId="0" fontId="14" fillId="0" borderId="22" xfId="73" applyFont="1" applyFill="1" applyBorder="1" applyAlignment="1" applyProtection="1">
      <alignment horizontal="left" vertical="center" wrapText="1" indent="1"/>
      <protection/>
    </xf>
    <xf numFmtId="0" fontId="14" fillId="0" borderId="23" xfId="73" applyFont="1" applyFill="1" applyBorder="1" applyAlignment="1" applyProtection="1">
      <alignment horizontal="left" vertical="center" wrapText="1" indent="1"/>
      <protection/>
    </xf>
    <xf numFmtId="0" fontId="14" fillId="0" borderId="24" xfId="73" applyFont="1" applyFill="1" applyBorder="1" applyAlignment="1" applyProtection="1">
      <alignment horizontal="left" vertical="center" wrapText="1" indent="1"/>
      <protection/>
    </xf>
    <xf numFmtId="0" fontId="7" fillId="0" borderId="22" xfId="73" applyFont="1" applyFill="1" applyBorder="1" applyAlignment="1" applyProtection="1">
      <alignment horizontal="center" vertical="center" wrapText="1"/>
      <protection/>
    </xf>
    <xf numFmtId="0" fontId="7" fillId="0" borderId="23" xfId="73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23" xfId="73" applyFont="1" applyFill="1" applyBorder="1" applyAlignment="1" applyProtection="1">
      <alignment vertical="center" wrapText="1"/>
      <protection/>
    </xf>
    <xf numFmtId="0" fontId="14" fillId="0" borderId="25" xfId="73" applyFont="1" applyFill="1" applyBorder="1" applyAlignment="1" applyProtection="1">
      <alignment vertical="center" wrapText="1"/>
      <protection/>
    </xf>
    <xf numFmtId="0" fontId="14" fillId="0" borderId="22" xfId="73" applyFont="1" applyFill="1" applyBorder="1" applyAlignment="1" applyProtection="1">
      <alignment horizontal="center" vertical="center" wrapText="1"/>
      <protection/>
    </xf>
    <xf numFmtId="0" fontId="14" fillId="0" borderId="23" xfId="73" applyFont="1" applyFill="1" applyBorder="1" applyAlignment="1" applyProtection="1">
      <alignment horizontal="center" vertical="center" wrapText="1"/>
      <protection/>
    </xf>
    <xf numFmtId="0" fontId="14" fillId="0" borderId="26" xfId="73" applyFont="1" applyFill="1" applyBorder="1" applyAlignment="1" applyProtection="1">
      <alignment horizontal="center" vertical="center" wrapText="1"/>
      <protection/>
    </xf>
    <xf numFmtId="0" fontId="7" fillId="0" borderId="23" xfId="75" applyFont="1" applyFill="1" applyBorder="1" applyAlignment="1" applyProtection="1">
      <alignment horizontal="left" vertical="center" indent="1"/>
      <protection/>
    </xf>
    <xf numFmtId="0" fontId="7" fillId="0" borderId="26" xfId="73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27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0" xfId="0" applyNumberFormat="1" applyFont="1" applyFill="1" applyAlignment="1">
      <alignment vertical="center" wrapText="1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27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vertical="center" wrapText="1"/>
      <protection locked="0"/>
    </xf>
    <xf numFmtId="172" fontId="9" fillId="0" borderId="0" xfId="0" applyNumberFormat="1" applyFont="1" applyFill="1" applyAlignment="1">
      <alignment vertical="center" wrapText="1"/>
    </xf>
    <xf numFmtId="172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5" applyFont="1" applyFill="1" applyBorder="1" applyAlignment="1" applyProtection="1">
      <alignment horizontal="center" vertical="center" wrapText="1"/>
      <protection/>
    </xf>
    <xf numFmtId="0" fontId="7" fillId="0" borderId="25" xfId="75" applyFont="1" applyFill="1" applyBorder="1" applyAlignment="1" applyProtection="1">
      <alignment horizontal="center" vertical="center"/>
      <protection/>
    </xf>
    <xf numFmtId="0" fontId="7" fillId="0" borderId="30" xfId="75" applyFont="1" applyFill="1" applyBorder="1" applyAlignment="1" applyProtection="1">
      <alignment horizontal="center" vertical="center"/>
      <protection/>
    </xf>
    <xf numFmtId="0" fontId="2" fillId="0" borderId="0" xfId="75" applyFill="1" applyProtection="1">
      <alignment/>
      <protection/>
    </xf>
    <xf numFmtId="0" fontId="16" fillId="0" borderId="22" xfId="75" applyFont="1" applyFill="1" applyBorder="1" applyAlignment="1" applyProtection="1">
      <alignment horizontal="left" vertical="center" indent="1"/>
      <protection/>
    </xf>
    <xf numFmtId="0" fontId="2" fillId="0" borderId="0" xfId="75" applyFill="1" applyAlignment="1" applyProtection="1">
      <alignment vertical="center"/>
      <protection/>
    </xf>
    <xf numFmtId="0" fontId="16" fillId="0" borderId="16" xfId="75" applyFont="1" applyFill="1" applyBorder="1" applyAlignment="1" applyProtection="1">
      <alignment horizontal="left" vertical="center" indent="1"/>
      <protection/>
    </xf>
    <xf numFmtId="0" fontId="16" fillId="0" borderId="17" xfId="75" applyFont="1" applyFill="1" applyBorder="1" applyAlignment="1" applyProtection="1">
      <alignment horizontal="left" vertical="center" indent="1"/>
      <protection/>
    </xf>
    <xf numFmtId="172" fontId="16" fillId="0" borderId="11" xfId="75" applyNumberFormat="1" applyFont="1" applyFill="1" applyBorder="1" applyAlignment="1" applyProtection="1">
      <alignment vertical="center"/>
      <protection locked="0"/>
    </xf>
    <xf numFmtId="0" fontId="2" fillId="0" borderId="0" xfId="75" applyFill="1" applyAlignment="1" applyProtection="1">
      <alignment vertical="center"/>
      <protection locked="0"/>
    </xf>
    <xf numFmtId="172" fontId="14" fillId="0" borderId="23" xfId="75" applyNumberFormat="1" applyFont="1" applyFill="1" applyBorder="1" applyAlignment="1" applyProtection="1">
      <alignment vertical="center"/>
      <protection/>
    </xf>
    <xf numFmtId="172" fontId="14" fillId="0" borderId="26" xfId="75" applyNumberFormat="1" applyFont="1" applyFill="1" applyBorder="1" applyAlignment="1" applyProtection="1">
      <alignment vertical="center"/>
      <protection/>
    </xf>
    <xf numFmtId="0" fontId="16" fillId="0" borderId="18" xfId="75" applyFont="1" applyFill="1" applyBorder="1" applyAlignment="1" applyProtection="1">
      <alignment horizontal="left" vertical="center" indent="1"/>
      <protection/>
    </xf>
    <xf numFmtId="0" fontId="14" fillId="0" borderId="22" xfId="75" applyFont="1" applyFill="1" applyBorder="1" applyAlignment="1" applyProtection="1">
      <alignment horizontal="left" vertical="center" indent="1"/>
      <protection/>
    </xf>
    <xf numFmtId="172" fontId="14" fillId="0" borderId="23" xfId="75" applyNumberFormat="1" applyFont="1" applyFill="1" applyBorder="1" applyProtection="1">
      <alignment/>
      <protection/>
    </xf>
    <xf numFmtId="172" fontId="14" fillId="0" borderId="26" xfId="75" applyNumberFormat="1" applyFont="1" applyFill="1" applyBorder="1" applyProtection="1">
      <alignment/>
      <protection/>
    </xf>
    <xf numFmtId="0" fontId="2" fillId="0" borderId="0" xfId="75" applyFill="1" applyProtection="1">
      <alignment/>
      <protection locked="0"/>
    </xf>
    <xf numFmtId="0" fontId="0" fillId="0" borderId="0" xfId="75" applyFont="1" applyFill="1" applyProtection="1">
      <alignment/>
      <protection/>
    </xf>
    <xf numFmtId="0" fontId="4" fillId="0" borderId="0" xfId="75" applyFont="1" applyFill="1" applyProtection="1">
      <alignment/>
      <protection locked="0"/>
    </xf>
    <xf numFmtId="0" fontId="6" fillId="0" borderId="0" xfId="75" applyFont="1" applyFill="1" applyProtection="1">
      <alignment/>
      <protection locked="0"/>
    </xf>
    <xf numFmtId="172" fontId="7" fillId="3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73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right"/>
      <protection/>
    </xf>
    <xf numFmtId="0" fontId="16" fillId="0" borderId="32" xfId="73" applyFont="1" applyFill="1" applyBorder="1" applyAlignment="1" applyProtection="1">
      <alignment horizontal="left" vertical="center" wrapText="1" indent="1"/>
      <protection/>
    </xf>
    <xf numFmtId="0" fontId="16" fillId="0" borderId="11" xfId="73" applyFont="1" applyFill="1" applyBorder="1" applyAlignment="1" applyProtection="1">
      <alignment horizontal="left" indent="6"/>
      <protection/>
    </xf>
    <xf numFmtId="0" fontId="16" fillId="0" borderId="11" xfId="73" applyFont="1" applyFill="1" applyBorder="1" applyAlignment="1" applyProtection="1">
      <alignment horizontal="left" vertical="center" wrapText="1" indent="6"/>
      <protection/>
    </xf>
    <xf numFmtId="0" fontId="16" fillId="0" borderId="15" xfId="73" applyFont="1" applyFill="1" applyBorder="1" applyAlignment="1" applyProtection="1">
      <alignment horizontal="left" vertical="center" wrapText="1" indent="6"/>
      <protection/>
    </xf>
    <xf numFmtId="0" fontId="16" fillId="0" borderId="33" xfId="73" applyFont="1" applyFill="1" applyBorder="1" applyAlignment="1" applyProtection="1">
      <alignment horizontal="left" vertical="center" wrapText="1" indent="6"/>
      <protection/>
    </xf>
    <xf numFmtId="0" fontId="1" fillId="0" borderId="0" xfId="73" applyFont="1" applyFill="1">
      <alignment/>
      <protection/>
    </xf>
    <xf numFmtId="172" fontId="4" fillId="0" borderId="0" xfId="73" applyNumberFormat="1" applyFont="1" applyFill="1" applyBorder="1" applyAlignment="1" applyProtection="1">
      <alignment horizontal="centerContinuous" vertical="center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0" fillId="0" borderId="23" xfId="73" applyFont="1" applyFill="1" applyBorder="1" applyAlignment="1">
      <alignment horizontal="center" vertical="center"/>
      <protection/>
    </xf>
    <xf numFmtId="0" fontId="0" fillId="0" borderId="26" xfId="7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4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172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72" fontId="16" fillId="0" borderId="42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8" xfId="73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43" xfId="0" applyNumberFormat="1" applyFont="1" applyFill="1" applyBorder="1" applyAlignment="1" applyProtection="1">
      <alignment horizontal="center" vertical="center"/>
      <protection/>
    </xf>
    <xf numFmtId="172" fontId="7" fillId="0" borderId="29" xfId="0" applyNumberFormat="1" applyFont="1" applyFill="1" applyBorder="1" applyAlignment="1" applyProtection="1">
      <alignment horizontal="center" vertical="center" wrapText="1"/>
      <protection/>
    </xf>
    <xf numFmtId="172" fontId="14" fillId="0" borderId="40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44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75" applyFont="1" applyFill="1" applyBorder="1" applyAlignment="1" applyProtection="1">
      <alignment horizontal="left" vertical="center" indent="1"/>
      <protection/>
    </xf>
    <xf numFmtId="0" fontId="16" fillId="0" borderId="12" xfId="75" applyFont="1" applyFill="1" applyBorder="1" applyAlignment="1" applyProtection="1">
      <alignment horizontal="left" vertical="center" wrapText="1" indent="1"/>
      <protection/>
    </xf>
    <xf numFmtId="0" fontId="16" fillId="0" borderId="11" xfId="75" applyFont="1" applyFill="1" applyBorder="1" applyAlignment="1" applyProtection="1">
      <alignment horizontal="left" vertical="center" wrapText="1" indent="1"/>
      <protection/>
    </xf>
    <xf numFmtId="0" fontId="16" fillId="0" borderId="12" xfId="75" applyFont="1" applyFill="1" applyBorder="1" applyAlignment="1" applyProtection="1">
      <alignment horizontal="left" vertical="center" indent="1"/>
      <protection/>
    </xf>
    <xf numFmtId="0" fontId="7" fillId="0" borderId="23" xfId="75" applyFont="1" applyFill="1" applyBorder="1" applyAlignment="1" applyProtection="1">
      <alignment horizontal="left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45" xfId="0" applyFont="1" applyBorder="1" applyAlignment="1" applyProtection="1">
      <alignment horizontal="left" vertical="center" wrapText="1" indent="1"/>
      <protection/>
    </xf>
    <xf numFmtId="172" fontId="14" fillId="0" borderId="30" xfId="73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6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73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29" xfId="73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48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9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 quotePrefix="1">
      <alignment horizontal="right" vertical="center" indent="1"/>
      <protection/>
    </xf>
    <xf numFmtId="0" fontId="7" fillId="0" borderId="30" xfId="0" applyFont="1" applyFill="1" applyBorder="1" applyAlignment="1" applyProtection="1">
      <alignment horizontal="right" vertical="center" wrapText="1" indent="1"/>
      <protection/>
    </xf>
    <xf numFmtId="172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72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4" xfId="0" applyNumberFormat="1" applyFont="1" applyFill="1" applyBorder="1" applyAlignment="1" applyProtection="1">
      <alignment horizontal="right" vertical="center"/>
      <protection/>
    </xf>
    <xf numFmtId="49" fontId="7" fillId="0" borderId="5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2" fillId="0" borderId="0" xfId="73" applyFont="1" applyFill="1" applyProtection="1">
      <alignment/>
      <protection/>
    </xf>
    <xf numFmtId="0" fontId="2" fillId="0" borderId="0" xfId="73" applyFont="1" applyFill="1" applyAlignment="1" applyProtection="1">
      <alignment horizontal="right" vertical="center" indent="1"/>
      <protection/>
    </xf>
    <xf numFmtId="172" fontId="0" fillId="0" borderId="44" xfId="0" applyNumberFormat="1" applyFill="1" applyBorder="1" applyAlignment="1" applyProtection="1">
      <alignment horizontal="left" vertical="center" wrapText="1" indent="1"/>
      <protection/>
    </xf>
    <xf numFmtId="172" fontId="16" fillId="0" borderId="46" xfId="7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14" fillId="0" borderId="24" xfId="73" applyFont="1" applyFill="1" applyBorder="1" applyAlignment="1" applyProtection="1">
      <alignment horizontal="center" vertical="center" wrapText="1"/>
      <protection/>
    </xf>
    <xf numFmtId="0" fontId="14" fillId="0" borderId="25" xfId="73" applyFont="1" applyFill="1" applyBorder="1" applyAlignment="1" applyProtection="1">
      <alignment horizontal="center" vertical="center" wrapText="1"/>
      <protection/>
    </xf>
    <xf numFmtId="0" fontId="14" fillId="0" borderId="30" xfId="73" applyFont="1" applyFill="1" applyBorder="1" applyAlignment="1" applyProtection="1">
      <alignment horizontal="center" vertical="center" wrapText="1"/>
      <protection/>
    </xf>
    <xf numFmtId="172" fontId="16" fillId="0" borderId="28" xfId="73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73" applyFont="1" applyFill="1" applyBorder="1" applyAlignment="1" applyProtection="1">
      <alignment horizontal="left" vertical="center" wrapText="1" indent="6"/>
      <protection/>
    </xf>
    <xf numFmtId="0" fontId="2" fillId="0" borderId="0" xfId="73" applyFill="1" applyProtection="1">
      <alignment/>
      <protection/>
    </xf>
    <xf numFmtId="0" fontId="16" fillId="0" borderId="0" xfId="73" applyFont="1" applyFill="1" applyProtection="1">
      <alignment/>
      <protection/>
    </xf>
    <xf numFmtId="0" fontId="0" fillId="0" borderId="0" xfId="73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2" xfId="0" applyFont="1" applyBorder="1" applyAlignment="1" applyProtection="1">
      <alignment wrapText="1"/>
      <protection/>
    </xf>
    <xf numFmtId="0" fontId="2" fillId="0" borderId="0" xfId="73" applyFill="1" applyAlignment="1" applyProtection="1">
      <alignment/>
      <protection/>
    </xf>
    <xf numFmtId="172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73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73" applyNumberFormat="1" applyFont="1" applyFill="1" applyBorder="1" applyAlignment="1" applyProtection="1">
      <alignment horizontal="center" vertical="center" wrapText="1"/>
      <protection/>
    </xf>
    <xf numFmtId="49" fontId="16" fillId="0" borderId="17" xfId="73" applyNumberFormat="1" applyFont="1" applyFill="1" applyBorder="1" applyAlignment="1" applyProtection="1">
      <alignment horizontal="center" vertical="center" wrapText="1"/>
      <protection/>
    </xf>
    <xf numFmtId="49" fontId="16" fillId="0" borderId="19" xfId="73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45" xfId="0" applyFont="1" applyBorder="1" applyAlignment="1" applyProtection="1">
      <alignment horizontal="center" wrapText="1"/>
      <protection/>
    </xf>
    <xf numFmtId="49" fontId="16" fillId="0" borderId="20" xfId="73" applyNumberFormat="1" applyFont="1" applyFill="1" applyBorder="1" applyAlignment="1" applyProtection="1">
      <alignment horizontal="center" vertical="center" wrapText="1"/>
      <protection/>
    </xf>
    <xf numFmtId="49" fontId="16" fillId="0" borderId="16" xfId="73" applyNumberFormat="1" applyFont="1" applyFill="1" applyBorder="1" applyAlignment="1" applyProtection="1">
      <alignment horizontal="center" vertical="center" wrapText="1"/>
      <protection/>
    </xf>
    <xf numFmtId="49" fontId="16" fillId="0" borderId="21" xfId="73" applyNumberFormat="1" applyFont="1" applyFill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73" applyFont="1" applyFill="1" applyBorder="1" applyAlignment="1" applyProtection="1">
      <alignment horizontal="left" vertical="center" wrapText="1" indent="1"/>
      <protection/>
    </xf>
    <xf numFmtId="0" fontId="16" fillId="0" borderId="11" xfId="73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6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73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75" applyFont="1" applyFill="1" applyBorder="1" applyAlignment="1" applyProtection="1">
      <alignment horizontal="left" vertical="center" wrapText="1" indent="1"/>
      <protection/>
    </xf>
    <xf numFmtId="172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72" applyFont="1">
      <alignment/>
      <protection/>
    </xf>
    <xf numFmtId="174" fontId="8" fillId="0" borderId="0" xfId="46" applyNumberFormat="1" applyFont="1" applyAlignment="1">
      <alignment horizontal="center"/>
    </xf>
    <xf numFmtId="0" fontId="28" fillId="0" borderId="0" xfId="72">
      <alignment/>
      <protection/>
    </xf>
    <xf numFmtId="0" fontId="8" fillId="0" borderId="0" xfId="72" applyFont="1" applyAlignment="1">
      <alignment horizontal="center"/>
      <protection/>
    </xf>
    <xf numFmtId="174" fontId="0" fillId="0" borderId="0" xfId="46" applyNumberFormat="1" applyFont="1" applyAlignment="1">
      <alignment/>
    </xf>
    <xf numFmtId="174" fontId="2" fillId="0" borderId="0" xfId="46" applyNumberFormat="1" applyFont="1" applyAlignment="1">
      <alignment/>
    </xf>
    <xf numFmtId="0" fontId="30" fillId="0" borderId="0" xfId="72" applyFont="1" applyAlignment="1">
      <alignment horizontal="centerContinuous"/>
      <protection/>
    </xf>
    <xf numFmtId="174" fontId="30" fillId="0" borderId="0" xfId="46" applyNumberFormat="1" applyFont="1" applyAlignment="1">
      <alignment horizontal="centerContinuous"/>
    </xf>
    <xf numFmtId="174" fontId="8" fillId="0" borderId="0" xfId="46" applyNumberFormat="1" applyFont="1" applyAlignment="1">
      <alignment horizontal="right"/>
    </xf>
    <xf numFmtId="0" fontId="6" fillId="0" borderId="55" xfId="72" applyFont="1" applyBorder="1" applyAlignment="1">
      <alignment vertical="center"/>
      <protection/>
    </xf>
    <xf numFmtId="0" fontId="2" fillId="0" borderId="56" xfId="72" applyFont="1" applyBorder="1" applyAlignment="1">
      <alignment vertical="center"/>
      <protection/>
    </xf>
    <xf numFmtId="0" fontId="2" fillId="0" borderId="57" xfId="72" applyFont="1" applyBorder="1" applyAlignment="1">
      <alignment vertical="center"/>
      <protection/>
    </xf>
    <xf numFmtId="174" fontId="6" fillId="0" borderId="48" xfId="46" applyNumberFormat="1" applyFont="1" applyBorder="1" applyAlignment="1">
      <alignment horizontal="center" vertical="center"/>
    </xf>
    <xf numFmtId="0" fontId="28" fillId="0" borderId="0" xfId="72" applyAlignment="1">
      <alignment vertical="center"/>
      <protection/>
    </xf>
    <xf numFmtId="174" fontId="6" fillId="0" borderId="54" xfId="46" applyNumberFormat="1" applyFont="1" applyBorder="1" applyAlignment="1">
      <alignment/>
    </xf>
    <xf numFmtId="174" fontId="6" fillId="0" borderId="58" xfId="46" applyNumberFormat="1" applyFont="1" applyBorder="1" applyAlignment="1">
      <alignment/>
    </xf>
    <xf numFmtId="174" fontId="6" fillId="0" borderId="59" xfId="46" applyNumberFormat="1" applyFont="1" applyBorder="1" applyAlignment="1">
      <alignment/>
    </xf>
    <xf numFmtId="0" fontId="28" fillId="0" borderId="0" xfId="72" applyFill="1" applyBorder="1">
      <alignment/>
      <protection/>
    </xf>
    <xf numFmtId="0" fontId="28" fillId="0" borderId="0" xfId="72" applyBorder="1">
      <alignment/>
      <protection/>
    </xf>
    <xf numFmtId="174" fontId="6" fillId="0" borderId="60" xfId="46" applyNumberFormat="1" applyFont="1" applyBorder="1" applyAlignment="1">
      <alignment/>
    </xf>
    <xf numFmtId="174" fontId="2" fillId="0" borderId="61" xfId="46" applyNumberFormat="1" applyFont="1" applyBorder="1" applyAlignment="1" quotePrefix="1">
      <alignment/>
    </xf>
    <xf numFmtId="174" fontId="2" fillId="0" borderId="42" xfId="46" applyNumberFormat="1" applyFont="1" applyBorder="1" applyAlignment="1" quotePrefix="1">
      <alignment/>
    </xf>
    <xf numFmtId="174" fontId="2" fillId="0" borderId="42" xfId="46" applyNumberFormat="1" applyFont="1" applyBorder="1" applyAlignment="1">
      <alignment/>
    </xf>
    <xf numFmtId="0" fontId="0" fillId="0" borderId="60" xfId="72" applyFont="1" applyBorder="1" quotePrefix="1">
      <alignment/>
      <protection/>
    </xf>
    <xf numFmtId="0" fontId="0" fillId="0" borderId="61" xfId="72" applyFont="1" applyBorder="1">
      <alignment/>
      <protection/>
    </xf>
    <xf numFmtId="0" fontId="0" fillId="0" borderId="42" xfId="72" applyFont="1" applyBorder="1">
      <alignment/>
      <protection/>
    </xf>
    <xf numFmtId="174" fontId="0" fillId="0" borderId="42" xfId="46" applyNumberFormat="1" applyFont="1" applyBorder="1" applyAlignment="1">
      <alignment/>
    </xf>
    <xf numFmtId="0" fontId="0" fillId="0" borderId="0" xfId="72" applyFont="1" applyBorder="1">
      <alignment/>
      <protection/>
    </xf>
    <xf numFmtId="174" fontId="0" fillId="0" borderId="0" xfId="46" applyNumberFormat="1" applyFont="1" applyBorder="1" applyAlignment="1">
      <alignment/>
    </xf>
    <xf numFmtId="174" fontId="0" fillId="0" borderId="0" xfId="46" applyNumberFormat="1" applyFont="1" applyBorder="1" applyAlignment="1">
      <alignment/>
    </xf>
    <xf numFmtId="0" fontId="0" fillId="0" borderId="60" xfId="72" applyFont="1" applyBorder="1">
      <alignment/>
      <protection/>
    </xf>
    <xf numFmtId="174" fontId="31" fillId="0" borderId="0" xfId="46" applyNumberFormat="1" applyFont="1" applyBorder="1" applyAlignment="1">
      <alignment/>
    </xf>
    <xf numFmtId="0" fontId="0" fillId="0" borderId="60" xfId="72" applyFont="1" applyBorder="1">
      <alignment/>
      <protection/>
    </xf>
    <xf numFmtId="0" fontId="0" fillId="0" borderId="61" xfId="72" applyFont="1" applyBorder="1">
      <alignment/>
      <protection/>
    </xf>
    <xf numFmtId="0" fontId="31" fillId="0" borderId="61" xfId="72" applyFont="1" applyBorder="1">
      <alignment/>
      <protection/>
    </xf>
    <xf numFmtId="0" fontId="31" fillId="0" borderId="42" xfId="72" applyFont="1" applyBorder="1">
      <alignment/>
      <protection/>
    </xf>
    <xf numFmtId="174" fontId="6" fillId="0" borderId="61" xfId="46" applyNumberFormat="1" applyFont="1" applyBorder="1" applyAlignment="1">
      <alignment/>
    </xf>
    <xf numFmtId="174" fontId="6" fillId="0" borderId="42" xfId="46" applyNumberFormat="1" applyFont="1" applyBorder="1" applyAlignment="1">
      <alignment/>
    </xf>
    <xf numFmtId="174" fontId="3" fillId="0" borderId="42" xfId="46" applyNumberFormat="1" applyFont="1" applyBorder="1" applyAlignment="1">
      <alignment/>
    </xf>
    <xf numFmtId="174" fontId="6" fillId="0" borderId="35" xfId="46" applyNumberFormat="1" applyFont="1" applyBorder="1" applyAlignment="1">
      <alignment/>
    </xf>
    <xf numFmtId="174" fontId="6" fillId="0" borderId="62" xfId="46" applyNumberFormat="1" applyFont="1" applyBorder="1" applyAlignment="1">
      <alignment/>
    </xf>
    <xf numFmtId="174" fontId="6" fillId="0" borderId="63" xfId="46" applyNumberFormat="1" applyFont="1" applyBorder="1" applyAlignment="1">
      <alignment/>
    </xf>
    <xf numFmtId="174" fontId="3" fillId="0" borderId="63" xfId="46" applyNumberFormat="1" applyFont="1" applyBorder="1" applyAlignment="1">
      <alignment/>
    </xf>
    <xf numFmtId="0" fontId="0" fillId="0" borderId="0" xfId="77" applyFont="1">
      <alignment/>
      <protection/>
    </xf>
    <xf numFmtId="0" fontId="33" fillId="0" borderId="0" xfId="74" applyFont="1" applyAlignment="1">
      <alignment horizontal="centerContinuous"/>
      <protection/>
    </xf>
    <xf numFmtId="0" fontId="28" fillId="0" borderId="0" xfId="77">
      <alignment/>
      <protection/>
    </xf>
    <xf numFmtId="0" fontId="33" fillId="0" borderId="0" xfId="77" applyFont="1" applyAlignment="1">
      <alignment horizontal="centerContinuous"/>
      <protection/>
    </xf>
    <xf numFmtId="0" fontId="21" fillId="0" borderId="0" xfId="77" applyFont="1" applyAlignment="1">
      <alignment horizontal="centerContinuous"/>
      <protection/>
    </xf>
    <xf numFmtId="0" fontId="21" fillId="0" borderId="0" xfId="74" applyFont="1" applyFill="1" applyAlignment="1">
      <alignment horizontal="centerContinuous"/>
      <protection/>
    </xf>
    <xf numFmtId="0" fontId="30" fillId="0" borderId="0" xfId="77" applyFont="1" applyAlignment="1">
      <alignment horizontal="left"/>
      <protection/>
    </xf>
    <xf numFmtId="0" fontId="30" fillId="0" borderId="0" xfId="77" applyFont="1" applyAlignment="1">
      <alignment horizontal="centerContinuous"/>
      <protection/>
    </xf>
    <xf numFmtId="0" fontId="0" fillId="0" borderId="0" xfId="77" applyFont="1" applyBorder="1">
      <alignment/>
      <protection/>
    </xf>
    <xf numFmtId="0" fontId="16" fillId="0" borderId="64" xfId="77" applyFont="1" applyBorder="1">
      <alignment/>
      <protection/>
    </xf>
    <xf numFmtId="0" fontId="14" fillId="0" borderId="0" xfId="77" applyFont="1" applyBorder="1" applyAlignment="1">
      <alignment horizontal="left"/>
      <protection/>
    </xf>
    <xf numFmtId="0" fontId="28" fillId="0" borderId="0" xfId="77" applyBorder="1" applyAlignment="1">
      <alignment horizontal="left"/>
      <protection/>
    </xf>
    <xf numFmtId="0" fontId="14" fillId="0" borderId="0" xfId="77" applyFont="1" applyBorder="1" applyAlignment="1">
      <alignment horizontal="center"/>
      <protection/>
    </xf>
    <xf numFmtId="0" fontId="14" fillId="0" borderId="44" xfId="77" applyFont="1" applyBorder="1" applyAlignment="1">
      <alignment horizontal="center"/>
      <protection/>
    </xf>
    <xf numFmtId="0" fontId="14" fillId="0" borderId="65" xfId="77" applyFont="1" applyBorder="1" applyAlignment="1">
      <alignment horizontal="center"/>
      <protection/>
    </xf>
    <xf numFmtId="49" fontId="16" fillId="0" borderId="66" xfId="76" applyNumberFormat="1" applyFont="1" applyBorder="1">
      <alignment/>
      <protection/>
    </xf>
    <xf numFmtId="3" fontId="16" fillId="0" borderId="0" xfId="77" applyNumberFormat="1" applyFont="1" applyBorder="1">
      <alignment/>
      <protection/>
    </xf>
    <xf numFmtId="0" fontId="28" fillId="0" borderId="0" xfId="77" applyFont="1">
      <alignment/>
      <protection/>
    </xf>
    <xf numFmtId="0" fontId="16" fillId="0" borderId="60" xfId="76" applyFont="1" applyBorder="1" quotePrefix="1">
      <alignment/>
      <protection/>
    </xf>
    <xf numFmtId="3" fontId="16" fillId="0" borderId="0" xfId="46" applyNumberFormat="1" applyFont="1" applyBorder="1" applyAlignment="1" quotePrefix="1">
      <alignment horizontal="right"/>
    </xf>
    <xf numFmtId="49" fontId="16" fillId="0" borderId="60" xfId="76" applyNumberFormat="1" applyFont="1" applyBorder="1">
      <alignment/>
      <protection/>
    </xf>
    <xf numFmtId="0" fontId="16" fillId="0" borderId="60" xfId="76" applyFont="1" applyBorder="1" quotePrefix="1">
      <alignment/>
      <protection/>
    </xf>
    <xf numFmtId="185" fontId="16" fillId="0" borderId="46" xfId="77" applyNumberFormat="1" applyFont="1" applyBorder="1">
      <alignment/>
      <protection/>
    </xf>
    <xf numFmtId="0" fontId="16" fillId="0" borderId="0" xfId="77" applyFont="1" applyBorder="1">
      <alignment/>
      <protection/>
    </xf>
    <xf numFmtId="0" fontId="3" fillId="0" borderId="40" xfId="77" applyFont="1" applyBorder="1">
      <alignment/>
      <protection/>
    </xf>
    <xf numFmtId="3" fontId="14" fillId="0" borderId="0" xfId="77" applyNumberFormat="1" applyFont="1" applyBorder="1">
      <alignment/>
      <protection/>
    </xf>
    <xf numFmtId="0" fontId="3" fillId="0" borderId="35" xfId="77" applyFont="1" applyBorder="1">
      <alignment/>
      <protection/>
    </xf>
    <xf numFmtId="185" fontId="16" fillId="0" borderId="27" xfId="77" applyNumberFormat="1" applyFont="1" applyFill="1" applyBorder="1">
      <alignment/>
      <protection/>
    </xf>
    <xf numFmtId="172" fontId="3" fillId="0" borderId="0" xfId="73" applyNumberFormat="1" applyFont="1" applyFill="1" applyBorder="1" applyAlignment="1" applyProtection="1">
      <alignment horizontal="centerContinuous" vertical="center"/>
      <protection/>
    </xf>
    <xf numFmtId="172" fontId="4" fillId="0" borderId="0" xfId="0" applyNumberFormat="1" applyFont="1" applyFill="1" applyAlignment="1">
      <alignment vertical="center" wrapText="1"/>
    </xf>
    <xf numFmtId="172" fontId="5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73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35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172" fontId="3" fillId="0" borderId="0" xfId="0" applyNumberFormat="1" applyFont="1" applyFill="1" applyAlignment="1">
      <alignment horizontal="left" vertical="center" wrapText="1"/>
    </xf>
    <xf numFmtId="185" fontId="16" fillId="0" borderId="46" xfId="77" applyNumberFormat="1" applyFont="1" applyFill="1" applyBorder="1">
      <alignment/>
      <protection/>
    </xf>
    <xf numFmtId="185" fontId="16" fillId="0" borderId="28" xfId="77" applyNumberFormat="1" applyFont="1" applyFill="1" applyBorder="1">
      <alignment/>
      <protection/>
    </xf>
    <xf numFmtId="0" fontId="28" fillId="0" borderId="0" xfId="71">
      <alignment/>
      <protection/>
    </xf>
    <xf numFmtId="0" fontId="16" fillId="0" borderId="0" xfId="71" applyFont="1">
      <alignment/>
      <protection/>
    </xf>
    <xf numFmtId="0" fontId="14" fillId="0" borderId="0" xfId="71" applyFont="1">
      <alignment/>
      <protection/>
    </xf>
    <xf numFmtId="0" fontId="34" fillId="0" borderId="0" xfId="71" applyFont="1">
      <alignment/>
      <protection/>
    </xf>
    <xf numFmtId="0" fontId="0" fillId="0" borderId="0" xfId="71" applyFont="1">
      <alignment/>
      <protection/>
    </xf>
    <xf numFmtId="0" fontId="15" fillId="0" borderId="0" xfId="71" applyFont="1" applyAlignment="1">
      <alignment horizontal="right"/>
      <protection/>
    </xf>
    <xf numFmtId="49" fontId="30" fillId="0" borderId="0" xfId="71" applyNumberFormat="1" applyFont="1" applyAlignment="1">
      <alignment horizontal="centerContinuous"/>
      <protection/>
    </xf>
    <xf numFmtId="0" fontId="16" fillId="0" borderId="0" xfId="71" applyFont="1" applyAlignment="1">
      <alignment horizontal="centerContinuous"/>
      <protection/>
    </xf>
    <xf numFmtId="0" fontId="14" fillId="0" borderId="0" xfId="71" applyFont="1" applyAlignment="1">
      <alignment horizontal="centerContinuous"/>
      <protection/>
    </xf>
    <xf numFmtId="0" fontId="0" fillId="0" borderId="0" xfId="71" applyFont="1" applyAlignment="1">
      <alignment horizontal="centerContinuous"/>
      <protection/>
    </xf>
    <xf numFmtId="0" fontId="3" fillId="0" borderId="0" xfId="71" applyFont="1" applyAlignment="1">
      <alignment horizontal="centerContinuous"/>
      <protection/>
    </xf>
    <xf numFmtId="0" fontId="30" fillId="0" borderId="0" xfId="71" applyFont="1" applyAlignment="1">
      <alignment horizontal="centerContinuous"/>
      <protection/>
    </xf>
    <xf numFmtId="0" fontId="36" fillId="0" borderId="0" xfId="71" applyFont="1" applyAlignment="1">
      <alignment horizontal="centerContinuous"/>
      <protection/>
    </xf>
    <xf numFmtId="0" fontId="6" fillId="0" borderId="55" xfId="71" applyFont="1" applyBorder="1">
      <alignment/>
      <protection/>
    </xf>
    <xf numFmtId="0" fontId="6" fillId="0" borderId="56" xfId="71" applyFont="1" applyBorder="1" applyAlignment="1">
      <alignment horizontal="center"/>
      <protection/>
    </xf>
    <xf numFmtId="0" fontId="15" fillId="0" borderId="51" xfId="71" applyFont="1" applyBorder="1" applyAlignment="1">
      <alignment horizontal="center"/>
      <protection/>
    </xf>
    <xf numFmtId="0" fontId="7" fillId="0" borderId="19" xfId="71" applyFont="1" applyBorder="1" applyAlignment="1">
      <alignment horizontal="center"/>
      <protection/>
    </xf>
    <xf numFmtId="0" fontId="7" fillId="0" borderId="15" xfId="71" applyFont="1" applyBorder="1" applyAlignment="1">
      <alignment horizontal="center"/>
      <protection/>
    </xf>
    <xf numFmtId="0" fontId="7" fillId="0" borderId="46" xfId="71" applyFont="1" applyBorder="1" applyAlignment="1">
      <alignment horizontal="center"/>
      <protection/>
    </xf>
    <xf numFmtId="0" fontId="7" fillId="0" borderId="44" xfId="71" applyFont="1" applyBorder="1" applyAlignment="1">
      <alignment horizontal="center"/>
      <protection/>
    </xf>
    <xf numFmtId="0" fontId="13" fillId="0" borderId="67" xfId="71" applyFont="1" applyBorder="1">
      <alignment/>
      <protection/>
    </xf>
    <xf numFmtId="0" fontId="7" fillId="0" borderId="16" xfId="71" applyFont="1" applyBorder="1" applyAlignment="1">
      <alignment horizontal="center"/>
      <protection/>
    </xf>
    <xf numFmtId="0" fontId="7" fillId="0" borderId="10" xfId="71" applyFont="1" applyBorder="1" applyAlignment="1">
      <alignment horizontal="center"/>
      <protection/>
    </xf>
    <xf numFmtId="0" fontId="7" fillId="0" borderId="47" xfId="71" applyFont="1" applyBorder="1" applyAlignment="1">
      <alignment horizontal="center"/>
      <protection/>
    </xf>
    <xf numFmtId="0" fontId="7" fillId="0" borderId="0" xfId="71" applyFont="1" applyBorder="1" applyAlignment="1">
      <alignment horizontal="center"/>
      <protection/>
    </xf>
    <xf numFmtId="3" fontId="13" fillId="0" borderId="13" xfId="71" applyNumberFormat="1" applyFont="1" applyBorder="1" applyAlignment="1">
      <alignment horizontal="center"/>
      <protection/>
    </xf>
    <xf numFmtId="3" fontId="7" fillId="0" borderId="34" xfId="71" applyNumberFormat="1" applyFont="1" applyBorder="1">
      <alignment/>
      <protection/>
    </xf>
    <xf numFmtId="3" fontId="7" fillId="0" borderId="56" xfId="71" applyNumberFormat="1" applyFont="1" applyBorder="1">
      <alignment/>
      <protection/>
    </xf>
    <xf numFmtId="3" fontId="13" fillId="0" borderId="13" xfId="71" applyNumberFormat="1" applyFont="1" applyBorder="1" applyAlignment="1">
      <alignment/>
      <protection/>
    </xf>
    <xf numFmtId="0" fontId="29" fillId="0" borderId="0" xfId="71" applyFont="1">
      <alignment/>
      <protection/>
    </xf>
    <xf numFmtId="3" fontId="13" fillId="0" borderId="11" xfId="71" applyNumberFormat="1" applyFont="1" applyBorder="1">
      <alignment/>
      <protection/>
    </xf>
    <xf numFmtId="3" fontId="7" fillId="0" borderId="27" xfId="71" applyNumberFormat="1" applyFont="1" applyBorder="1">
      <alignment/>
      <protection/>
    </xf>
    <xf numFmtId="3" fontId="7" fillId="0" borderId="44" xfId="71" applyNumberFormat="1" applyFont="1" applyBorder="1">
      <alignment/>
      <protection/>
    </xf>
    <xf numFmtId="3" fontId="13" fillId="0" borderId="17" xfId="71" applyNumberFormat="1" applyFont="1" applyBorder="1">
      <alignment/>
      <protection/>
    </xf>
    <xf numFmtId="3" fontId="7" fillId="0" borderId="17" xfId="71" applyNumberFormat="1" applyFont="1" applyBorder="1">
      <alignment/>
      <protection/>
    </xf>
    <xf numFmtId="3" fontId="13" fillId="0" borderId="11" xfId="71" applyNumberFormat="1" applyFont="1" applyBorder="1">
      <alignment/>
      <protection/>
    </xf>
    <xf numFmtId="3" fontId="7" fillId="0" borderId="27" xfId="71" applyNumberFormat="1" applyFont="1" applyBorder="1">
      <alignment/>
      <protection/>
    </xf>
    <xf numFmtId="3" fontId="15" fillId="0" borderId="44" xfId="71" applyNumberFormat="1" applyFont="1" applyBorder="1">
      <alignment/>
      <protection/>
    </xf>
    <xf numFmtId="3" fontId="38" fillId="0" borderId="11" xfId="71" applyNumberFormat="1" applyFont="1" applyBorder="1">
      <alignment/>
      <protection/>
    </xf>
    <xf numFmtId="3" fontId="7" fillId="0" borderId="11" xfId="71" applyNumberFormat="1" applyFont="1" applyBorder="1">
      <alignment/>
      <protection/>
    </xf>
    <xf numFmtId="3" fontId="15" fillId="0" borderId="27" xfId="71" applyNumberFormat="1" applyFont="1" applyBorder="1">
      <alignment/>
      <protection/>
    </xf>
    <xf numFmtId="3" fontId="38" fillId="0" borderId="0" xfId="71" applyNumberFormat="1" applyFont="1" applyBorder="1">
      <alignment/>
      <protection/>
    </xf>
    <xf numFmtId="3" fontId="15" fillId="0" borderId="0" xfId="71" applyNumberFormat="1" applyFont="1" applyBorder="1">
      <alignment/>
      <protection/>
    </xf>
    <xf numFmtId="3" fontId="38" fillId="0" borderId="17" xfId="71" applyNumberFormat="1" applyFont="1" applyBorder="1">
      <alignment/>
      <protection/>
    </xf>
    <xf numFmtId="3" fontId="15" fillId="0" borderId="27" xfId="71" applyNumberFormat="1" applyFont="1" applyBorder="1">
      <alignment/>
      <protection/>
    </xf>
    <xf numFmtId="3" fontId="13" fillId="0" borderId="19" xfId="71" applyNumberFormat="1" applyFont="1" applyBorder="1">
      <alignment/>
      <protection/>
    </xf>
    <xf numFmtId="3" fontId="13" fillId="0" borderId="15" xfId="71" applyNumberFormat="1" applyFont="1" applyBorder="1">
      <alignment/>
      <protection/>
    </xf>
    <xf numFmtId="3" fontId="7" fillId="0" borderId="46" xfId="71" applyNumberFormat="1" applyFont="1" applyBorder="1">
      <alignment/>
      <protection/>
    </xf>
    <xf numFmtId="3" fontId="7" fillId="0" borderId="20" xfId="71" applyNumberFormat="1" applyFont="1" applyBorder="1">
      <alignment/>
      <protection/>
    </xf>
    <xf numFmtId="3" fontId="7" fillId="0" borderId="68" xfId="71" applyNumberFormat="1" applyFont="1" applyBorder="1">
      <alignment/>
      <protection/>
    </xf>
    <xf numFmtId="3" fontId="7" fillId="0" borderId="0" xfId="71" applyNumberFormat="1" applyFont="1" applyBorder="1">
      <alignment/>
      <protection/>
    </xf>
    <xf numFmtId="3" fontId="13" fillId="0" borderId="27" xfId="71" applyNumberFormat="1" applyFont="1" applyBorder="1">
      <alignment/>
      <protection/>
    </xf>
    <xf numFmtId="0" fontId="7" fillId="0" borderId="69" xfId="71" applyFont="1" applyBorder="1">
      <alignment/>
      <protection/>
    </xf>
    <xf numFmtId="3" fontId="7" fillId="0" borderId="70" xfId="71" applyNumberFormat="1" applyFont="1" applyBorder="1">
      <alignment/>
      <protection/>
    </xf>
    <xf numFmtId="3" fontId="7" fillId="0" borderId="33" xfId="71" applyNumberFormat="1" applyFont="1" applyBorder="1">
      <alignment/>
      <protection/>
    </xf>
    <xf numFmtId="3" fontId="7" fillId="0" borderId="69" xfId="71" applyNumberFormat="1" applyFont="1" applyBorder="1">
      <alignment/>
      <protection/>
    </xf>
    <xf numFmtId="3" fontId="7" fillId="0" borderId="29" xfId="71" applyNumberFormat="1" applyFont="1" applyBorder="1">
      <alignment/>
      <protection/>
    </xf>
    <xf numFmtId="0" fontId="38" fillId="0" borderId="0" xfId="71" applyFont="1" applyBorder="1" quotePrefix="1">
      <alignment/>
      <protection/>
    </xf>
    <xf numFmtId="3" fontId="13" fillId="0" borderId="0" xfId="71" applyNumberFormat="1" applyFont="1" applyBorder="1">
      <alignment/>
      <protection/>
    </xf>
    <xf numFmtId="3" fontId="13" fillId="0" borderId="0" xfId="71" applyNumberFormat="1" applyFont="1" applyFill="1" applyBorder="1">
      <alignment/>
      <protection/>
    </xf>
    <xf numFmtId="3" fontId="38" fillId="0" borderId="0" xfId="71" applyNumberFormat="1" applyFont="1" applyFill="1" applyBorder="1">
      <alignment/>
      <protection/>
    </xf>
    <xf numFmtId="3" fontId="39" fillId="0" borderId="0" xfId="71" applyNumberFormat="1" applyFont="1" applyBorder="1">
      <alignment/>
      <protection/>
    </xf>
    <xf numFmtId="0" fontId="3" fillId="0" borderId="48" xfId="77" applyFont="1" applyBorder="1">
      <alignment/>
      <protection/>
    </xf>
    <xf numFmtId="0" fontId="16" fillId="0" borderId="51" xfId="77" applyFont="1" applyBorder="1">
      <alignment/>
      <protection/>
    </xf>
    <xf numFmtId="0" fontId="16" fillId="0" borderId="36" xfId="77" applyFont="1" applyBorder="1">
      <alignment/>
      <protection/>
    </xf>
    <xf numFmtId="0" fontId="24" fillId="0" borderId="40" xfId="77" applyFont="1" applyBorder="1">
      <alignment/>
      <protection/>
    </xf>
    <xf numFmtId="14" fontId="14" fillId="0" borderId="71" xfId="77" applyNumberFormat="1" applyFont="1" applyBorder="1" applyAlignment="1">
      <alignment horizontal="center"/>
      <protection/>
    </xf>
    <xf numFmtId="3" fontId="38" fillId="0" borderId="15" xfId="71" applyNumberFormat="1" applyFont="1" applyBorder="1">
      <alignment/>
      <protection/>
    </xf>
    <xf numFmtId="3" fontId="15" fillId="0" borderId="72" xfId="71" applyNumberFormat="1" applyFont="1" applyBorder="1">
      <alignment/>
      <protection/>
    </xf>
    <xf numFmtId="3" fontId="7" fillId="0" borderId="73" xfId="71" applyNumberFormat="1" applyFont="1" applyBorder="1">
      <alignment/>
      <protection/>
    </xf>
    <xf numFmtId="3" fontId="40" fillId="0" borderId="11" xfId="0" applyNumberFormat="1" applyFont="1" applyFill="1" applyBorder="1" applyAlignment="1" applyProtection="1">
      <alignment vertical="center"/>
      <protection locked="0"/>
    </xf>
    <xf numFmtId="3" fontId="40" fillId="0" borderId="27" xfId="0" applyNumberFormat="1" applyFont="1" applyFill="1" applyBorder="1" applyAlignment="1" applyProtection="1">
      <alignment vertical="center"/>
      <protection/>
    </xf>
    <xf numFmtId="0" fontId="42" fillId="0" borderId="0" xfId="77" applyFont="1">
      <alignment/>
      <protection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15" xfId="71" applyNumberFormat="1" applyFont="1" applyFill="1" applyBorder="1">
      <alignment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0" xfId="71" applyFont="1" applyBorder="1">
      <alignment/>
      <protection/>
    </xf>
    <xf numFmtId="172" fontId="43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1" xfId="75" applyNumberFormat="1" applyFont="1" applyFill="1" applyBorder="1" applyAlignment="1" applyProtection="1">
      <alignment vertical="center"/>
      <protection locked="0"/>
    </xf>
    <xf numFmtId="172" fontId="16" fillId="0" borderId="12" xfId="75" applyNumberFormat="1" applyFont="1" applyFill="1" applyBorder="1" applyAlignment="1" applyProtection="1">
      <alignment vertical="center"/>
      <protection locked="0"/>
    </xf>
    <xf numFmtId="172" fontId="43" fillId="0" borderId="17" xfId="0" applyNumberFormat="1" applyFont="1" applyFill="1" applyBorder="1" applyAlignment="1" applyProtection="1">
      <alignment vertical="center" wrapText="1"/>
      <protection locked="0"/>
    </xf>
    <xf numFmtId="172" fontId="13" fillId="0" borderId="17" xfId="0" applyNumberFormat="1" applyFont="1" applyFill="1" applyBorder="1" applyAlignment="1" applyProtection="1">
      <alignment vertical="center" wrapText="1"/>
      <protection locked="0"/>
    </xf>
    <xf numFmtId="172" fontId="37" fillId="0" borderId="15" xfId="0" applyNumberFormat="1" applyFont="1" applyFill="1" applyBorder="1" applyAlignment="1" applyProtection="1">
      <alignment vertical="center" wrapText="1"/>
      <protection locked="0"/>
    </xf>
    <xf numFmtId="49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48" xfId="77" applyNumberFormat="1" applyFont="1" applyBorder="1">
      <alignment/>
      <protection/>
    </xf>
    <xf numFmtId="2" fontId="14" fillId="0" borderId="29" xfId="77" applyNumberFormat="1" applyFont="1" applyBorder="1">
      <alignment/>
      <protection/>
    </xf>
    <xf numFmtId="2" fontId="20" fillId="0" borderId="48" xfId="77" applyNumberFormat="1" applyFont="1" applyBorder="1">
      <alignment/>
      <protection/>
    </xf>
    <xf numFmtId="0" fontId="19" fillId="0" borderId="11" xfId="0" applyFont="1" applyBorder="1" applyAlignment="1" applyProtection="1" quotePrefix="1">
      <alignment horizontal="left" wrapText="1" indent="1"/>
      <protection/>
    </xf>
    <xf numFmtId="0" fontId="14" fillId="0" borderId="22" xfId="73" applyFont="1" applyFill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20" fillId="0" borderId="45" xfId="0" applyFont="1" applyBorder="1" applyAlignment="1" applyProtection="1">
      <alignment vertical="center" wrapText="1"/>
      <protection/>
    </xf>
    <xf numFmtId="0" fontId="16" fillId="0" borderId="33" xfId="73" applyFont="1" applyFill="1" applyBorder="1" applyAlignment="1" applyProtection="1">
      <alignment horizontal="left" vertical="center" wrapText="1" indent="7"/>
      <protection/>
    </xf>
    <xf numFmtId="0" fontId="14" fillId="0" borderId="45" xfId="73" applyFont="1" applyFill="1" applyBorder="1" applyAlignment="1" applyProtection="1">
      <alignment horizontal="left" vertical="center" wrapText="1" indent="1"/>
      <protection/>
    </xf>
    <xf numFmtId="0" fontId="14" fillId="0" borderId="32" xfId="73" applyFont="1" applyFill="1" applyBorder="1" applyAlignment="1" applyProtection="1">
      <alignment vertical="center" wrapText="1"/>
      <protection/>
    </xf>
    <xf numFmtId="172" fontId="14" fillId="0" borderId="71" xfId="73" applyNumberFormat="1" applyFont="1" applyFill="1" applyBorder="1" applyAlignment="1" applyProtection="1">
      <alignment horizontal="right" vertical="center" wrapText="1" indent="1"/>
      <protection/>
    </xf>
    <xf numFmtId="172" fontId="20" fillId="0" borderId="26" xfId="0" applyNumberFormat="1" applyFont="1" applyBorder="1" applyAlignment="1" applyProtection="1">
      <alignment horizontal="right" vertical="center" wrapText="1" indent="1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3" xfId="0" applyNumberFormat="1" applyFont="1" applyFill="1" applyBorder="1" applyAlignment="1" applyProtection="1">
      <alignment horizontal="right" vertical="center" indent="1"/>
      <protection/>
    </xf>
    <xf numFmtId="49" fontId="14" fillId="0" borderId="22" xfId="73" applyNumberFormat="1" applyFont="1" applyFill="1" applyBorder="1" applyAlignment="1" applyProtection="1">
      <alignment horizontal="center" vertical="center" wrapText="1"/>
      <protection/>
    </xf>
    <xf numFmtId="2" fontId="16" fillId="0" borderId="27" xfId="77" applyNumberFormat="1" applyFont="1" applyFill="1" applyBorder="1">
      <alignment/>
      <protection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46" xfId="77" applyNumberFormat="1" applyFont="1" applyFill="1" applyBorder="1">
      <alignment/>
      <protection/>
    </xf>
    <xf numFmtId="172" fontId="40" fillId="0" borderId="46" xfId="73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2" xfId="73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11" xfId="0" applyNumberFormat="1" applyFont="1" applyFill="1" applyBorder="1" applyAlignment="1" applyProtection="1">
      <alignment vertical="center" wrapText="1"/>
      <protection locked="0"/>
    </xf>
    <xf numFmtId="3" fontId="16" fillId="0" borderId="11" xfId="77" applyNumberFormat="1" applyFont="1" applyBorder="1" applyAlignment="1">
      <alignment horizontal="right"/>
      <protection/>
    </xf>
    <xf numFmtId="172" fontId="16" fillId="0" borderId="26" xfId="73" applyNumberFormat="1" applyFont="1" applyFill="1" applyBorder="1" applyAlignment="1" applyProtection="1">
      <alignment horizontal="right" vertical="center" wrapText="1" indent="1"/>
      <protection/>
    </xf>
    <xf numFmtId="172" fontId="43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75" applyFont="1" applyFill="1" applyAlignment="1" applyProtection="1">
      <alignment vertical="center"/>
      <protection locked="0"/>
    </xf>
    <xf numFmtId="0" fontId="16" fillId="0" borderId="0" xfId="71" applyFont="1">
      <alignment/>
      <protection/>
    </xf>
    <xf numFmtId="172" fontId="16" fillId="0" borderId="10" xfId="75" applyNumberFormat="1" applyFont="1" applyFill="1" applyBorder="1" applyAlignment="1" applyProtection="1">
      <alignment vertical="center"/>
      <protection locked="0"/>
    </xf>
    <xf numFmtId="172" fontId="14" fillId="0" borderId="47" xfId="75" applyNumberFormat="1" applyFont="1" applyFill="1" applyBorder="1" applyAlignment="1" applyProtection="1">
      <alignment vertical="center"/>
      <protection/>
    </xf>
    <xf numFmtId="172" fontId="14" fillId="0" borderId="27" xfId="75" applyNumberFormat="1" applyFont="1" applyFill="1" applyBorder="1" applyAlignment="1" applyProtection="1">
      <alignment vertical="center"/>
      <protection/>
    </xf>
    <xf numFmtId="172" fontId="16" fillId="0" borderId="38" xfId="73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42" xfId="73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38" xfId="73" applyNumberFormat="1" applyFont="1" applyFill="1" applyBorder="1" applyAlignment="1" applyProtection="1">
      <alignment horizontal="right" vertical="center" wrapText="1" indent="1"/>
      <protection locked="0"/>
    </xf>
    <xf numFmtId="49" fontId="40" fillId="0" borderId="17" xfId="0" applyNumberFormat="1" applyFont="1" applyFill="1" applyBorder="1" applyAlignment="1" applyProtection="1">
      <alignment vertical="center"/>
      <protection locked="0"/>
    </xf>
    <xf numFmtId="172" fontId="4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0" xfId="71" applyNumberFormat="1" applyFont="1" applyBorder="1" applyAlignment="1">
      <alignment horizontal="right"/>
      <protection/>
    </xf>
    <xf numFmtId="172" fontId="16" fillId="0" borderId="17" xfId="0" applyNumberFormat="1" applyFont="1" applyFill="1" applyBorder="1" applyAlignment="1" applyProtection="1">
      <alignment vertical="center" wrapText="1"/>
      <protection locked="0"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Fill="1" applyAlignment="1">
      <alignment vertical="center" wrapText="1"/>
    </xf>
    <xf numFmtId="172" fontId="16" fillId="0" borderId="34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0" xfId="0" applyFont="1" applyFill="1" applyAlignment="1" applyProtection="1">
      <alignment vertical="center" wrapText="1"/>
      <protection/>
    </xf>
    <xf numFmtId="0" fontId="16" fillId="0" borderId="60" xfId="76" applyFont="1" applyFill="1" applyBorder="1" quotePrefix="1">
      <alignment/>
      <protection/>
    </xf>
    <xf numFmtId="172" fontId="40" fillId="0" borderId="42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46" xfId="73" applyNumberFormat="1" applyFont="1" applyFill="1" applyBorder="1" applyAlignment="1" applyProtection="1">
      <alignment horizontal="right" vertical="center" wrapText="1" indent="1"/>
      <protection locked="0"/>
    </xf>
    <xf numFmtId="174" fontId="3" fillId="0" borderId="59" xfId="46" applyNumberFormat="1" applyFont="1" applyBorder="1" applyAlignment="1">
      <alignment/>
    </xf>
    <xf numFmtId="3" fontId="13" fillId="0" borderId="19" xfId="71" applyNumberFormat="1" applyFont="1" applyFill="1" applyBorder="1">
      <alignment/>
      <protection/>
    </xf>
    <xf numFmtId="172" fontId="43" fillId="0" borderId="46" xfId="73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34" xfId="73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29" xfId="73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9" xfId="73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9" xfId="0" applyNumberFormat="1" applyFont="1" applyFill="1" applyBorder="1" applyAlignment="1" applyProtection="1">
      <alignment vertical="center" wrapText="1"/>
      <protection/>
    </xf>
    <xf numFmtId="3" fontId="0" fillId="0" borderId="73" xfId="46" applyNumberFormat="1" applyFont="1" applyFill="1" applyBorder="1" applyAlignment="1" applyProtection="1">
      <alignment horizontal="left"/>
      <protection locked="0"/>
    </xf>
    <xf numFmtId="172" fontId="37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44" xfId="0" applyNumberFormat="1" applyFill="1" applyBorder="1" applyAlignment="1" applyProtection="1">
      <alignment horizontal="left" vertical="center" wrapText="1"/>
      <protection locked="0"/>
    </xf>
    <xf numFmtId="0" fontId="45" fillId="0" borderId="50" xfId="0" applyFont="1" applyFill="1" applyBorder="1" applyAlignment="1">
      <alignment vertical="center"/>
    </xf>
    <xf numFmtId="0" fontId="0" fillId="0" borderId="39" xfId="73" applyFont="1" applyFill="1" applyBorder="1" applyAlignment="1">
      <alignment horizontal="center" vertical="center"/>
      <protection/>
    </xf>
    <xf numFmtId="0" fontId="0" fillId="0" borderId="14" xfId="73" applyFont="1" applyFill="1" applyBorder="1" applyProtection="1">
      <alignment/>
      <protection locked="0"/>
    </xf>
    <xf numFmtId="0" fontId="3" fillId="0" borderId="39" xfId="73" applyFont="1" applyFill="1" applyBorder="1">
      <alignment/>
      <protection/>
    </xf>
    <xf numFmtId="0" fontId="0" fillId="0" borderId="69" xfId="73" applyFont="1" applyFill="1" applyBorder="1" applyAlignment="1">
      <alignment horizontal="center" vertical="center"/>
      <protection/>
    </xf>
    <xf numFmtId="0" fontId="0" fillId="0" borderId="49" xfId="73" applyFont="1" applyFill="1" applyBorder="1" applyAlignment="1">
      <alignment horizontal="center" vertical="center"/>
      <protection/>
    </xf>
    <xf numFmtId="0" fontId="0" fillId="0" borderId="48" xfId="73" applyFont="1" applyFill="1" applyBorder="1" applyAlignment="1">
      <alignment horizontal="center" vertical="center"/>
      <protection/>
    </xf>
    <xf numFmtId="0" fontId="16" fillId="0" borderId="36" xfId="77" applyFont="1" applyBorder="1">
      <alignment/>
      <protection/>
    </xf>
    <xf numFmtId="172" fontId="15" fillId="0" borderId="31" xfId="73" applyNumberFormat="1" applyFont="1" applyFill="1" applyBorder="1" applyAlignment="1" applyProtection="1">
      <alignment horizontal="left" vertical="center"/>
      <protection/>
    </xf>
    <xf numFmtId="0" fontId="0" fillId="0" borderId="60" xfId="72" applyFont="1" applyBorder="1" applyAlignment="1">
      <alignment horizontal="left"/>
      <protection/>
    </xf>
    <xf numFmtId="0" fontId="0" fillId="0" borderId="61" xfId="72" applyFont="1" applyBorder="1" applyAlignment="1" quotePrefix="1">
      <alignment horizontal="left"/>
      <protection/>
    </xf>
    <xf numFmtId="14" fontId="3" fillId="0" borderId="13" xfId="73" applyNumberFormat="1" applyFont="1" applyFill="1" applyBorder="1" applyAlignment="1">
      <alignment horizontal="center" vertical="center" wrapText="1"/>
      <protection/>
    </xf>
    <xf numFmtId="0" fontId="2" fillId="0" borderId="0" xfId="73" applyFill="1">
      <alignment/>
      <protection/>
    </xf>
    <xf numFmtId="0" fontId="7" fillId="0" borderId="52" xfId="73" applyFont="1" applyFill="1" applyBorder="1" applyAlignment="1" applyProtection="1">
      <alignment horizontal="center" vertical="center" wrapText="1"/>
      <protection/>
    </xf>
    <xf numFmtId="0" fontId="14" fillId="0" borderId="52" xfId="73" applyFont="1" applyFill="1" applyBorder="1" applyAlignment="1" applyProtection="1">
      <alignment horizontal="center" vertical="center" wrapText="1"/>
      <protection/>
    </xf>
    <xf numFmtId="0" fontId="16" fillId="0" borderId="0" xfId="73" applyFont="1" applyFill="1">
      <alignment/>
      <protection/>
    </xf>
    <xf numFmtId="172" fontId="14" fillId="0" borderId="23" xfId="73" applyNumberFormat="1" applyFont="1" applyFill="1" applyBorder="1" applyAlignment="1" applyProtection="1">
      <alignment horizontal="right" vertical="center" wrapText="1" indent="1"/>
      <protection/>
    </xf>
    <xf numFmtId="172" fontId="14" fillId="0" borderId="52" xfId="7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3" applyFont="1" applyFill="1">
      <alignment/>
      <protection/>
    </xf>
    <xf numFmtId="172" fontId="16" fillId="0" borderId="74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73" applyNumberFormat="1" applyFont="1" applyFill="1" applyBorder="1" applyAlignment="1" applyProtection="1">
      <alignment horizontal="right" vertical="center" wrapText="1" indent="1"/>
      <protection/>
    </xf>
    <xf numFmtId="172" fontId="14" fillId="0" borderId="52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11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2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4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52" xfId="7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73" applyFont="1" applyFill="1" applyBorder="1" applyAlignment="1" applyProtection="1">
      <alignment horizontal="center" vertical="center" wrapText="1"/>
      <protection/>
    </xf>
    <xf numFmtId="0" fontId="6" fillId="0" borderId="56" xfId="73" applyFont="1" applyFill="1" applyBorder="1" applyAlignment="1" applyProtection="1">
      <alignment vertical="center" wrapText="1"/>
      <protection/>
    </xf>
    <xf numFmtId="0" fontId="16" fillId="0" borderId="56" xfId="73" applyFont="1" applyFill="1" applyBorder="1" applyAlignment="1" applyProtection="1">
      <alignment horizontal="right" vertical="center" wrapText="1" indent="1"/>
      <protection locked="0"/>
    </xf>
    <xf numFmtId="172" fontId="14" fillId="0" borderId="57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63" xfId="73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0" applyNumberFormat="1" applyFont="1" applyBorder="1" applyAlignment="1" applyProtection="1">
      <alignment horizontal="right" vertical="center" wrapText="1" indent="1"/>
      <protection/>
    </xf>
    <xf numFmtId="172" fontId="20" fillId="0" borderId="52" xfId="0" applyNumberFormat="1" applyFont="1" applyBorder="1" applyAlignment="1" applyProtection="1">
      <alignment horizontal="right" vertical="center" wrapText="1" indent="1"/>
      <protection/>
    </xf>
    <xf numFmtId="172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172" fontId="18" fillId="0" borderId="52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73" applyFont="1" applyFill="1">
      <alignment/>
      <protection/>
    </xf>
    <xf numFmtId="0" fontId="1" fillId="0" borderId="0" xfId="73" applyFont="1" applyFill="1" applyAlignment="1">
      <alignment horizontal="center"/>
      <protection/>
    </xf>
    <xf numFmtId="172" fontId="16" fillId="0" borderId="49" xfId="0" applyNumberFormat="1" applyFont="1" applyFill="1" applyBorder="1" applyAlignment="1" applyProtection="1">
      <alignment horizontal="left" vertical="center" wrapText="1"/>
      <protection locked="0"/>
    </xf>
    <xf numFmtId="172" fontId="16" fillId="0" borderId="18" xfId="0" applyNumberFormat="1" applyFont="1" applyFill="1" applyBorder="1" applyAlignment="1" applyProtection="1">
      <alignment vertical="center" wrapText="1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2" xfId="0" applyNumberFormat="1" applyFont="1" applyFill="1" applyBorder="1" applyAlignment="1" applyProtection="1">
      <alignment vertical="center" wrapText="1"/>
      <protection locked="0"/>
    </xf>
    <xf numFmtId="172" fontId="16" fillId="0" borderId="12" xfId="0" applyNumberFormat="1" applyFont="1" applyFill="1" applyBorder="1" applyAlignment="1" applyProtection="1">
      <alignment vertical="center" wrapText="1"/>
      <protection locked="0"/>
    </xf>
    <xf numFmtId="172" fontId="16" fillId="0" borderId="28" xfId="0" applyNumberFormat="1" applyFont="1" applyFill="1" applyBorder="1" applyAlignment="1" applyProtection="1">
      <alignment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39" borderId="73" xfId="46" applyNumberFormat="1" applyFont="1" applyFill="1" applyBorder="1" applyAlignment="1" applyProtection="1">
      <alignment horizontal="left"/>
      <protection locked="0"/>
    </xf>
    <xf numFmtId="172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16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0" xfId="73" applyFont="1" applyFill="1" applyBorder="1" applyProtection="1">
      <alignment/>
      <protection locked="0"/>
    </xf>
    <xf numFmtId="172" fontId="41" fillId="0" borderId="0" xfId="0" applyNumberFormat="1" applyFont="1" applyFill="1" applyAlignment="1">
      <alignment horizontal="center" vertical="center" wrapText="1"/>
    </xf>
    <xf numFmtId="172" fontId="41" fillId="0" borderId="0" xfId="0" applyNumberFormat="1" applyFont="1" applyFill="1" applyAlignment="1">
      <alignment horizontal="center" vertical="center" wrapText="1"/>
    </xf>
    <xf numFmtId="3" fontId="13" fillId="0" borderId="75" xfId="71" applyNumberFormat="1" applyFont="1" applyFill="1" applyBorder="1">
      <alignment/>
      <protection/>
    </xf>
    <xf numFmtId="3" fontId="13" fillId="0" borderId="76" xfId="71" applyNumberFormat="1" applyFont="1" applyBorder="1" applyAlignment="1">
      <alignment horizontal="center"/>
      <protection/>
    </xf>
    <xf numFmtId="3" fontId="13" fillId="0" borderId="14" xfId="71" applyNumberFormat="1" applyFont="1" applyBorder="1">
      <alignment/>
      <protection/>
    </xf>
    <xf numFmtId="3" fontId="38" fillId="0" borderId="14" xfId="71" applyNumberFormat="1" applyFont="1" applyBorder="1">
      <alignment/>
      <protection/>
    </xf>
    <xf numFmtId="3" fontId="13" fillId="0" borderId="75" xfId="71" applyNumberFormat="1" applyFont="1" applyBorder="1">
      <alignment/>
      <protection/>
    </xf>
    <xf numFmtId="3" fontId="13" fillId="0" borderId="14" xfId="71" applyNumberFormat="1" applyFont="1" applyFill="1" applyBorder="1">
      <alignment/>
      <protection/>
    </xf>
    <xf numFmtId="0" fontId="13" fillId="0" borderId="68" xfId="71" applyFont="1" applyBorder="1">
      <alignment/>
      <protection/>
    </xf>
    <xf numFmtId="0" fontId="13" fillId="0" borderId="50" xfId="71" applyFont="1" applyBorder="1">
      <alignment/>
      <protection/>
    </xf>
    <xf numFmtId="49" fontId="13" fillId="0" borderId="50" xfId="71" applyNumberFormat="1" applyFont="1" applyBorder="1">
      <alignment/>
      <protection/>
    </xf>
    <xf numFmtId="49" fontId="13" fillId="0" borderId="50" xfId="71" applyNumberFormat="1" applyFont="1" applyBorder="1">
      <alignment/>
      <protection/>
    </xf>
    <xf numFmtId="0" fontId="7" fillId="0" borderId="50" xfId="71" applyFont="1" applyBorder="1">
      <alignment/>
      <protection/>
    </xf>
    <xf numFmtId="49" fontId="38" fillId="0" borderId="50" xfId="71" applyNumberFormat="1" applyFont="1" applyBorder="1">
      <alignment/>
      <protection/>
    </xf>
    <xf numFmtId="0" fontId="0" fillId="0" borderId="50" xfId="71" applyFont="1" applyBorder="1">
      <alignment/>
      <protection/>
    </xf>
    <xf numFmtId="0" fontId="13" fillId="0" borderId="72" xfId="71" applyFont="1" applyBorder="1">
      <alignment/>
      <protection/>
    </xf>
    <xf numFmtId="0" fontId="13" fillId="0" borderId="44" xfId="71" applyFont="1" applyBorder="1">
      <alignment/>
      <protection/>
    </xf>
    <xf numFmtId="3" fontId="7" fillId="0" borderId="76" xfId="71" applyNumberFormat="1" applyFont="1" applyBorder="1">
      <alignment/>
      <protection/>
    </xf>
    <xf numFmtId="3" fontId="13" fillId="0" borderId="14" xfId="71" applyNumberFormat="1" applyFont="1" applyBorder="1">
      <alignment/>
      <protection/>
    </xf>
    <xf numFmtId="0" fontId="7" fillId="0" borderId="49" xfId="71" applyFont="1" applyBorder="1">
      <alignment/>
      <protection/>
    </xf>
    <xf numFmtId="0" fontId="13" fillId="0" borderId="50" xfId="71" applyFont="1" applyBorder="1" quotePrefix="1">
      <alignment/>
      <protection/>
    </xf>
    <xf numFmtId="172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14" xfId="73" applyFont="1" applyFill="1" applyBorder="1" applyAlignment="1" applyProtection="1">
      <alignment wrapText="1"/>
      <protection locked="0"/>
    </xf>
    <xf numFmtId="3" fontId="0" fillId="0" borderId="11" xfId="46" applyNumberFormat="1" applyFont="1" applyFill="1" applyBorder="1" applyAlignment="1" applyProtection="1">
      <alignment horizontal="center" vertical="center"/>
      <protection locked="0"/>
    </xf>
    <xf numFmtId="172" fontId="14" fillId="0" borderId="67" xfId="0" applyNumberFormat="1" applyFont="1" applyFill="1" applyBorder="1" applyAlignment="1" applyProtection="1">
      <alignment horizontal="center" vertical="center" wrapText="1"/>
      <protection/>
    </xf>
    <xf numFmtId="172" fontId="14" fillId="0" borderId="64" xfId="0" applyNumberFormat="1" applyFont="1" applyFill="1" applyBorder="1" applyAlignment="1" applyProtection="1">
      <alignment horizontal="center" vertical="center" wrapText="1"/>
      <protection/>
    </xf>
    <xf numFmtId="172" fontId="14" fillId="0" borderId="77" xfId="0" applyNumberFormat="1" applyFont="1" applyFill="1" applyBorder="1" applyAlignment="1" applyProtection="1">
      <alignment horizontal="center" vertical="center" wrapText="1"/>
      <protection/>
    </xf>
    <xf numFmtId="172" fontId="14" fillId="0" borderId="55" xfId="0" applyNumberFormat="1" applyFont="1" applyFill="1" applyBorder="1" applyAlignment="1" applyProtection="1">
      <alignment horizontal="center" vertical="center" wrapText="1"/>
      <protection/>
    </xf>
    <xf numFmtId="172" fontId="14" fillId="0" borderId="30" xfId="0" applyNumberFormat="1" applyFont="1" applyFill="1" applyBorder="1" applyAlignment="1" applyProtection="1">
      <alignment horizontal="center" vertical="center" wrapText="1"/>
      <protection/>
    </xf>
    <xf numFmtId="172" fontId="0" fillId="38" borderId="78" xfId="0" applyNumberFormat="1" applyFont="1" applyFill="1" applyBorder="1" applyAlignment="1" applyProtection="1">
      <alignment horizontal="left" vertical="center" wrapText="1" indent="2"/>
      <protection/>
    </xf>
    <xf numFmtId="3" fontId="14" fillId="0" borderId="65" xfId="0" applyNumberFormat="1" applyFont="1" applyFill="1" applyBorder="1" applyAlignment="1" applyProtection="1">
      <alignment horizontal="center" vertical="center" wrapText="1"/>
      <protection/>
    </xf>
    <xf numFmtId="3" fontId="14" fillId="0" borderId="45" xfId="0" applyNumberFormat="1" applyFont="1" applyFill="1" applyBorder="1" applyAlignment="1" applyProtection="1">
      <alignment horizontal="center" vertical="center" wrapText="1"/>
      <protection/>
    </xf>
    <xf numFmtId="3" fontId="14" fillId="0" borderId="32" xfId="0" applyNumberFormat="1" applyFont="1" applyFill="1" applyBorder="1" applyAlignment="1" applyProtection="1">
      <alignment horizontal="center" vertical="center" wrapText="1"/>
      <protection/>
    </xf>
    <xf numFmtId="3" fontId="14" fillId="0" borderId="71" xfId="0" applyNumberFormat="1" applyFont="1" applyFill="1" applyBorder="1" applyAlignment="1" applyProtection="1">
      <alignment horizontal="center" vertical="center" wrapText="1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72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73" applyFont="1" applyFill="1" applyBorder="1" applyAlignment="1" applyProtection="1">
      <alignment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172" fontId="1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46" applyNumberFormat="1" applyFont="1" applyFill="1" applyBorder="1" applyAlignment="1" applyProtection="1">
      <alignment horizontal="center" vertical="center"/>
      <protection locked="0"/>
    </xf>
    <xf numFmtId="3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 wrapText="1"/>
      <protection/>
    </xf>
    <xf numFmtId="3" fontId="14" fillId="0" borderId="27" xfId="0" applyNumberFormat="1" applyFont="1" applyFill="1" applyBorder="1" applyAlignment="1" applyProtection="1">
      <alignment horizontal="center" vertical="center" wrapText="1"/>
      <protection/>
    </xf>
    <xf numFmtId="3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14" fillId="0" borderId="32" xfId="0" applyNumberFormat="1" applyFont="1" applyFill="1" applyBorder="1" applyAlignment="1" applyProtection="1">
      <alignment horizontal="left" vertical="center" wrapText="1" indent="1"/>
      <protection/>
    </xf>
    <xf numFmtId="3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4" fillId="0" borderId="20" xfId="0" applyNumberFormat="1" applyFont="1" applyFill="1" applyBorder="1" applyAlignment="1" applyProtection="1">
      <alignment horizontal="center" vertical="center" wrapText="1"/>
      <protection/>
    </xf>
    <xf numFmtId="172" fontId="14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34" xfId="0" applyNumberFormat="1" applyFont="1" applyFill="1" applyBorder="1" applyAlignment="1" applyProtection="1">
      <alignment horizontal="center" vertical="center" wrapText="1"/>
      <protection/>
    </xf>
    <xf numFmtId="172" fontId="14" fillId="0" borderId="21" xfId="0" applyNumberFormat="1" applyFont="1" applyFill="1" applyBorder="1" applyAlignment="1" applyProtection="1">
      <alignment horizontal="center" vertical="center" wrapText="1"/>
      <protection/>
    </xf>
    <xf numFmtId="172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" fontId="16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72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172" fontId="1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72" fontId="14" fillId="0" borderId="48" xfId="73" applyNumberFormat="1" applyFont="1" applyFill="1" applyBorder="1" applyAlignment="1" applyProtection="1">
      <alignment horizontal="right" vertical="center" wrapText="1" indent="1"/>
      <protection/>
    </xf>
    <xf numFmtId="172" fontId="40" fillId="0" borderId="74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4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59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63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4" xfId="73" applyFont="1" applyFill="1" applyBorder="1" applyAlignment="1">
      <alignment horizontal="center" vertical="center"/>
      <protection/>
    </xf>
    <xf numFmtId="0" fontId="0" fillId="0" borderId="80" xfId="73" applyFont="1" applyFill="1" applyBorder="1" applyAlignment="1" applyProtection="1">
      <alignment wrapText="1"/>
      <protection locked="0"/>
    </xf>
    <xf numFmtId="3" fontId="0" fillId="0" borderId="11" xfId="73" applyNumberFormat="1" applyFont="1" applyFill="1" applyBorder="1" applyAlignment="1" applyProtection="1">
      <alignment horizontal="right"/>
      <protection locked="0"/>
    </xf>
    <xf numFmtId="3" fontId="0" fillId="0" borderId="10" xfId="73" applyNumberFormat="1" applyFont="1" applyFill="1" applyBorder="1" applyAlignment="1" applyProtection="1">
      <alignment horizontal="right"/>
      <protection locked="0"/>
    </xf>
    <xf numFmtId="3" fontId="0" fillId="0" borderId="11" xfId="46" applyNumberFormat="1" applyFont="1" applyFill="1" applyBorder="1" applyAlignment="1" applyProtection="1">
      <alignment horizontal="right"/>
      <protection locked="0"/>
    </xf>
    <xf numFmtId="3" fontId="0" fillId="0" borderId="28" xfId="46" applyNumberFormat="1" applyFont="1" applyFill="1" applyBorder="1" applyAlignment="1">
      <alignment horizontal="right"/>
    </xf>
    <xf numFmtId="3" fontId="0" fillId="0" borderId="14" xfId="46" applyNumberFormat="1" applyFont="1" applyFill="1" applyBorder="1" applyAlignment="1" applyProtection="1">
      <alignment horizontal="right"/>
      <protection locked="0"/>
    </xf>
    <xf numFmtId="3" fontId="0" fillId="0" borderId="80" xfId="46" applyNumberFormat="1" applyFont="1" applyFill="1" applyBorder="1" applyAlignment="1" applyProtection="1">
      <alignment horizontal="right"/>
      <protection locked="0"/>
    </xf>
    <xf numFmtId="3" fontId="0" fillId="0" borderId="10" xfId="46" applyNumberFormat="1" applyFont="1" applyFill="1" applyBorder="1" applyAlignment="1" applyProtection="1">
      <alignment horizontal="right"/>
      <protection locked="0"/>
    </xf>
    <xf numFmtId="3" fontId="3" fillId="0" borderId="23" xfId="73" applyNumberFormat="1" applyFont="1" applyFill="1" applyBorder="1" applyAlignment="1">
      <alignment horizontal="right"/>
      <protection/>
    </xf>
    <xf numFmtId="0" fontId="45" fillId="0" borderId="72" xfId="0" applyFont="1" applyFill="1" applyBorder="1" applyAlignment="1">
      <alignment vertical="center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172" fontId="16" fillId="0" borderId="46" xfId="0" applyNumberFormat="1" applyFont="1" applyFill="1" applyBorder="1" applyAlignment="1" applyProtection="1">
      <alignment vertical="center" wrapText="1"/>
      <protection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29" xfId="0" applyNumberFormat="1" applyFont="1" applyFill="1" applyBorder="1" applyAlignment="1" applyProtection="1">
      <alignment vertical="center" wrapText="1"/>
      <protection/>
    </xf>
    <xf numFmtId="172" fontId="16" fillId="0" borderId="13" xfId="0" applyNumberFormat="1" applyFont="1" applyFill="1" applyBorder="1" applyAlignment="1" applyProtection="1">
      <alignment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172" fontId="14" fillId="0" borderId="47" xfId="0" applyNumberFormat="1" applyFont="1" applyFill="1" applyBorder="1" applyAlignment="1" applyProtection="1">
      <alignment horizontal="center" vertical="center" wrapText="1"/>
      <protection/>
    </xf>
    <xf numFmtId="172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28" xfId="0" applyNumberFormat="1" applyFont="1" applyFill="1" applyBorder="1" applyAlignment="1" applyProtection="1">
      <alignment vertical="center" wrapText="1"/>
      <protection/>
    </xf>
    <xf numFmtId="172" fontId="0" fillId="0" borderId="20" xfId="0" applyNumberFormat="1" applyFill="1" applyBorder="1" applyAlignment="1" applyProtection="1">
      <alignment horizontal="left" vertical="center" wrapText="1"/>
      <protection locked="0"/>
    </xf>
    <xf numFmtId="172" fontId="13" fillId="0" borderId="34" xfId="0" applyNumberFormat="1" applyFont="1" applyFill="1" applyBorder="1" applyAlignment="1" applyProtection="1">
      <alignment vertical="center" wrapText="1"/>
      <protection/>
    </xf>
    <xf numFmtId="0" fontId="16" fillId="0" borderId="17" xfId="73" applyFont="1" applyFill="1" applyBorder="1" applyAlignment="1" applyProtection="1">
      <alignment horizontal="left"/>
      <protection locked="0"/>
    </xf>
    <xf numFmtId="185" fontId="16" fillId="0" borderId="47" xfId="77" applyNumberFormat="1" applyFont="1" applyFill="1" applyBorder="1">
      <alignment/>
      <protection/>
    </xf>
    <xf numFmtId="0" fontId="0" fillId="0" borderId="10" xfId="73" applyFont="1" applyFill="1" applyBorder="1" applyAlignment="1" applyProtection="1">
      <alignment wrapText="1"/>
      <protection locked="0"/>
    </xf>
    <xf numFmtId="173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3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7" xfId="0" applyNumberFormat="1" applyFont="1" applyFill="1" applyBorder="1" applyAlignment="1" applyProtection="1">
      <alignment horizontal="center" vertical="center" wrapText="1"/>
      <protection/>
    </xf>
    <xf numFmtId="172" fontId="16" fillId="0" borderId="30" xfId="73" applyNumberFormat="1" applyFont="1" applyFill="1" applyBorder="1" applyAlignment="1" applyProtection="1">
      <alignment horizontal="right" vertical="center" wrapText="1" indent="1"/>
      <protection/>
    </xf>
    <xf numFmtId="172" fontId="40" fillId="0" borderId="38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71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28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46" xfId="73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0" applyNumberFormat="1" applyFont="1" applyFill="1" applyAlignment="1" applyProtection="1">
      <alignment vertical="center" wrapText="1"/>
      <protection/>
    </xf>
    <xf numFmtId="17" fontId="19" fillId="0" borderId="17" xfId="0" applyNumberFormat="1" applyFont="1" applyBorder="1" applyAlignment="1">
      <alignment horizontal="left" vertical="center" wrapText="1"/>
    </xf>
    <xf numFmtId="172" fontId="16" fillId="0" borderId="19" xfId="0" applyNumberFormat="1" applyFont="1" applyFill="1" applyBorder="1" applyAlignment="1" applyProtection="1">
      <alignment vertical="center" wrapText="1"/>
      <protection locked="0"/>
    </xf>
    <xf numFmtId="172" fontId="16" fillId="0" borderId="8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38" fillId="0" borderId="0" xfId="77" applyFont="1" applyAlignment="1">
      <alignment horizontal="right"/>
      <protection/>
    </xf>
    <xf numFmtId="0" fontId="14" fillId="0" borderId="11" xfId="77" applyFont="1" applyBorder="1" applyAlignment="1">
      <alignment horizontal="center"/>
      <protection/>
    </xf>
    <xf numFmtId="0" fontId="14" fillId="0" borderId="27" xfId="77" applyFont="1" applyBorder="1" applyAlignment="1">
      <alignment horizontal="center"/>
      <protection/>
    </xf>
    <xf numFmtId="0" fontId="16" fillId="0" borderId="17" xfId="77" applyFont="1" applyBorder="1" applyAlignment="1">
      <alignment horizontal="left"/>
      <protection/>
    </xf>
    <xf numFmtId="0" fontId="16" fillId="0" borderId="17" xfId="76" applyFont="1" applyBorder="1" applyAlignment="1">
      <alignment horizontal="left"/>
      <protection/>
    </xf>
    <xf numFmtId="3" fontId="28" fillId="0" borderId="0" xfId="77" applyNumberFormat="1">
      <alignment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38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41" xfId="73" applyFont="1" applyFill="1" applyBorder="1" applyAlignment="1" applyProtection="1">
      <alignment horizontal="center" vertical="center" wrapText="1"/>
      <protection/>
    </xf>
    <xf numFmtId="0" fontId="7" fillId="0" borderId="68" xfId="73" applyFont="1" applyFill="1" applyBorder="1" applyAlignment="1" applyProtection="1">
      <alignment horizontal="center" vertical="center" wrapText="1"/>
      <protection/>
    </xf>
    <xf numFmtId="0" fontId="14" fillId="0" borderId="82" xfId="73" applyFont="1" applyFill="1" applyBorder="1" applyAlignment="1" applyProtection="1">
      <alignment horizontal="center" vertical="center" wrapText="1"/>
      <protection/>
    </xf>
    <xf numFmtId="172" fontId="14" fillId="0" borderId="82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83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73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81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82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73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81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83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82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84" xfId="73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68" xfId="0" applyFont="1" applyFill="1" applyBorder="1" applyAlignment="1">
      <alignment vertical="center"/>
    </xf>
    <xf numFmtId="172" fontId="16" fillId="0" borderId="76" xfId="0" applyNumberFormat="1" applyFont="1" applyFill="1" applyBorder="1" applyAlignment="1" applyProtection="1">
      <alignment vertical="center" wrapText="1"/>
      <protection locked="0"/>
    </xf>
    <xf numFmtId="172" fontId="16" fillId="0" borderId="14" xfId="0" applyNumberFormat="1" applyFont="1" applyFill="1" applyBorder="1" applyAlignment="1" applyProtection="1">
      <alignment vertical="center" wrapText="1"/>
      <protection locked="0"/>
    </xf>
    <xf numFmtId="172" fontId="16" fillId="0" borderId="75" xfId="0" applyNumberFormat="1" applyFont="1" applyFill="1" applyBorder="1" applyAlignment="1" applyProtection="1">
      <alignment vertical="center" wrapText="1"/>
      <protection locked="0"/>
    </xf>
    <xf numFmtId="172" fontId="16" fillId="0" borderId="34" xfId="0" applyNumberFormat="1" applyFont="1" applyFill="1" applyBorder="1" applyAlignment="1" applyProtection="1">
      <alignment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1" fillId="0" borderId="11" xfId="0" applyNumberFormat="1" applyFont="1" applyFill="1" applyBorder="1" applyAlignment="1" applyProtection="1">
      <alignment vertical="center" wrapText="1"/>
      <protection locked="0"/>
    </xf>
    <xf numFmtId="172" fontId="21" fillId="0" borderId="27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Alignment="1">
      <alignment vertical="center" wrapText="1"/>
    </xf>
    <xf numFmtId="3" fontId="46" fillId="0" borderId="69" xfId="50" applyNumberFormat="1" applyFont="1" applyFill="1" applyBorder="1" applyAlignment="1">
      <alignment vertical="center" wrapText="1"/>
    </xf>
    <xf numFmtId="172" fontId="16" fillId="0" borderId="33" xfId="0" applyNumberFormat="1" applyFont="1" applyFill="1" applyBorder="1" applyAlignment="1" applyProtection="1">
      <alignment vertical="center" wrapText="1"/>
      <protection locked="0"/>
    </xf>
    <xf numFmtId="172" fontId="13" fillId="0" borderId="46" xfId="0" applyNumberFormat="1" applyFont="1" applyFill="1" applyBorder="1" applyAlignment="1" applyProtection="1">
      <alignment vertical="center" wrapText="1"/>
      <protection/>
    </xf>
    <xf numFmtId="0" fontId="14" fillId="0" borderId="72" xfId="73" applyFont="1" applyFill="1" applyBorder="1" applyAlignment="1" applyProtection="1">
      <alignment horizontal="center" vertical="center" wrapText="1"/>
      <protection/>
    </xf>
    <xf numFmtId="172" fontId="16" fillId="0" borderId="0" xfId="73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77" xfId="73" applyNumberFormat="1" applyFont="1" applyFill="1" applyBorder="1" applyAlignment="1" applyProtection="1">
      <alignment horizontal="right" vertical="center" wrapText="1" indent="1"/>
      <protection/>
    </xf>
    <xf numFmtId="172" fontId="14" fillId="0" borderId="78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46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26" xfId="73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73" applyNumberFormat="1" applyFont="1" applyFill="1" applyBorder="1" applyAlignment="1" applyProtection="1">
      <alignment horizontal="center" vertical="center" wrapText="1"/>
      <protection/>
    </xf>
    <xf numFmtId="172" fontId="16" fillId="0" borderId="27" xfId="73" applyNumberFormat="1" applyFont="1" applyFill="1" applyBorder="1" applyAlignment="1" applyProtection="1">
      <alignment horizontal="center" vertical="center" wrapText="1"/>
      <protection/>
    </xf>
    <xf numFmtId="172" fontId="16" fillId="0" borderId="28" xfId="73" applyNumberFormat="1" applyFont="1" applyFill="1" applyBorder="1" applyAlignment="1" applyProtection="1">
      <alignment horizontal="center" vertical="center" wrapText="1"/>
      <protection/>
    </xf>
    <xf numFmtId="172" fontId="16" fillId="0" borderId="46" xfId="73" applyNumberFormat="1" applyFont="1" applyFill="1" applyBorder="1" applyAlignment="1" applyProtection="1">
      <alignment horizontal="center" vertical="center" wrapText="1"/>
      <protection/>
    </xf>
    <xf numFmtId="172" fontId="16" fillId="0" borderId="26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Fill="1" applyAlignment="1" applyProtection="1">
      <alignment horizontal="right" vertical="center" indent="1"/>
      <protection/>
    </xf>
    <xf numFmtId="17" fontId="19" fillId="0" borderId="20" xfId="0" applyNumberFormat="1" applyFont="1" applyBorder="1" applyAlignment="1">
      <alignment horizontal="left" vertical="center" wrapText="1"/>
    </xf>
    <xf numFmtId="172" fontId="16" fillId="0" borderId="24" xfId="0" applyNumberFormat="1" applyFont="1" applyFill="1" applyBorder="1" applyAlignment="1" applyProtection="1">
      <alignment vertical="center" wrapText="1"/>
      <protection locked="0"/>
    </xf>
    <xf numFmtId="49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77" xfId="0" applyNumberFormat="1" applyFont="1" applyFill="1" applyBorder="1" applyAlignment="1" applyProtection="1">
      <alignment vertical="center" wrapText="1"/>
      <protection locked="0"/>
    </xf>
    <xf numFmtId="172" fontId="16" fillId="0" borderId="25" xfId="0" applyNumberFormat="1" applyFont="1" applyFill="1" applyBorder="1" applyAlignment="1" applyProtection="1">
      <alignment vertical="center" wrapText="1"/>
      <protection locked="0"/>
    </xf>
    <xf numFmtId="172" fontId="16" fillId="0" borderId="21" xfId="0" applyNumberFormat="1" applyFont="1" applyFill="1" applyBorder="1" applyAlignment="1" applyProtection="1">
      <alignment vertical="center" wrapText="1"/>
      <protection locked="0"/>
    </xf>
    <xf numFmtId="172" fontId="16" fillId="0" borderId="43" xfId="0" applyNumberFormat="1" applyFont="1" applyFill="1" applyBorder="1" applyAlignment="1" applyProtection="1">
      <alignment vertical="center" wrapText="1"/>
      <protection locked="0"/>
    </xf>
    <xf numFmtId="172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0" xfId="71" applyNumberFormat="1">
      <alignment/>
      <protection/>
    </xf>
    <xf numFmtId="172" fontId="40" fillId="0" borderId="27" xfId="73" applyNumberFormat="1" applyFont="1" applyFill="1" applyBorder="1" applyAlignment="1" applyProtection="1">
      <alignment horizontal="right" vertical="center" wrapText="1" indent="1"/>
      <protection/>
    </xf>
    <xf numFmtId="172" fontId="40" fillId="0" borderId="46" xfId="73" applyNumberFormat="1" applyFont="1" applyFill="1" applyBorder="1" applyAlignment="1" applyProtection="1">
      <alignment horizontal="right" vertical="center" wrapText="1" indent="1"/>
      <protection/>
    </xf>
    <xf numFmtId="172" fontId="40" fillId="0" borderId="28" xfId="73" applyNumberFormat="1" applyFont="1" applyFill="1" applyBorder="1" applyAlignment="1" applyProtection="1">
      <alignment horizontal="right" vertical="center" wrapText="1" indent="1"/>
      <protection/>
    </xf>
    <xf numFmtId="172" fontId="16" fillId="0" borderId="27" xfId="73" applyNumberFormat="1" applyFont="1" applyFill="1" applyBorder="1" applyAlignment="1" applyProtection="1">
      <alignment horizontal="center" vertical="center" wrapText="1"/>
      <protection/>
    </xf>
    <xf numFmtId="172" fontId="16" fillId="0" borderId="46" xfId="73" applyNumberFormat="1" applyFont="1" applyFill="1" applyBorder="1" applyAlignment="1" applyProtection="1">
      <alignment horizontal="center" vertical="center" wrapText="1"/>
      <protection/>
    </xf>
    <xf numFmtId="172" fontId="40" fillId="0" borderId="28" xfId="73" applyNumberFormat="1" applyFont="1" applyFill="1" applyBorder="1" applyAlignment="1" applyProtection="1">
      <alignment horizontal="center" vertical="center" wrapText="1"/>
      <protection/>
    </xf>
    <xf numFmtId="172" fontId="40" fillId="0" borderId="27" xfId="73" applyNumberFormat="1" applyFont="1" applyFill="1" applyBorder="1" applyAlignment="1" applyProtection="1">
      <alignment horizontal="center" vertical="center" wrapText="1"/>
      <protection/>
    </xf>
    <xf numFmtId="172" fontId="40" fillId="0" borderId="46" xfId="73" applyNumberFormat="1" applyFont="1" applyFill="1" applyBorder="1" applyAlignment="1" applyProtection="1">
      <alignment horizontal="center" vertical="center" wrapText="1"/>
      <protection/>
    </xf>
    <xf numFmtId="172" fontId="4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4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4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74" xfId="73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0" xfId="73" applyNumberFormat="1" applyFill="1" applyProtection="1">
      <alignment/>
      <protection/>
    </xf>
    <xf numFmtId="172" fontId="40" fillId="0" borderId="27" xfId="73" applyNumberFormat="1" applyFont="1" applyFill="1" applyBorder="1" applyAlignment="1" applyProtection="1">
      <alignment horizontal="right" vertical="center" wrapText="1" indent="1"/>
      <protection locked="0"/>
    </xf>
    <xf numFmtId="3" fontId="41" fillId="0" borderId="11" xfId="46" applyNumberFormat="1" applyFont="1" applyFill="1" applyBorder="1" applyAlignment="1" applyProtection="1">
      <alignment horizontal="right"/>
      <protection locked="0"/>
    </xf>
    <xf numFmtId="3" fontId="41" fillId="0" borderId="28" xfId="46" applyNumberFormat="1" applyFont="1" applyFill="1" applyBorder="1" applyAlignment="1">
      <alignment horizontal="right"/>
    </xf>
    <xf numFmtId="3" fontId="41" fillId="0" borderId="11" xfId="46" applyNumberFormat="1" applyFont="1" applyFill="1" applyBorder="1" applyAlignment="1" applyProtection="1">
      <alignment horizontal="center" vertical="center"/>
      <protection locked="0"/>
    </xf>
    <xf numFmtId="3" fontId="40" fillId="0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54" xfId="0" applyFont="1" applyFill="1" applyBorder="1" applyAlignment="1">
      <alignment vertical="center"/>
    </xf>
    <xf numFmtId="0" fontId="45" fillId="0" borderId="60" xfId="0" applyFont="1" applyFill="1" applyBorder="1" applyAlignment="1" quotePrefix="1">
      <alignment vertical="center"/>
    </xf>
    <xf numFmtId="0" fontId="47" fillId="0" borderId="60" xfId="0" applyFont="1" applyFill="1" applyBorder="1" applyAlignment="1">
      <alignment vertical="center"/>
    </xf>
    <xf numFmtId="172" fontId="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0" xfId="73" applyFont="1" applyFill="1" applyBorder="1" applyProtection="1">
      <alignment/>
      <protection locked="0"/>
    </xf>
    <xf numFmtId="0" fontId="45" fillId="0" borderId="60" xfId="0" applyFont="1" applyFill="1" applyBorder="1" applyAlignment="1">
      <alignment vertical="center"/>
    </xf>
    <xf numFmtId="0" fontId="45" fillId="0" borderId="60" xfId="70" applyFont="1" applyFill="1" applyBorder="1" applyAlignment="1">
      <alignment vertical="center"/>
      <protection/>
    </xf>
    <xf numFmtId="3" fontId="46" fillId="0" borderId="81" xfId="50" applyNumberFormat="1" applyFont="1" applyFill="1" applyBorder="1" applyAlignment="1">
      <alignment vertical="center" wrapText="1"/>
    </xf>
    <xf numFmtId="3" fontId="46" fillId="0" borderId="36" xfId="50" applyNumberFormat="1" applyFont="1" applyFill="1" applyBorder="1" applyAlignment="1">
      <alignment vertical="center" wrapText="1"/>
    </xf>
    <xf numFmtId="172" fontId="16" fillId="0" borderId="20" xfId="0" applyNumberFormat="1" applyFont="1" applyFill="1" applyBorder="1" applyAlignment="1" applyProtection="1">
      <alignment vertical="center" wrapText="1"/>
      <protection locked="0"/>
    </xf>
    <xf numFmtId="172" fontId="21" fillId="0" borderId="17" xfId="0" applyNumberFormat="1" applyFont="1" applyFill="1" applyBorder="1" applyAlignment="1" applyProtection="1">
      <alignment vertical="center" wrapText="1"/>
      <protection locked="0"/>
    </xf>
    <xf numFmtId="0" fontId="40" fillId="0" borderId="17" xfId="73" applyFont="1" applyFill="1" applyBorder="1" applyAlignment="1" applyProtection="1">
      <alignment horizontal="left"/>
      <protection locked="0"/>
    </xf>
    <xf numFmtId="172" fontId="37" fillId="0" borderId="11" xfId="0" applyNumberFormat="1" applyFont="1" applyFill="1" applyBorder="1" applyAlignment="1" applyProtection="1">
      <alignment vertical="center" wrapText="1"/>
      <protection locked="0"/>
    </xf>
    <xf numFmtId="172" fontId="4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44" xfId="0" applyFont="1" applyFill="1" applyBorder="1" applyAlignment="1">
      <alignment vertical="center"/>
    </xf>
    <xf numFmtId="172" fontId="40" fillId="0" borderId="80" xfId="0" applyNumberFormat="1" applyFont="1" applyFill="1" applyBorder="1" applyAlignment="1" applyProtection="1">
      <alignment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40" fillId="0" borderId="10" xfId="0" applyNumberFormat="1" applyFont="1" applyFill="1" applyBorder="1" applyAlignment="1" applyProtection="1">
      <alignment vertical="center" wrapText="1"/>
      <protection locked="0"/>
    </xf>
    <xf numFmtId="172" fontId="40" fillId="0" borderId="47" xfId="0" applyNumberFormat="1" applyFont="1" applyFill="1" applyBorder="1" applyAlignment="1" applyProtection="1">
      <alignment vertical="center" wrapText="1"/>
      <protection/>
    </xf>
    <xf numFmtId="0" fontId="49" fillId="0" borderId="50" xfId="0" applyFont="1" applyFill="1" applyBorder="1" applyAlignment="1">
      <alignment vertical="center"/>
    </xf>
    <xf numFmtId="172" fontId="40" fillId="0" borderId="14" xfId="0" applyNumberFormat="1" applyFont="1" applyFill="1" applyBorder="1" applyAlignment="1" applyProtection="1">
      <alignment vertical="center" wrapText="1"/>
      <protection locked="0"/>
    </xf>
    <xf numFmtId="49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0" fillId="0" borderId="11" xfId="0" applyNumberFormat="1" applyFont="1" applyFill="1" applyBorder="1" applyAlignment="1" applyProtection="1">
      <alignment vertical="center" wrapText="1"/>
      <protection locked="0"/>
    </xf>
    <xf numFmtId="172" fontId="40" fillId="0" borderId="27" xfId="0" applyNumberFormat="1" applyFont="1" applyFill="1" applyBorder="1" applyAlignment="1" applyProtection="1">
      <alignment vertical="center" wrapText="1"/>
      <protection/>
    </xf>
    <xf numFmtId="0" fontId="41" fillId="0" borderId="60" xfId="73" applyFont="1" applyFill="1" applyBorder="1" applyProtection="1">
      <alignment/>
      <protection locked="0"/>
    </xf>
    <xf numFmtId="172" fontId="37" fillId="0" borderId="17" xfId="0" applyNumberFormat="1" applyFont="1" applyFill="1" applyBorder="1" applyAlignment="1" applyProtection="1">
      <alignment vertical="center" wrapText="1"/>
      <protection locked="0"/>
    </xf>
    <xf numFmtId="49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0" fillId="0" borderId="27" xfId="0" applyNumberFormat="1" applyFont="1" applyFill="1" applyBorder="1" applyAlignment="1" applyProtection="1">
      <alignment vertical="center" wrapText="1"/>
      <protection/>
    </xf>
    <xf numFmtId="3" fontId="41" fillId="0" borderId="37" xfId="50" applyNumberFormat="1" applyFont="1" applyFill="1" applyBorder="1" applyAlignment="1">
      <alignment vertical="center" wrapText="1"/>
    </xf>
    <xf numFmtId="172" fontId="40" fillId="0" borderId="19" xfId="0" applyNumberFormat="1" applyFont="1" applyFill="1" applyBorder="1" applyAlignment="1" applyProtection="1">
      <alignment vertical="center" wrapText="1"/>
      <protection locked="0"/>
    </xf>
    <xf numFmtId="49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0" fillId="0" borderId="15" xfId="0" applyNumberFormat="1" applyFont="1" applyFill="1" applyBorder="1" applyAlignment="1" applyProtection="1">
      <alignment vertical="center" wrapText="1"/>
      <protection locked="0"/>
    </xf>
    <xf numFmtId="172" fontId="40" fillId="0" borderId="46" xfId="0" applyNumberFormat="1" applyFont="1" applyFill="1" applyBorder="1" applyAlignment="1" applyProtection="1">
      <alignment vertical="center" wrapText="1"/>
      <protection/>
    </xf>
    <xf numFmtId="172" fontId="41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37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37" fillId="0" borderId="15" xfId="0" applyNumberFormat="1" applyFont="1" applyFill="1" applyBorder="1" applyAlignment="1" applyProtection="1">
      <alignment vertical="center" wrapText="1"/>
      <protection locked="0"/>
    </xf>
    <xf numFmtId="49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7" fillId="0" borderId="46" xfId="0" applyNumberFormat="1" applyFont="1" applyFill="1" applyBorder="1" applyAlignment="1" applyProtection="1">
      <alignment vertical="center" wrapText="1"/>
      <protection/>
    </xf>
    <xf numFmtId="3" fontId="40" fillId="0" borderId="11" xfId="0" applyNumberFormat="1" applyFont="1" applyFill="1" applyBorder="1" applyAlignment="1" applyProtection="1">
      <alignment vertical="center"/>
      <protection locked="0"/>
    </xf>
    <xf numFmtId="3" fontId="40" fillId="0" borderId="27" xfId="0" applyNumberFormat="1" applyFont="1" applyFill="1" applyBorder="1" applyAlignment="1" applyProtection="1">
      <alignment vertical="center"/>
      <protection/>
    </xf>
    <xf numFmtId="3" fontId="40" fillId="0" borderId="15" xfId="0" applyNumberFormat="1" applyFont="1" applyFill="1" applyBorder="1" applyAlignment="1" applyProtection="1">
      <alignment vertical="center"/>
      <protection locked="0"/>
    </xf>
    <xf numFmtId="3" fontId="40" fillId="0" borderId="23" xfId="0" applyNumberFormat="1" applyFont="1" applyFill="1" applyBorder="1" applyAlignment="1" applyProtection="1">
      <alignment vertical="center"/>
      <protection/>
    </xf>
    <xf numFmtId="3" fontId="40" fillId="0" borderId="26" xfId="0" applyNumberFormat="1" applyFont="1" applyFill="1" applyBorder="1" applyAlignment="1" applyProtection="1">
      <alignment vertical="center"/>
      <protection/>
    </xf>
    <xf numFmtId="49" fontId="7" fillId="0" borderId="45" xfId="0" applyNumberFormat="1" applyFont="1" applyFill="1" applyBorder="1" applyAlignment="1" applyProtection="1">
      <alignment vertical="center"/>
      <protection/>
    </xf>
    <xf numFmtId="3" fontId="16" fillId="0" borderId="32" xfId="0" applyNumberFormat="1" applyFont="1" applyFill="1" applyBorder="1" applyAlignment="1" applyProtection="1">
      <alignment vertical="center"/>
      <protection/>
    </xf>
    <xf numFmtId="49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33" xfId="0" applyNumberFormat="1" applyFont="1" applyFill="1" applyBorder="1" applyAlignment="1" applyProtection="1">
      <alignment vertical="center"/>
      <protection locked="0"/>
    </xf>
    <xf numFmtId="3" fontId="40" fillId="0" borderId="33" xfId="0" applyNumberFormat="1" applyFont="1" applyFill="1" applyBorder="1" applyAlignment="1" applyProtection="1">
      <alignment vertical="center"/>
      <protection locked="0"/>
    </xf>
    <xf numFmtId="3" fontId="40" fillId="0" borderId="29" xfId="0" applyNumberFormat="1" applyFont="1" applyFill="1" applyBorder="1" applyAlignment="1" applyProtection="1">
      <alignment vertical="center"/>
      <protection/>
    </xf>
    <xf numFmtId="3" fontId="40" fillId="0" borderId="32" xfId="0" applyNumberFormat="1" applyFont="1" applyFill="1" applyBorder="1" applyAlignment="1" applyProtection="1">
      <alignment vertical="center"/>
      <protection/>
    </xf>
    <xf numFmtId="3" fontId="40" fillId="0" borderId="71" xfId="0" applyNumberFormat="1" applyFont="1" applyFill="1" applyBorder="1" applyAlignment="1" applyProtection="1">
      <alignment vertical="center"/>
      <protection/>
    </xf>
    <xf numFmtId="172" fontId="40" fillId="0" borderId="46" xfId="73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34" xfId="73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29" xfId="73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28" xfId="73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0" xfId="0" applyFont="1" applyAlignment="1" applyProtection="1">
      <alignment horizontal="right" vertical="top"/>
      <protection/>
    </xf>
    <xf numFmtId="49" fontId="52" fillId="0" borderId="34" xfId="0" applyNumberFormat="1" applyFont="1" applyFill="1" applyBorder="1" applyAlignment="1" applyProtection="1">
      <alignment horizontal="right" vertical="center"/>
      <protection/>
    </xf>
    <xf numFmtId="49" fontId="52" fillId="0" borderId="53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Alignment="1" applyProtection="1">
      <alignment horizontal="right"/>
      <protection/>
    </xf>
    <xf numFmtId="0" fontId="52" fillId="0" borderId="30" xfId="0" applyFont="1" applyFill="1" applyBorder="1" applyAlignment="1" applyProtection="1">
      <alignment horizontal="center" vertical="center" wrapText="1"/>
      <protection/>
    </xf>
    <xf numFmtId="0" fontId="54" fillId="0" borderId="26" xfId="0" applyFont="1" applyFill="1" applyBorder="1" applyAlignment="1" applyProtection="1">
      <alignment horizontal="center" vertical="center" wrapText="1"/>
      <protection/>
    </xf>
    <xf numFmtId="172" fontId="52" fillId="0" borderId="38" xfId="0" applyNumberFormat="1" applyFont="1" applyFill="1" applyBorder="1" applyAlignment="1" applyProtection="1">
      <alignment horizontal="center" vertical="center" wrapText="1"/>
      <protection/>
    </xf>
    <xf numFmtId="172" fontId="5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4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5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2" fontId="4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5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2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54" fillId="0" borderId="52" xfId="0" applyNumberFormat="1" applyFont="1" applyFill="1" applyBorder="1" applyAlignment="1" applyProtection="1">
      <alignment horizontal="right" vertical="center" wrapText="1" indent="1"/>
      <protection/>
    </xf>
    <xf numFmtId="172" fontId="5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 applyProtection="1">
      <alignment horizontal="right" vertical="center" wrapText="1" indent="1"/>
      <protection/>
    </xf>
    <xf numFmtId="172" fontId="4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5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5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0" applyFont="1" applyFill="1" applyAlignment="1" applyProtection="1">
      <alignment horizontal="right" vertical="center" wrapText="1" indent="1"/>
      <protection/>
    </xf>
    <xf numFmtId="3" fontId="5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0" applyFont="1" applyFill="1" applyAlignment="1" applyProtection="1">
      <alignment vertical="center" wrapText="1"/>
      <protection/>
    </xf>
    <xf numFmtId="4" fontId="5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2" fontId="5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0" fillId="0" borderId="11" xfId="77" applyNumberFormat="1" applyFont="1" applyBorder="1" applyAlignment="1">
      <alignment horizontal="right"/>
      <protection/>
    </xf>
    <xf numFmtId="3" fontId="40" fillId="0" borderId="27" xfId="77" applyNumberFormat="1" applyFont="1" applyBorder="1" applyAlignment="1">
      <alignment horizontal="right"/>
      <protection/>
    </xf>
    <xf numFmtId="3" fontId="50" fillId="0" borderId="11" xfId="51" applyNumberFormat="1" applyFont="1" applyBorder="1" applyAlignment="1" quotePrefix="1">
      <alignment horizontal="right"/>
    </xf>
    <xf numFmtId="3" fontId="50" fillId="0" borderId="11" xfId="51" applyNumberFormat="1" applyFont="1" applyBorder="1" applyAlignment="1">
      <alignment horizontal="right"/>
    </xf>
    <xf numFmtId="3" fontId="16" fillId="0" borderId="11" xfId="51" applyNumberFormat="1" applyFont="1" applyBorder="1" applyAlignment="1">
      <alignment horizontal="right"/>
    </xf>
    <xf numFmtId="3" fontId="40" fillId="0" borderId="27" xfId="77" applyNumberFormat="1" applyFont="1" applyBorder="1" applyAlignment="1">
      <alignment horizontal="right"/>
      <protection/>
    </xf>
    <xf numFmtId="0" fontId="0" fillId="0" borderId="21" xfId="76" applyFont="1" applyBorder="1">
      <alignment/>
      <protection/>
    </xf>
    <xf numFmtId="3" fontId="14" fillId="0" borderId="33" xfId="51" applyNumberFormat="1" applyFont="1" applyBorder="1" applyAlignment="1">
      <alignment horizontal="right"/>
    </xf>
    <xf numFmtId="3" fontId="14" fillId="0" borderId="29" xfId="51" applyNumberFormat="1" applyFont="1" applyBorder="1" applyAlignment="1">
      <alignment horizontal="right"/>
    </xf>
    <xf numFmtId="172" fontId="4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11" xfId="51" applyNumberFormat="1" applyFont="1" applyBorder="1" applyAlignment="1" quotePrefix="1">
      <alignment horizontal="right"/>
    </xf>
    <xf numFmtId="3" fontId="40" fillId="0" borderId="11" xfId="77" applyNumberFormat="1" applyFont="1" applyBorder="1" applyAlignment="1">
      <alignment horizontal="right"/>
      <protection/>
    </xf>
    <xf numFmtId="3" fontId="40" fillId="0" borderId="11" xfId="51" applyNumberFormat="1" applyFont="1" applyBorder="1" applyAlignment="1">
      <alignment horizontal="right"/>
    </xf>
    <xf numFmtId="174" fontId="41" fillId="0" borderId="42" xfId="46" applyNumberFormat="1" applyFont="1" applyBorder="1" applyAlignment="1">
      <alignment/>
    </xf>
    <xf numFmtId="172" fontId="40" fillId="0" borderId="27" xfId="75" applyNumberFormat="1" applyFont="1" applyFill="1" applyBorder="1" applyAlignment="1" applyProtection="1">
      <alignment vertical="center"/>
      <protection/>
    </xf>
    <xf numFmtId="172" fontId="40" fillId="0" borderId="28" xfId="75" applyNumberFormat="1" applyFont="1" applyFill="1" applyBorder="1" applyAlignment="1" applyProtection="1">
      <alignment vertical="center"/>
      <protection/>
    </xf>
    <xf numFmtId="3" fontId="7" fillId="0" borderId="34" xfId="71" applyNumberFormat="1" applyFont="1" applyBorder="1">
      <alignment/>
      <protection/>
    </xf>
    <xf numFmtId="3" fontId="13" fillId="0" borderId="13" xfId="71" applyNumberFormat="1" applyFont="1" applyBorder="1" applyAlignment="1">
      <alignment horizontal="right"/>
      <protection/>
    </xf>
    <xf numFmtId="3" fontId="13" fillId="0" borderId="11" xfId="71" applyNumberFormat="1" applyFont="1" applyFill="1" applyBorder="1">
      <alignment/>
      <protection/>
    </xf>
    <xf numFmtId="3" fontId="37" fillId="0" borderId="11" xfId="71" applyNumberFormat="1" applyFont="1" applyBorder="1">
      <alignment/>
      <protection/>
    </xf>
    <xf numFmtId="3" fontId="37" fillId="0" borderId="75" xfId="71" applyNumberFormat="1" applyFont="1" applyFill="1" applyBorder="1">
      <alignment/>
      <protection/>
    </xf>
    <xf numFmtId="3" fontId="37" fillId="0" borderId="19" xfId="71" applyNumberFormat="1" applyFont="1" applyBorder="1">
      <alignment/>
      <protection/>
    </xf>
    <xf numFmtId="3" fontId="56" fillId="0" borderId="14" xfId="71" applyNumberFormat="1" applyFont="1" applyBorder="1">
      <alignment/>
      <protection/>
    </xf>
    <xf numFmtId="3" fontId="37" fillId="0" borderId="17" xfId="71" applyNumberFormat="1" applyFont="1" applyBorder="1">
      <alignment/>
      <protection/>
    </xf>
    <xf numFmtId="3" fontId="56" fillId="0" borderId="11" xfId="71" applyNumberFormat="1" applyFont="1" applyBorder="1">
      <alignment/>
      <protection/>
    </xf>
    <xf numFmtId="3" fontId="37" fillId="0" borderId="75" xfId="71" applyNumberFormat="1" applyFont="1" applyBorder="1">
      <alignment/>
      <protection/>
    </xf>
    <xf numFmtId="3" fontId="37" fillId="0" borderId="15" xfId="71" applyNumberFormat="1" applyFont="1" applyBorder="1">
      <alignment/>
      <protection/>
    </xf>
    <xf numFmtId="172" fontId="15" fillId="0" borderId="31" xfId="73" applyNumberFormat="1" applyFont="1" applyFill="1" applyBorder="1" applyAlignment="1" applyProtection="1">
      <alignment horizontal="left" vertical="center"/>
      <protection/>
    </xf>
    <xf numFmtId="172" fontId="6" fillId="0" borderId="0" xfId="73" applyNumberFormat="1" applyFont="1" applyFill="1" applyBorder="1" applyAlignment="1" applyProtection="1">
      <alignment horizontal="center" vertical="center"/>
      <protection/>
    </xf>
    <xf numFmtId="172" fontId="15" fillId="0" borderId="31" xfId="73" applyNumberFormat="1" applyFont="1" applyFill="1" applyBorder="1" applyAlignment="1" applyProtection="1">
      <alignment horizontal="left"/>
      <protection/>
    </xf>
    <xf numFmtId="0" fontId="6" fillId="0" borderId="0" xfId="73" applyFont="1" applyFill="1" applyAlignment="1" applyProtection="1">
      <alignment horizontal="center"/>
      <protection/>
    </xf>
    <xf numFmtId="172" fontId="7" fillId="0" borderId="31" xfId="73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 wrapText="1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26" fillId="0" borderId="56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7" fillId="0" borderId="69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7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4" xfId="73" applyFont="1" applyFill="1" applyBorder="1" applyAlignment="1">
      <alignment horizontal="center" vertical="center" wrapText="1"/>
      <protection/>
    </xf>
    <xf numFmtId="0" fontId="3" fillId="0" borderId="46" xfId="73" applyFont="1" applyFill="1" applyBorder="1" applyAlignment="1">
      <alignment horizontal="center" vertical="center" wrapText="1"/>
      <protection/>
    </xf>
    <xf numFmtId="0" fontId="3" fillId="0" borderId="20" xfId="73" applyFont="1" applyFill="1" applyBorder="1" applyAlignment="1">
      <alignment horizontal="center" vertical="center" wrapText="1"/>
      <protection/>
    </xf>
    <xf numFmtId="0" fontId="3" fillId="0" borderId="19" xfId="73" applyFont="1" applyFill="1" applyBorder="1" applyAlignment="1">
      <alignment horizontal="center" vertical="center" wrapText="1"/>
      <protection/>
    </xf>
    <xf numFmtId="0" fontId="3" fillId="0" borderId="13" xfId="73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17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wrapText="1"/>
      <protection/>
    </xf>
    <xf numFmtId="0" fontId="7" fillId="0" borderId="40" xfId="0" applyFont="1" applyFill="1" applyBorder="1" applyAlignment="1" applyProtection="1">
      <alignment horizontal="left" indent="1"/>
      <protection/>
    </xf>
    <xf numFmtId="0" fontId="7" fillId="0" borderId="41" xfId="0" applyFont="1" applyFill="1" applyBorder="1" applyAlignment="1" applyProtection="1">
      <alignment horizontal="left" indent="1"/>
      <protection/>
    </xf>
    <xf numFmtId="0" fontId="7" fillId="0" borderId="39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34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46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 horizontal="center"/>
      <protection/>
    </xf>
    <xf numFmtId="0" fontId="16" fillId="0" borderId="54" xfId="0" applyFont="1" applyFill="1" applyBorder="1" applyAlignment="1" applyProtection="1">
      <alignment horizontal="left" indent="1"/>
      <protection locked="0"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16" fillId="0" borderId="76" xfId="0" applyFont="1" applyFill="1" applyBorder="1" applyAlignment="1" applyProtection="1">
      <alignment horizontal="left" indent="1"/>
      <protection locked="0"/>
    </xf>
    <xf numFmtId="0" fontId="16" fillId="0" borderId="36" xfId="0" applyFont="1" applyFill="1" applyBorder="1" applyAlignment="1" applyProtection="1">
      <alignment horizontal="left" indent="1"/>
      <protection locked="0"/>
    </xf>
    <xf numFmtId="0" fontId="16" fillId="0" borderId="37" xfId="0" applyFont="1" applyFill="1" applyBorder="1" applyAlignment="1" applyProtection="1">
      <alignment horizontal="left" indent="1"/>
      <protection locked="0"/>
    </xf>
    <xf numFmtId="0" fontId="16" fillId="0" borderId="75" xfId="0" applyFont="1" applyFill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14" fillId="0" borderId="24" xfId="77" applyFont="1" applyBorder="1" applyAlignment="1">
      <alignment horizontal="center" vertical="center"/>
      <protection/>
    </xf>
    <xf numFmtId="0" fontId="14" fillId="0" borderId="16" xfId="77" applyFont="1" applyBorder="1" applyAlignment="1">
      <alignment horizontal="center" vertical="center"/>
      <protection/>
    </xf>
    <xf numFmtId="0" fontId="14" fillId="0" borderId="18" xfId="77" applyFont="1" applyBorder="1" applyAlignment="1">
      <alignment horizontal="center" vertical="center"/>
      <protection/>
    </xf>
    <xf numFmtId="0" fontId="14" fillId="0" borderId="13" xfId="77" applyFont="1" applyBorder="1" applyAlignment="1">
      <alignment horizontal="left"/>
      <protection/>
    </xf>
    <xf numFmtId="0" fontId="28" fillId="0" borderId="13" xfId="77" applyBorder="1" applyAlignment="1">
      <alignment horizontal="left"/>
      <protection/>
    </xf>
    <xf numFmtId="0" fontId="28" fillId="0" borderId="34" xfId="77" applyBorder="1" applyAlignment="1">
      <alignment horizontal="left"/>
      <protection/>
    </xf>
    <xf numFmtId="0" fontId="14" fillId="0" borderId="30" xfId="77" applyFont="1" applyBorder="1" applyAlignment="1">
      <alignment horizontal="center" wrapText="1"/>
      <protection/>
    </xf>
    <xf numFmtId="0" fontId="29" fillId="0" borderId="47" xfId="74" applyFont="1" applyBorder="1" applyAlignment="1">
      <alignment wrapText="1"/>
      <protection/>
    </xf>
    <xf numFmtId="0" fontId="21" fillId="0" borderId="0" xfId="74" applyFont="1" applyFill="1" applyAlignment="1">
      <alignment horizontal="center"/>
      <protection/>
    </xf>
    <xf numFmtId="0" fontId="0" fillId="0" borderId="60" xfId="72" applyFont="1" applyBorder="1" applyAlignment="1">
      <alignment horizontal="left"/>
      <protection/>
    </xf>
    <xf numFmtId="0" fontId="0" fillId="0" borderId="61" xfId="72" applyFont="1" applyBorder="1" applyAlignment="1" quotePrefix="1">
      <alignment horizontal="left"/>
      <protection/>
    </xf>
    <xf numFmtId="172" fontId="7" fillId="0" borderId="40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72" fontId="7" fillId="0" borderId="64" xfId="0" applyNumberFormat="1" applyFont="1" applyFill="1" applyBorder="1" applyAlignment="1" applyProtection="1">
      <alignment horizontal="center" vertical="center"/>
      <protection/>
    </xf>
    <xf numFmtId="172" fontId="7" fillId="0" borderId="65" xfId="0" applyNumberFormat="1" applyFont="1" applyFill="1" applyBorder="1" applyAlignment="1" applyProtection="1">
      <alignment horizontal="center" vertical="center"/>
      <protection/>
    </xf>
    <xf numFmtId="172" fontId="7" fillId="0" borderId="54" xfId="0" applyNumberFormat="1" applyFont="1" applyFill="1" applyBorder="1" applyAlignment="1" applyProtection="1">
      <alignment horizontal="center" vertical="center"/>
      <protection/>
    </xf>
    <xf numFmtId="172" fontId="7" fillId="0" borderId="58" xfId="0" applyNumberFormat="1" applyFont="1" applyFill="1" applyBorder="1" applyAlignment="1" applyProtection="1">
      <alignment horizontal="center" vertical="center"/>
      <protection/>
    </xf>
    <xf numFmtId="172" fontId="7" fillId="0" borderId="59" xfId="0" applyNumberFormat="1" applyFont="1" applyFill="1" applyBorder="1" applyAlignment="1" applyProtection="1">
      <alignment horizontal="center" vertical="center"/>
      <protection/>
    </xf>
    <xf numFmtId="172" fontId="7" fillId="0" borderId="64" xfId="0" applyNumberFormat="1" applyFont="1" applyFill="1" applyBorder="1" applyAlignment="1" applyProtection="1">
      <alignment horizontal="center" vertical="center" wrapText="1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0" fontId="15" fillId="0" borderId="82" xfId="75" applyFont="1" applyFill="1" applyBorder="1" applyAlignment="1" applyProtection="1">
      <alignment horizontal="left" vertical="center" indent="1"/>
      <protection/>
    </xf>
    <xf numFmtId="0" fontId="15" fillId="0" borderId="41" xfId="75" applyFont="1" applyFill="1" applyBorder="1" applyAlignment="1" applyProtection="1">
      <alignment horizontal="left" vertical="center" indent="1"/>
      <protection/>
    </xf>
    <xf numFmtId="0" fontId="15" fillId="0" borderId="52" xfId="75" applyFont="1" applyFill="1" applyBorder="1" applyAlignment="1" applyProtection="1">
      <alignment horizontal="left" vertical="center" indent="1"/>
      <protection/>
    </xf>
    <xf numFmtId="0" fontId="6" fillId="0" borderId="0" xfId="75" applyFont="1" applyFill="1" applyAlignment="1" applyProtection="1">
      <alignment horizontal="center" wrapText="1"/>
      <protection/>
    </xf>
    <xf numFmtId="0" fontId="6" fillId="0" borderId="0" xfId="75" applyFont="1" applyFill="1" applyAlignment="1" applyProtection="1">
      <alignment horizontal="center"/>
      <protection/>
    </xf>
    <xf numFmtId="0" fontId="0" fillId="0" borderId="0" xfId="71" applyFont="1" applyAlignment="1">
      <alignment horizontal="center"/>
      <protection/>
    </xf>
    <xf numFmtId="0" fontId="8" fillId="0" borderId="0" xfId="71" applyFont="1" applyAlignment="1">
      <alignment horizontal="center"/>
      <protection/>
    </xf>
    <xf numFmtId="0" fontId="6" fillId="0" borderId="20" xfId="71" applyFont="1" applyBorder="1" applyAlignment="1">
      <alignment horizontal="center"/>
      <protection/>
    </xf>
    <xf numFmtId="0" fontId="6" fillId="0" borderId="13" xfId="71" applyFont="1" applyBorder="1" applyAlignment="1">
      <alignment horizontal="center"/>
      <protection/>
    </xf>
    <xf numFmtId="0" fontId="6" fillId="0" borderId="34" xfId="71" applyFont="1" applyBorder="1" applyAlignment="1">
      <alignment horizontal="center"/>
      <protection/>
    </xf>
  </cellXfs>
  <cellStyles count="7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yperlink" xfId="55"/>
    <cellStyle name="Hivatkozott cella" xfId="56"/>
    <cellStyle name="Jegyzet" xfId="57"/>
    <cellStyle name="Jelölőszín (1)" xfId="58"/>
    <cellStyle name="Jelölőszín (2)" xfId="59"/>
    <cellStyle name="Jelölőszín (3)" xfId="60"/>
    <cellStyle name="Jelölőszín (4)" xfId="61"/>
    <cellStyle name="Jelölőszín (5)" xfId="62"/>
    <cellStyle name="Jelölőszín (6)" xfId="63"/>
    <cellStyle name="Jó" xfId="64"/>
    <cellStyle name="Kimenet" xfId="65"/>
    <cellStyle name="Followed Hyperlink" xfId="66"/>
    <cellStyle name="Magyarázó szöveg" xfId="67"/>
    <cellStyle name="Már látott hiperhivatkozás" xfId="68"/>
    <cellStyle name="Normál 2" xfId="69"/>
    <cellStyle name="Normál 3" xfId="70"/>
    <cellStyle name="Normál_Göngyölített 12.13" xfId="71"/>
    <cellStyle name="Normál_költségvetési rend. mód. melléklet" xfId="72"/>
    <cellStyle name="Normál_KVRENMUNKA" xfId="73"/>
    <cellStyle name="Normál_Önkormányzati%20melléklet%202013.(1)" xfId="74"/>
    <cellStyle name="Normál_SEGEDLETEK" xfId="75"/>
    <cellStyle name="Normál_szakfeladat táblázat költségvetéshez" xfId="76"/>
    <cellStyle name="Normál_szakfeladatokhoz táblázat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K%20anyagai\v&#233;gleges%20El&#337;terjeszt&#233;s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9"/>
  <sheetViews>
    <sheetView view="pageLayout" zoomScaleSheetLayoutView="100" workbookViewId="0" topLeftCell="A1">
      <selection activeCell="G3" sqref="G3"/>
    </sheetView>
  </sheetViews>
  <sheetFormatPr defaultColWidth="9.00390625" defaultRowHeight="12.75"/>
  <cols>
    <col min="1" max="1" width="9.50390625" style="241" customWidth="1"/>
    <col min="2" max="2" width="91.625" style="241" customWidth="1"/>
    <col min="3" max="3" width="21.625" style="757" customWidth="1"/>
    <col min="4" max="5" width="14.50390625" style="252" hidden="1" customWidth="1"/>
    <col min="6" max="6" width="15.375" style="252" hidden="1" customWidth="1"/>
    <col min="7" max="7" width="10.625" style="252" customWidth="1"/>
    <col min="8" max="16384" width="9.375" style="252" customWidth="1"/>
  </cols>
  <sheetData>
    <row r="1" spans="1:3" ht="15.75" customHeight="1">
      <c r="A1" s="902" t="s">
        <v>40</v>
      </c>
      <c r="B1" s="902"/>
      <c r="C1" s="902"/>
    </row>
    <row r="2" spans="1:3" ht="15.75" customHeight="1" thickBot="1">
      <c r="A2" s="901" t="s">
        <v>163</v>
      </c>
      <c r="B2" s="901"/>
      <c r="C2" s="179" t="s">
        <v>651</v>
      </c>
    </row>
    <row r="3" spans="1:6" ht="37.5" customHeight="1" thickBot="1">
      <c r="A3" s="22" t="s">
        <v>94</v>
      </c>
      <c r="B3" s="23" t="s">
        <v>42</v>
      </c>
      <c r="C3" s="31" t="s">
        <v>638</v>
      </c>
      <c r="D3" s="241" t="s">
        <v>673</v>
      </c>
      <c r="E3" s="241" t="s">
        <v>674</v>
      </c>
      <c r="F3" s="241" t="s">
        <v>675</v>
      </c>
    </row>
    <row r="4" spans="1:3" s="253" customFormat="1" ht="12" customHeight="1" thickBot="1">
      <c r="A4" s="247" t="s">
        <v>500</v>
      </c>
      <c r="B4" s="248" t="s">
        <v>501</v>
      </c>
      <c r="C4" s="249" t="s">
        <v>502</v>
      </c>
    </row>
    <row r="5" spans="1:6" s="254" customFormat="1" ht="12" customHeight="1" thickBot="1">
      <c r="A5" s="19" t="s">
        <v>43</v>
      </c>
      <c r="B5" s="20" t="s">
        <v>230</v>
      </c>
      <c r="C5" s="170">
        <f>SUM(C6:C11)</f>
        <v>1239018195</v>
      </c>
      <c r="D5" s="552">
        <f>+D6+D7+D8+D9+D10+D11</f>
        <v>1190343400</v>
      </c>
      <c r="E5" s="170">
        <f>+E6+E7+E8+E9+E10+E11</f>
        <v>0</v>
      </c>
      <c r="F5" s="170">
        <f>+F6+F7+F8+F9+F10+F11</f>
        <v>0</v>
      </c>
    </row>
    <row r="6" spans="1:6" s="254" customFormat="1" ht="12" customHeight="1">
      <c r="A6" s="14" t="s">
        <v>122</v>
      </c>
      <c r="B6" s="255" t="s">
        <v>231</v>
      </c>
      <c r="C6" s="250">
        <f>SUM(D6:F6)+905743</f>
        <v>228418282</v>
      </c>
      <c r="D6" s="559">
        <v>227512539</v>
      </c>
      <c r="E6" s="293"/>
      <c r="F6" s="293"/>
    </row>
    <row r="7" spans="1:6" s="254" customFormat="1" ht="12" customHeight="1">
      <c r="A7" s="13" t="s">
        <v>123</v>
      </c>
      <c r="B7" s="256" t="s">
        <v>232</v>
      </c>
      <c r="C7" s="701">
        <f>SUM(D7:F7)+10461768</f>
        <v>228569062</v>
      </c>
      <c r="D7" s="498">
        <v>218107294</v>
      </c>
      <c r="E7" s="174"/>
      <c r="F7" s="174"/>
    </row>
    <row r="8" spans="1:6" s="254" customFormat="1" ht="12" customHeight="1">
      <c r="A8" s="13" t="s">
        <v>124</v>
      </c>
      <c r="B8" s="256" t="s">
        <v>623</v>
      </c>
      <c r="C8" s="701">
        <f>SUM(D8:F8)-35761000</f>
        <v>505153065</v>
      </c>
      <c r="D8" s="498">
        <f>121200000+67844165+118423160+15562200+177597260+4526280+11511000+24250000</f>
        <v>540914065</v>
      </c>
      <c r="E8" s="174"/>
      <c r="F8" s="174"/>
    </row>
    <row r="9" spans="1:6" s="254" customFormat="1" ht="12" customHeight="1">
      <c r="A9" s="13" t="s">
        <v>125</v>
      </c>
      <c r="B9" s="256" t="s">
        <v>234</v>
      </c>
      <c r="C9" s="768">
        <f>SUM(D9:F9)-4412740+4412740</f>
        <v>30304060</v>
      </c>
      <c r="D9" s="498">
        <f>4412740+15262320+10629000</f>
        <v>30304060</v>
      </c>
      <c r="E9" s="174"/>
      <c r="F9" s="174"/>
    </row>
    <row r="10" spans="1:6" s="254" customFormat="1" ht="12" customHeight="1">
      <c r="A10" s="13" t="s">
        <v>160</v>
      </c>
      <c r="B10" s="166" t="s">
        <v>503</v>
      </c>
      <c r="C10" s="768">
        <f>SUM(D10:F10)+23885805+49094027+4501192-4412740</f>
        <v>246573726</v>
      </c>
      <c r="D10" s="498">
        <f>3551000+1060845+168707597+58000+128000</f>
        <v>173505442</v>
      </c>
      <c r="E10" s="174"/>
      <c r="F10" s="174"/>
    </row>
    <row r="11" spans="1:6" s="254" customFormat="1" ht="12" customHeight="1" thickBot="1">
      <c r="A11" s="15" t="s">
        <v>126</v>
      </c>
      <c r="B11" s="167" t="s">
        <v>504</v>
      </c>
      <c r="C11" s="702">
        <f>SUM(D11:F11)</f>
        <v>0</v>
      </c>
      <c r="D11" s="153"/>
      <c r="E11" s="171"/>
      <c r="F11" s="171"/>
    </row>
    <row r="12" spans="1:6" s="254" customFormat="1" ht="12" customHeight="1" thickBot="1">
      <c r="A12" s="19" t="s">
        <v>44</v>
      </c>
      <c r="B12" s="165" t="s">
        <v>235</v>
      </c>
      <c r="C12" s="170">
        <f>SUM(C13:C17)</f>
        <v>615152497</v>
      </c>
      <c r="D12" s="552">
        <f>+D13+D14+D15+D16+D17</f>
        <v>178283000</v>
      </c>
      <c r="E12" s="170">
        <f>+E13+E14+E15+E16+E17</f>
        <v>0</v>
      </c>
      <c r="F12" s="170">
        <f>+F13+F14+F15+F16+F17</f>
        <v>5485000</v>
      </c>
    </row>
    <row r="13" spans="1:6" s="254" customFormat="1" ht="12" customHeight="1">
      <c r="A13" s="14" t="s">
        <v>128</v>
      </c>
      <c r="B13" s="255" t="s">
        <v>236</v>
      </c>
      <c r="C13" s="250">
        <f>SUM(D13:F13)</f>
        <v>0</v>
      </c>
      <c r="D13" s="554"/>
      <c r="E13" s="172"/>
      <c r="F13" s="172"/>
    </row>
    <row r="14" spans="1:6" s="254" customFormat="1" ht="12" customHeight="1">
      <c r="A14" s="13" t="s">
        <v>129</v>
      </c>
      <c r="B14" s="256" t="s">
        <v>237</v>
      </c>
      <c r="C14" s="749">
        <f>SUM(D14:F14)</f>
        <v>0</v>
      </c>
      <c r="D14" s="153"/>
      <c r="E14" s="171"/>
      <c r="F14" s="171"/>
    </row>
    <row r="15" spans="1:6" s="254" customFormat="1" ht="12" customHeight="1">
      <c r="A15" s="13" t="s">
        <v>130</v>
      </c>
      <c r="B15" s="256" t="s">
        <v>406</v>
      </c>
      <c r="C15" s="749">
        <f>SUM(D15:F15)</f>
        <v>0</v>
      </c>
      <c r="D15" s="153"/>
      <c r="E15" s="171"/>
      <c r="F15" s="171"/>
    </row>
    <row r="16" spans="1:6" s="254" customFormat="1" ht="12" customHeight="1">
      <c r="A16" s="13" t="s">
        <v>131</v>
      </c>
      <c r="B16" s="256" t="s">
        <v>407</v>
      </c>
      <c r="C16" s="749">
        <f>SUM(D16:F16)</f>
        <v>0</v>
      </c>
      <c r="D16" s="153"/>
      <c r="E16" s="171"/>
      <c r="F16" s="171"/>
    </row>
    <row r="17" spans="1:6" s="254" customFormat="1" ht="12" customHeight="1">
      <c r="A17" s="13" t="s">
        <v>132</v>
      </c>
      <c r="B17" s="256" t="s">
        <v>238</v>
      </c>
      <c r="C17" s="768">
        <f>SUM(D17:F17)+326152588+94906504+10325405</f>
        <v>615152497</v>
      </c>
      <c r="D17" s="509">
        <f>2285000+210000+110446000+65342000</f>
        <v>178283000</v>
      </c>
      <c r="E17" s="502"/>
      <c r="F17" s="174">
        <v>5485000</v>
      </c>
    </row>
    <row r="18" spans="1:6" s="254" customFormat="1" ht="12" customHeight="1" thickBot="1">
      <c r="A18" s="15" t="s">
        <v>141</v>
      </c>
      <c r="B18" s="167" t="s">
        <v>239</v>
      </c>
      <c r="C18" s="769">
        <v>374405</v>
      </c>
      <c r="D18" s="508"/>
      <c r="E18" s="244"/>
      <c r="F18" s="244"/>
    </row>
    <row r="19" spans="1:6" s="254" customFormat="1" ht="12" customHeight="1" thickBot="1">
      <c r="A19" s="19" t="s">
        <v>45</v>
      </c>
      <c r="B19" s="20" t="s">
        <v>240</v>
      </c>
      <c r="C19" s="170">
        <f>SUM(C20:C24)</f>
        <v>112681605</v>
      </c>
      <c r="D19" s="552">
        <f>+D20+D21+D22+D23+D24</f>
        <v>3797300</v>
      </c>
      <c r="E19" s="170">
        <f>+E20+E21+E22+E23+E24</f>
        <v>0</v>
      </c>
      <c r="F19" s="170">
        <f>+F20+F21+F22+F23+F24</f>
        <v>0</v>
      </c>
    </row>
    <row r="20" spans="1:6" s="254" customFormat="1" ht="12" customHeight="1">
      <c r="A20" s="14" t="s">
        <v>111</v>
      </c>
      <c r="B20" s="255" t="s">
        <v>241</v>
      </c>
      <c r="C20" s="250">
        <f>SUM(D20:F20)</f>
        <v>0</v>
      </c>
      <c r="D20" s="657"/>
      <c r="E20" s="496"/>
      <c r="F20" s="496"/>
    </row>
    <row r="21" spans="1:6" s="254" customFormat="1" ht="12" customHeight="1">
      <c r="A21" s="13" t="s">
        <v>112</v>
      </c>
      <c r="B21" s="256" t="s">
        <v>242</v>
      </c>
      <c r="C21" s="749">
        <f>SUM(D21:F21)</f>
        <v>0</v>
      </c>
      <c r="D21" s="498"/>
      <c r="E21" s="174"/>
      <c r="F21" s="174"/>
    </row>
    <row r="22" spans="1:6" s="254" customFormat="1" ht="12" customHeight="1">
      <c r="A22" s="13" t="s">
        <v>113</v>
      </c>
      <c r="B22" s="256" t="s">
        <v>408</v>
      </c>
      <c r="C22" s="749">
        <f>SUM(D22:F22)</f>
        <v>0</v>
      </c>
      <c r="D22" s="498"/>
      <c r="E22" s="174"/>
      <c r="F22" s="174"/>
    </row>
    <row r="23" spans="1:6" s="254" customFormat="1" ht="12" customHeight="1">
      <c r="A23" s="13" t="s">
        <v>114</v>
      </c>
      <c r="B23" s="256" t="s">
        <v>409</v>
      </c>
      <c r="C23" s="749">
        <f>SUM(D23:F23)</f>
        <v>0</v>
      </c>
      <c r="D23" s="498"/>
      <c r="E23" s="174"/>
      <c r="F23" s="174"/>
    </row>
    <row r="24" spans="1:6" s="254" customFormat="1" ht="12" customHeight="1">
      <c r="A24" s="13" t="s">
        <v>172</v>
      </c>
      <c r="B24" s="256" t="s">
        <v>243</v>
      </c>
      <c r="C24" s="768">
        <f>SUM(D24:F24)+15179276+93705029</f>
        <v>112681605</v>
      </c>
      <c r="D24" s="498">
        <f>3797300</f>
        <v>3797300</v>
      </c>
      <c r="E24" s="174"/>
      <c r="F24" s="174"/>
    </row>
    <row r="25" spans="1:6" s="254" customFormat="1" ht="12" customHeight="1" thickBot="1">
      <c r="A25" s="15" t="s">
        <v>173</v>
      </c>
      <c r="B25" s="257" t="s">
        <v>244</v>
      </c>
      <c r="C25" s="769">
        <f>SUM(D25:F25)+91545029</f>
        <v>95342329</v>
      </c>
      <c r="D25" s="508">
        <v>3797300</v>
      </c>
      <c r="E25" s="244"/>
      <c r="F25" s="244"/>
    </row>
    <row r="26" spans="1:6" s="254" customFormat="1" ht="12" customHeight="1" thickBot="1">
      <c r="A26" s="19" t="s">
        <v>174</v>
      </c>
      <c r="B26" s="20" t="s">
        <v>245</v>
      </c>
      <c r="C26" s="170">
        <f>SUM(C27)+SUM(C30:C33)</f>
        <v>319390000</v>
      </c>
      <c r="D26" s="556">
        <f>+D27+D31+D32+D33</f>
        <v>319390000</v>
      </c>
      <c r="E26" s="175">
        <f>+E27+E31+E32+E33</f>
        <v>0</v>
      </c>
      <c r="F26" s="175">
        <f>+F27+F31+F32+F33</f>
        <v>0</v>
      </c>
    </row>
    <row r="27" spans="1:6" s="254" customFormat="1" ht="12" customHeight="1">
      <c r="A27" s="14" t="s">
        <v>246</v>
      </c>
      <c r="B27" s="255" t="s">
        <v>505</v>
      </c>
      <c r="C27" s="250">
        <f>SUM(C28:C29)</f>
        <v>282830000</v>
      </c>
      <c r="D27" s="658">
        <f>SUM(D28:D30)</f>
        <v>282830000</v>
      </c>
      <c r="E27" s="250"/>
      <c r="F27" s="250"/>
    </row>
    <row r="28" spans="1:6" s="254" customFormat="1" ht="12" customHeight="1">
      <c r="A28" s="13" t="s">
        <v>247</v>
      </c>
      <c r="B28" s="256" t="s">
        <v>252</v>
      </c>
      <c r="C28" s="749">
        <f>SUM(D28:F28)</f>
        <v>78990000</v>
      </c>
      <c r="D28" s="153">
        <f>8990000+70000000</f>
        <v>78990000</v>
      </c>
      <c r="E28" s="171"/>
      <c r="F28" s="171"/>
    </row>
    <row r="29" spans="1:6" s="254" customFormat="1" ht="12" customHeight="1">
      <c r="A29" s="13" t="s">
        <v>248</v>
      </c>
      <c r="B29" s="256" t="s">
        <v>604</v>
      </c>
      <c r="C29" s="749">
        <f>SUM(D29:F29)</f>
        <v>203840000</v>
      </c>
      <c r="D29" s="153">
        <v>203840000</v>
      </c>
      <c r="E29" s="171"/>
      <c r="F29" s="171"/>
    </row>
    <row r="30" spans="1:6" s="254" customFormat="1" ht="12" customHeight="1">
      <c r="A30" s="13" t="s">
        <v>249</v>
      </c>
      <c r="B30" s="256" t="s">
        <v>605</v>
      </c>
      <c r="C30" s="749">
        <f>SUM(D30:F30)</f>
        <v>0</v>
      </c>
      <c r="D30" s="498"/>
      <c r="E30" s="174"/>
      <c r="F30" s="174"/>
    </row>
    <row r="31" spans="1:6" s="254" customFormat="1" ht="12" customHeight="1">
      <c r="A31" s="13" t="s">
        <v>606</v>
      </c>
      <c r="B31" s="256" t="s">
        <v>254</v>
      </c>
      <c r="C31" s="749">
        <f>SUM(D31:F31)</f>
        <v>27000000</v>
      </c>
      <c r="D31" s="153">
        <f>27000000</f>
        <v>27000000</v>
      </c>
      <c r="E31" s="171"/>
      <c r="F31" s="171"/>
    </row>
    <row r="32" spans="1:6" s="254" customFormat="1" ht="12" customHeight="1">
      <c r="A32" s="13" t="s">
        <v>251</v>
      </c>
      <c r="B32" s="256" t="s">
        <v>255</v>
      </c>
      <c r="C32" s="749">
        <f>SUM(D32:F32)-4000000</f>
        <v>60000</v>
      </c>
      <c r="D32" s="153">
        <v>4060000</v>
      </c>
      <c r="E32" s="171"/>
      <c r="F32" s="171"/>
    </row>
    <row r="33" spans="1:6" s="254" customFormat="1" ht="12" customHeight="1" thickBot="1">
      <c r="A33" s="15" t="s">
        <v>607</v>
      </c>
      <c r="B33" s="257" t="s">
        <v>256</v>
      </c>
      <c r="C33" s="750">
        <f>SUM(D33:F33)+4000000</f>
        <v>9500000</v>
      </c>
      <c r="D33" s="508">
        <v>5500000</v>
      </c>
      <c r="E33" s="244"/>
      <c r="F33" s="244"/>
    </row>
    <row r="34" spans="1:6" s="254" customFormat="1" ht="12" customHeight="1" thickBot="1">
      <c r="A34" s="19" t="s">
        <v>47</v>
      </c>
      <c r="B34" s="20" t="s">
        <v>508</v>
      </c>
      <c r="C34" s="170">
        <f>SUM(C35:C45)</f>
        <v>459637174</v>
      </c>
      <c r="D34" s="552">
        <f>SUM(D35:D45)</f>
        <v>48800000</v>
      </c>
      <c r="E34" s="170">
        <f>SUM(E35:E45)</f>
        <v>9416500</v>
      </c>
      <c r="F34" s="170">
        <f>SUM(F35:F45)</f>
        <v>389838178</v>
      </c>
    </row>
    <row r="35" spans="1:6" s="254" customFormat="1" ht="12" customHeight="1">
      <c r="A35" s="14" t="s">
        <v>115</v>
      </c>
      <c r="B35" s="255" t="s">
        <v>259</v>
      </c>
      <c r="C35" s="770">
        <f>SUM(D35:F35)+5500000+275371</f>
        <v>18862371</v>
      </c>
      <c r="D35" s="559">
        <f>3937000+4000000+5000000</f>
        <v>12937000</v>
      </c>
      <c r="E35" s="293"/>
      <c r="F35" s="293">
        <v>150000</v>
      </c>
    </row>
    <row r="36" spans="1:6" s="254" customFormat="1" ht="12" customHeight="1">
      <c r="A36" s="13" t="s">
        <v>116</v>
      </c>
      <c r="B36" s="256" t="s">
        <v>260</v>
      </c>
      <c r="C36" s="768">
        <f>SUM(D36:F36)+1813568-195228</f>
        <v>89609678</v>
      </c>
      <c r="D36" s="498">
        <f>100000+12004000+160000</f>
        <v>12264000</v>
      </c>
      <c r="E36" s="174">
        <v>7533500</v>
      </c>
      <c r="F36" s="293">
        <v>68193838</v>
      </c>
    </row>
    <row r="37" spans="1:6" s="254" customFormat="1" ht="12" customHeight="1">
      <c r="A37" s="13" t="s">
        <v>117</v>
      </c>
      <c r="B37" s="256" t="s">
        <v>261</v>
      </c>
      <c r="C37" s="768">
        <f>SUM(D37:F37)+1061599-195228</f>
        <v>96489711</v>
      </c>
      <c r="D37" s="498">
        <f>8458000+947000</f>
        <v>9405000</v>
      </c>
      <c r="E37" s="174">
        <v>500000</v>
      </c>
      <c r="F37" s="293">
        <v>85718340</v>
      </c>
    </row>
    <row r="38" spans="1:6" s="254" customFormat="1" ht="12" customHeight="1">
      <c r="A38" s="13" t="s">
        <v>176</v>
      </c>
      <c r="B38" s="256" t="s">
        <v>262</v>
      </c>
      <c r="C38" s="749">
        <f>SUM(D38:F38)</f>
        <v>430000</v>
      </c>
      <c r="D38" s="498">
        <f>430000</f>
        <v>430000</v>
      </c>
      <c r="E38" s="174"/>
      <c r="F38" s="293"/>
    </row>
    <row r="39" spans="1:6" s="254" customFormat="1" ht="12" customHeight="1">
      <c r="A39" s="13" t="s">
        <v>177</v>
      </c>
      <c r="B39" s="256" t="s">
        <v>263</v>
      </c>
      <c r="C39" s="749">
        <f>SUM(D39:F39)</f>
        <v>182811402</v>
      </c>
      <c r="D39" s="498"/>
      <c r="E39" s="174"/>
      <c r="F39" s="293">
        <v>182811402</v>
      </c>
    </row>
    <row r="40" spans="1:6" s="254" customFormat="1" ht="12" customHeight="1">
      <c r="A40" s="13" t="s">
        <v>178</v>
      </c>
      <c r="B40" s="256" t="s">
        <v>264</v>
      </c>
      <c r="C40" s="768">
        <f>SUM(D40:F40)+270000+1485000+976640+195228+195228</f>
        <v>48855694</v>
      </c>
      <c r="D40" s="498">
        <f>1063000+3242000+5853000+44000+378000+600000+1350000</f>
        <v>12530000</v>
      </c>
      <c r="E40" s="174">
        <v>1283000</v>
      </c>
      <c r="F40" s="293">
        <v>31920598</v>
      </c>
    </row>
    <row r="41" spans="1:6" s="254" customFormat="1" ht="12" customHeight="1">
      <c r="A41" s="13" t="s">
        <v>179</v>
      </c>
      <c r="B41" s="256" t="s">
        <v>265</v>
      </c>
      <c r="C41" s="749">
        <f>SUM(D41:F41)</f>
        <v>21034000</v>
      </c>
      <c r="D41" s="498"/>
      <c r="E41" s="174"/>
      <c r="F41" s="293">
        <v>21034000</v>
      </c>
    </row>
    <row r="42" spans="1:6" s="254" customFormat="1" ht="12" customHeight="1">
      <c r="A42" s="13" t="s">
        <v>180</v>
      </c>
      <c r="B42" s="256" t="s">
        <v>620</v>
      </c>
      <c r="C42" s="749">
        <f>SUM(D42:F42)</f>
        <v>40000</v>
      </c>
      <c r="D42" s="498">
        <v>30000</v>
      </c>
      <c r="E42" s="174"/>
      <c r="F42" s="293">
        <v>10000</v>
      </c>
    </row>
    <row r="43" spans="1:6" s="254" customFormat="1" ht="12" customHeight="1">
      <c r="A43" s="13" t="s">
        <v>257</v>
      </c>
      <c r="B43" s="256" t="s">
        <v>267</v>
      </c>
      <c r="C43" s="749">
        <f>SUM(D43:F43)</f>
        <v>0</v>
      </c>
      <c r="D43" s="498"/>
      <c r="E43" s="174"/>
      <c r="F43" s="293"/>
    </row>
    <row r="44" spans="1:6" s="254" customFormat="1" ht="12" customHeight="1">
      <c r="A44" s="15" t="s">
        <v>258</v>
      </c>
      <c r="B44" s="257" t="s">
        <v>509</v>
      </c>
      <c r="C44" s="749">
        <f>SUM(D44:F44)</f>
        <v>500000</v>
      </c>
      <c r="D44" s="508">
        <f>500000</f>
        <v>500000</v>
      </c>
      <c r="E44" s="244"/>
      <c r="F44" s="293"/>
    </row>
    <row r="45" spans="1:6" s="254" customFormat="1" ht="12" customHeight="1" thickBot="1">
      <c r="A45" s="15" t="s">
        <v>510</v>
      </c>
      <c r="B45" s="167" t="s">
        <v>268</v>
      </c>
      <c r="C45" s="769">
        <f>SUM(D45:F45)+200318</f>
        <v>1004318</v>
      </c>
      <c r="D45" s="508">
        <f>704000</f>
        <v>704000</v>
      </c>
      <c r="E45" s="244">
        <v>100000</v>
      </c>
      <c r="F45" s="293"/>
    </row>
    <row r="46" spans="1:6" s="254" customFormat="1" ht="12" customHeight="1" thickBot="1">
      <c r="A46" s="19" t="s">
        <v>48</v>
      </c>
      <c r="B46" s="20" t="s">
        <v>269</v>
      </c>
      <c r="C46" s="170">
        <f>SUM(C47:C51)</f>
        <v>47429000</v>
      </c>
      <c r="D46" s="552">
        <f>SUM(D47:D51)</f>
        <v>25179000</v>
      </c>
      <c r="E46" s="170">
        <f>SUM(E47:E51)</f>
        <v>0</v>
      </c>
      <c r="F46" s="170">
        <f>SUM(F47:F51)</f>
        <v>0</v>
      </c>
    </row>
    <row r="47" spans="1:6" s="254" customFormat="1" ht="12" customHeight="1">
      <c r="A47" s="14" t="s">
        <v>118</v>
      </c>
      <c r="B47" s="255" t="s">
        <v>273</v>
      </c>
      <c r="C47" s="250">
        <f>SUM(D47:F47)</f>
        <v>0</v>
      </c>
      <c r="D47" s="559"/>
      <c r="E47" s="293"/>
      <c r="F47" s="293"/>
    </row>
    <row r="48" spans="1:6" s="254" customFormat="1" ht="12" customHeight="1">
      <c r="A48" s="13" t="s">
        <v>119</v>
      </c>
      <c r="B48" s="256" t="s">
        <v>274</v>
      </c>
      <c r="C48" s="749">
        <f>SUM(D48:F48)+22000000</f>
        <v>47179000</v>
      </c>
      <c r="D48" s="498">
        <f>25179000</f>
        <v>25179000</v>
      </c>
      <c r="E48" s="174"/>
      <c r="F48" s="174"/>
    </row>
    <row r="49" spans="1:6" s="254" customFormat="1" ht="12" customHeight="1">
      <c r="A49" s="13" t="s">
        <v>270</v>
      </c>
      <c r="B49" s="256" t="s">
        <v>275</v>
      </c>
      <c r="C49" s="749">
        <v>250000</v>
      </c>
      <c r="D49" s="498"/>
      <c r="E49" s="174"/>
      <c r="F49" s="174"/>
    </row>
    <row r="50" spans="1:6" s="254" customFormat="1" ht="12" customHeight="1">
      <c r="A50" s="13" t="s">
        <v>271</v>
      </c>
      <c r="B50" s="256" t="s">
        <v>276</v>
      </c>
      <c r="C50" s="749">
        <f>SUM(D50:F50)</f>
        <v>0</v>
      </c>
      <c r="D50" s="498"/>
      <c r="E50" s="174"/>
      <c r="F50" s="174"/>
    </row>
    <row r="51" spans="1:6" s="254" customFormat="1" ht="12" customHeight="1" thickBot="1">
      <c r="A51" s="15" t="s">
        <v>272</v>
      </c>
      <c r="B51" s="167" t="s">
        <v>277</v>
      </c>
      <c r="C51" s="750">
        <f>SUM(D51:F51)</f>
        <v>0</v>
      </c>
      <c r="D51" s="508"/>
      <c r="E51" s="244"/>
      <c r="F51" s="244"/>
    </row>
    <row r="52" spans="1:6" s="254" customFormat="1" ht="12" customHeight="1" thickBot="1">
      <c r="A52" s="19" t="s">
        <v>181</v>
      </c>
      <c r="B52" s="20" t="s">
        <v>278</v>
      </c>
      <c r="C52" s="170">
        <f>SUM(C53:C55)</f>
        <v>6024000</v>
      </c>
      <c r="D52" s="552">
        <f>SUM(D53:D55)</f>
        <v>6024000</v>
      </c>
      <c r="E52" s="170">
        <f>SUM(E53:E55)</f>
        <v>0</v>
      </c>
      <c r="F52" s="170">
        <f>SUM(F53:F55)</f>
        <v>0</v>
      </c>
    </row>
    <row r="53" spans="1:6" s="254" customFormat="1" ht="12" customHeight="1">
      <c r="A53" s="14" t="s">
        <v>120</v>
      </c>
      <c r="B53" s="255" t="s">
        <v>279</v>
      </c>
      <c r="C53" s="250">
        <f>SUM(D53:F53)</f>
        <v>0</v>
      </c>
      <c r="D53" s="554"/>
      <c r="E53" s="172"/>
      <c r="F53" s="172"/>
    </row>
    <row r="54" spans="1:6" s="254" customFormat="1" ht="12" customHeight="1">
      <c r="A54" s="13" t="s">
        <v>121</v>
      </c>
      <c r="B54" s="256" t="s">
        <v>410</v>
      </c>
      <c r="C54" s="749">
        <f>SUM(D54:F54)</f>
        <v>1949000</v>
      </c>
      <c r="D54" s="498">
        <f>383000+1566000</f>
        <v>1949000</v>
      </c>
      <c r="E54" s="174"/>
      <c r="F54" s="174"/>
    </row>
    <row r="55" spans="1:6" s="254" customFormat="1" ht="12" customHeight="1">
      <c r="A55" s="13" t="s">
        <v>282</v>
      </c>
      <c r="B55" s="256" t="s">
        <v>280</v>
      </c>
      <c r="C55" s="749">
        <f>SUM(D55:F55)</f>
        <v>4075000</v>
      </c>
      <c r="D55" s="498">
        <f>4075000</f>
        <v>4075000</v>
      </c>
      <c r="E55" s="174"/>
      <c r="F55" s="174"/>
    </row>
    <row r="56" spans="1:6" s="254" customFormat="1" ht="12" customHeight="1" thickBot="1">
      <c r="A56" s="15" t="s">
        <v>283</v>
      </c>
      <c r="B56" s="167" t="s">
        <v>281</v>
      </c>
      <c r="C56" s="750">
        <f>SUM(D56:F56)</f>
        <v>0</v>
      </c>
      <c r="D56" s="154"/>
      <c r="E56" s="173"/>
      <c r="F56" s="173"/>
    </row>
    <row r="57" spans="1:6" s="254" customFormat="1" ht="12" customHeight="1" thickBot="1">
      <c r="A57" s="19" t="s">
        <v>50</v>
      </c>
      <c r="B57" s="165" t="s">
        <v>284</v>
      </c>
      <c r="C57" s="170">
        <f>SUM(C58:C60)</f>
        <v>0</v>
      </c>
      <c r="D57" s="552">
        <f>SUM(D58:D60)</f>
        <v>0</v>
      </c>
      <c r="E57" s="170">
        <f>SUM(E58:E60)</f>
        <v>0</v>
      </c>
      <c r="F57" s="170">
        <f>SUM(F58:F60)</f>
        <v>0</v>
      </c>
    </row>
    <row r="58" spans="1:6" s="254" customFormat="1" ht="12" customHeight="1">
      <c r="A58" s="14" t="s">
        <v>182</v>
      </c>
      <c r="B58" s="255" t="s">
        <v>286</v>
      </c>
      <c r="C58" s="250">
        <f>SUM(D58:F58)</f>
        <v>0</v>
      </c>
      <c r="D58" s="498"/>
      <c r="E58" s="174"/>
      <c r="F58" s="174"/>
    </row>
    <row r="59" spans="1:6" s="254" customFormat="1" ht="12" customHeight="1">
      <c r="A59" s="13" t="s">
        <v>183</v>
      </c>
      <c r="B59" s="256" t="s">
        <v>411</v>
      </c>
      <c r="C59" s="749">
        <f>SUM(D59:F59)</f>
        <v>0</v>
      </c>
      <c r="D59" s="498"/>
      <c r="E59" s="174"/>
      <c r="F59" s="174"/>
    </row>
    <row r="60" spans="1:6" s="254" customFormat="1" ht="12" customHeight="1">
      <c r="A60" s="13" t="s">
        <v>209</v>
      </c>
      <c r="B60" s="256" t="s">
        <v>287</v>
      </c>
      <c r="C60" s="749">
        <f>SUM(D60:F60)</f>
        <v>0</v>
      </c>
      <c r="D60" s="498"/>
      <c r="E60" s="174"/>
      <c r="F60" s="174"/>
    </row>
    <row r="61" spans="1:6" s="254" customFormat="1" ht="12" customHeight="1" thickBot="1">
      <c r="A61" s="15" t="s">
        <v>285</v>
      </c>
      <c r="B61" s="167" t="s">
        <v>288</v>
      </c>
      <c r="C61" s="750">
        <f>SUM(D61:F61)</f>
        <v>0</v>
      </c>
      <c r="D61" s="498"/>
      <c r="E61" s="174"/>
      <c r="F61" s="174"/>
    </row>
    <row r="62" spans="1:6" s="254" customFormat="1" ht="12" customHeight="1" thickBot="1">
      <c r="A62" s="477" t="s">
        <v>511</v>
      </c>
      <c r="B62" s="20" t="s">
        <v>289</v>
      </c>
      <c r="C62" s="170">
        <f>C57+C52+C46+C34+C26+C19+C12+C5</f>
        <v>2799332471</v>
      </c>
      <c r="D62" s="556">
        <f>+D5+D12+D19+D26+D34+D46+D52+D57</f>
        <v>1771816700</v>
      </c>
      <c r="E62" s="175">
        <f>+E5+E12+E19+E26+E34+E46+E52+E57</f>
        <v>9416500</v>
      </c>
      <c r="F62" s="175">
        <f>+F5+F12+F19+F26+F34+F46+F52+F57</f>
        <v>395323178</v>
      </c>
    </row>
    <row r="63" spans="1:6" s="254" customFormat="1" ht="12" customHeight="1" thickBot="1">
      <c r="A63" s="478" t="s">
        <v>290</v>
      </c>
      <c r="B63" s="165" t="s">
        <v>291</v>
      </c>
      <c r="C63" s="484">
        <f>SUM(C64:C66)</f>
        <v>182000000</v>
      </c>
      <c r="D63" s="552">
        <f>SUM(D64:D66)</f>
        <v>144100000</v>
      </c>
      <c r="E63" s="170">
        <f>SUM(E64:E66)</f>
        <v>0</v>
      </c>
      <c r="F63" s="170">
        <f>SUM(F64:F66)</f>
        <v>0</v>
      </c>
    </row>
    <row r="64" spans="1:6" s="254" customFormat="1" ht="12" customHeight="1">
      <c r="A64" s="14" t="s">
        <v>322</v>
      </c>
      <c r="B64" s="255" t="s">
        <v>292</v>
      </c>
      <c r="C64" s="770">
        <f>SUM(D64:F64)+37900000</f>
        <v>82000000</v>
      </c>
      <c r="D64" s="498">
        <v>44100000</v>
      </c>
      <c r="E64" s="174"/>
      <c r="F64" s="174"/>
    </row>
    <row r="65" spans="1:6" s="254" customFormat="1" ht="12" customHeight="1">
      <c r="A65" s="13" t="s">
        <v>331</v>
      </c>
      <c r="B65" s="256" t="s">
        <v>293</v>
      </c>
      <c r="C65" s="749">
        <f>SUM(D65:F65)</f>
        <v>100000000</v>
      </c>
      <c r="D65" s="498">
        <v>100000000</v>
      </c>
      <c r="E65" s="174"/>
      <c r="F65" s="174"/>
    </row>
    <row r="66" spans="1:6" s="254" customFormat="1" ht="12" customHeight="1" thickBot="1">
      <c r="A66" s="15" t="s">
        <v>332</v>
      </c>
      <c r="B66" s="479" t="s">
        <v>512</v>
      </c>
      <c r="C66" s="750">
        <f>SUM(D66:F66)</f>
        <v>0</v>
      </c>
      <c r="D66" s="498"/>
      <c r="E66" s="174"/>
      <c r="F66" s="174"/>
    </row>
    <row r="67" spans="1:6" s="254" customFormat="1" ht="12" customHeight="1" thickBot="1">
      <c r="A67" s="478" t="s">
        <v>295</v>
      </c>
      <c r="B67" s="165" t="s">
        <v>296</v>
      </c>
      <c r="C67" s="751">
        <f>SUM(C68:C71)</f>
        <v>0</v>
      </c>
      <c r="D67" s="552">
        <f>SUM(D68:D71)</f>
        <v>0</v>
      </c>
      <c r="E67" s="170">
        <f>SUM(E68:E71)</f>
        <v>0</v>
      </c>
      <c r="F67" s="170">
        <f>SUM(F68:F71)</f>
        <v>0</v>
      </c>
    </row>
    <row r="68" spans="1:6" s="254" customFormat="1" ht="12" customHeight="1">
      <c r="A68" s="14" t="s">
        <v>161</v>
      </c>
      <c r="B68" s="255" t="s">
        <v>297</v>
      </c>
      <c r="C68" s="250">
        <f>SUM(D68:F68)</f>
        <v>0</v>
      </c>
      <c r="D68" s="498"/>
      <c r="E68" s="174"/>
      <c r="F68" s="174"/>
    </row>
    <row r="69" spans="1:6" s="254" customFormat="1" ht="12" customHeight="1">
      <c r="A69" s="13" t="s">
        <v>162</v>
      </c>
      <c r="B69" s="256" t="s">
        <v>298</v>
      </c>
      <c r="C69" s="749">
        <f>SUM(D69:F69)</f>
        <v>0</v>
      </c>
      <c r="D69" s="498"/>
      <c r="E69" s="174"/>
      <c r="F69" s="174"/>
    </row>
    <row r="70" spans="1:6" s="254" customFormat="1" ht="12" customHeight="1">
      <c r="A70" s="13" t="s">
        <v>323</v>
      </c>
      <c r="B70" s="256" t="s">
        <v>299</v>
      </c>
      <c r="C70" s="749">
        <f>SUM(D70:F70)</f>
        <v>0</v>
      </c>
      <c r="D70" s="498"/>
      <c r="E70" s="174"/>
      <c r="F70" s="174"/>
    </row>
    <row r="71" spans="1:6" s="254" customFormat="1" ht="12" customHeight="1" thickBot="1">
      <c r="A71" s="15" t="s">
        <v>324</v>
      </c>
      <c r="B71" s="167" t="s">
        <v>300</v>
      </c>
      <c r="C71" s="750">
        <f>SUM(D71:F71)</f>
        <v>0</v>
      </c>
      <c r="D71" s="498"/>
      <c r="E71" s="174"/>
      <c r="F71" s="174"/>
    </row>
    <row r="72" spans="1:6" s="254" customFormat="1" ht="12" customHeight="1" thickBot="1">
      <c r="A72" s="478" t="s">
        <v>301</v>
      </c>
      <c r="B72" s="165" t="s">
        <v>302</v>
      </c>
      <c r="C72" s="170">
        <f>SUM(C73:C74)</f>
        <v>292999415</v>
      </c>
      <c r="D72" s="552">
        <f>SUM(D73:D74)</f>
        <v>289331423</v>
      </c>
      <c r="E72" s="170">
        <f>SUM(E73:E74)</f>
        <v>447404</v>
      </c>
      <c r="F72" s="170">
        <f>SUM(F73:F74)</f>
        <v>3220588</v>
      </c>
    </row>
    <row r="73" spans="1:6" s="254" customFormat="1" ht="12" customHeight="1">
      <c r="A73" s="14" t="s">
        <v>325</v>
      </c>
      <c r="B73" s="255" t="s">
        <v>303</v>
      </c>
      <c r="C73" s="250">
        <f>SUM(D73:F73)</f>
        <v>292999415</v>
      </c>
      <c r="D73" s="498">
        <v>289331423</v>
      </c>
      <c r="E73" s="174">
        <v>447404</v>
      </c>
      <c r="F73" s="174">
        <v>3220588</v>
      </c>
    </row>
    <row r="74" spans="1:6" s="254" customFormat="1" ht="12" customHeight="1" thickBot="1">
      <c r="A74" s="15" t="s">
        <v>326</v>
      </c>
      <c r="B74" s="167" t="s">
        <v>304</v>
      </c>
      <c r="C74" s="750">
        <f>SUM(D74:F74)</f>
        <v>0</v>
      </c>
      <c r="D74" s="498"/>
      <c r="E74" s="174"/>
      <c r="F74" s="174"/>
    </row>
    <row r="75" spans="1:6" s="254" customFormat="1" ht="12" customHeight="1" thickBot="1">
      <c r="A75" s="478" t="s">
        <v>305</v>
      </c>
      <c r="B75" s="165" t="s">
        <v>306</v>
      </c>
      <c r="C75" s="751">
        <f>SUM(C76:C78)</f>
        <v>0</v>
      </c>
      <c r="D75" s="552">
        <f>SUM(D76:D78)</f>
        <v>0</v>
      </c>
      <c r="E75" s="170">
        <f>SUM(E76:E78)</f>
        <v>0</v>
      </c>
      <c r="F75" s="170">
        <f>SUM(F76:F78)</f>
        <v>0</v>
      </c>
    </row>
    <row r="76" spans="1:6" s="254" customFormat="1" ht="12" customHeight="1">
      <c r="A76" s="14" t="s">
        <v>327</v>
      </c>
      <c r="B76" s="255" t="s">
        <v>307</v>
      </c>
      <c r="C76" s="250">
        <f>SUM(D76:F76)</f>
        <v>0</v>
      </c>
      <c r="D76" s="498"/>
      <c r="E76" s="174"/>
      <c r="F76" s="174"/>
    </row>
    <row r="77" spans="1:6" s="254" customFormat="1" ht="12" customHeight="1">
      <c r="A77" s="13" t="s">
        <v>328</v>
      </c>
      <c r="B77" s="256" t="s">
        <v>308</v>
      </c>
      <c r="C77" s="749">
        <f>SUM(D77:F77)</f>
        <v>0</v>
      </c>
      <c r="D77" s="498"/>
      <c r="E77" s="174"/>
      <c r="F77" s="174"/>
    </row>
    <row r="78" spans="1:6" s="254" customFormat="1" ht="12" customHeight="1" thickBot="1">
      <c r="A78" s="15" t="s">
        <v>329</v>
      </c>
      <c r="B78" s="167" t="s">
        <v>309</v>
      </c>
      <c r="C78" s="750">
        <f>SUM(D78:F78)</f>
        <v>0</v>
      </c>
      <c r="D78" s="498"/>
      <c r="E78" s="174"/>
      <c r="F78" s="174"/>
    </row>
    <row r="79" spans="1:6" s="254" customFormat="1" ht="12" customHeight="1" thickBot="1">
      <c r="A79" s="478" t="s">
        <v>310</v>
      </c>
      <c r="B79" s="165" t="s">
        <v>330</v>
      </c>
      <c r="C79" s="751">
        <f>SUM(C80:C83)</f>
        <v>0</v>
      </c>
      <c r="D79" s="552">
        <f>SUM(D80:D83)</f>
        <v>0</v>
      </c>
      <c r="E79" s="170">
        <f>SUM(E80:E83)</f>
        <v>0</v>
      </c>
      <c r="F79" s="170">
        <f>SUM(F80:F83)</f>
        <v>0</v>
      </c>
    </row>
    <row r="80" spans="1:6" s="254" customFormat="1" ht="12" customHeight="1">
      <c r="A80" s="259" t="s">
        <v>311</v>
      </c>
      <c r="B80" s="255" t="s">
        <v>312</v>
      </c>
      <c r="C80" s="250">
        <f aca="true" t="shared" si="0" ref="C80:C85">SUM(D80:F80)</f>
        <v>0</v>
      </c>
      <c r="D80" s="498"/>
      <c r="E80" s="174"/>
      <c r="F80" s="174"/>
    </row>
    <row r="81" spans="1:6" s="254" customFormat="1" ht="12" customHeight="1">
      <c r="A81" s="260" t="s">
        <v>313</v>
      </c>
      <c r="B81" s="256" t="s">
        <v>314</v>
      </c>
      <c r="C81" s="749">
        <f t="shared" si="0"/>
        <v>0</v>
      </c>
      <c r="D81" s="498"/>
      <c r="E81" s="174"/>
      <c r="F81" s="174"/>
    </row>
    <row r="82" spans="1:6" s="254" customFormat="1" ht="12" customHeight="1">
      <c r="A82" s="260" t="s">
        <v>315</v>
      </c>
      <c r="B82" s="256" t="s">
        <v>316</v>
      </c>
      <c r="C82" s="749">
        <f t="shared" si="0"/>
        <v>0</v>
      </c>
      <c r="D82" s="498"/>
      <c r="E82" s="174"/>
      <c r="F82" s="174"/>
    </row>
    <row r="83" spans="1:6" s="254" customFormat="1" ht="12" customHeight="1" thickBot="1">
      <c r="A83" s="261" t="s">
        <v>317</v>
      </c>
      <c r="B83" s="167" t="s">
        <v>318</v>
      </c>
      <c r="C83" s="750">
        <f t="shared" si="0"/>
        <v>0</v>
      </c>
      <c r="D83" s="498"/>
      <c r="E83" s="174"/>
      <c r="F83" s="174"/>
    </row>
    <row r="84" spans="1:6" s="254" customFormat="1" ht="12" customHeight="1" thickBot="1">
      <c r="A84" s="478" t="s">
        <v>319</v>
      </c>
      <c r="B84" s="165" t="s">
        <v>513</v>
      </c>
      <c r="C84" s="169">
        <f t="shared" si="0"/>
        <v>0</v>
      </c>
      <c r="D84" s="560"/>
      <c r="E84" s="294"/>
      <c r="F84" s="294"/>
    </row>
    <row r="85" spans="1:6" s="254" customFormat="1" ht="13.5" customHeight="1" thickBot="1">
      <c r="A85" s="478" t="s">
        <v>321</v>
      </c>
      <c r="B85" s="165" t="s">
        <v>320</v>
      </c>
      <c r="C85" s="170">
        <f t="shared" si="0"/>
        <v>0</v>
      </c>
      <c r="D85" s="560"/>
      <c r="E85" s="294"/>
      <c r="F85" s="294"/>
    </row>
    <row r="86" spans="1:6" s="254" customFormat="1" ht="15.75" customHeight="1" thickBot="1">
      <c r="A86" s="478" t="s">
        <v>333</v>
      </c>
      <c r="B86" s="262" t="s">
        <v>514</v>
      </c>
      <c r="C86" s="170">
        <f>C85+C84+C79+C75+C72+C67+C63</f>
        <v>474999415</v>
      </c>
      <c r="D86" s="556">
        <f>+D63+D67+D72+D75+D79+D85+D84</f>
        <v>433431423</v>
      </c>
      <c r="E86" s="175">
        <f>+E63+E67+E72+E75+E79+E85+E84</f>
        <v>447404</v>
      </c>
      <c r="F86" s="175">
        <f>+F63+F67+F72+F75+F79+F85+F84</f>
        <v>3220588</v>
      </c>
    </row>
    <row r="87" spans="1:6" s="254" customFormat="1" ht="16.5" customHeight="1" thickBot="1">
      <c r="A87" s="480" t="s">
        <v>515</v>
      </c>
      <c r="B87" s="263" t="s">
        <v>516</v>
      </c>
      <c r="C87" s="170">
        <f>C62+C86</f>
        <v>3274331886</v>
      </c>
      <c r="D87" s="556">
        <f>+D62+D86</f>
        <v>2205248123</v>
      </c>
      <c r="E87" s="175">
        <f>+E62+E86</f>
        <v>9863904</v>
      </c>
      <c r="F87" s="175">
        <f>+F62+F86</f>
        <v>398543766</v>
      </c>
    </row>
    <row r="88" spans="1:3" s="254" customFormat="1" ht="83.25" customHeight="1">
      <c r="A88" s="4"/>
      <c r="B88" s="5"/>
      <c r="C88" s="176"/>
    </row>
    <row r="89" spans="1:3" ht="16.5" customHeight="1">
      <c r="A89" s="902" t="s">
        <v>71</v>
      </c>
      <c r="B89" s="902"/>
      <c r="C89" s="902"/>
    </row>
    <row r="90" spans="1:3" s="264" customFormat="1" ht="16.5" customHeight="1" thickBot="1">
      <c r="A90" s="903" t="s">
        <v>164</v>
      </c>
      <c r="B90" s="903"/>
      <c r="C90" s="90" t="s">
        <v>651</v>
      </c>
    </row>
    <row r="91" spans="1:3" ht="37.5" customHeight="1" thickBot="1">
      <c r="A91" s="22" t="s">
        <v>94</v>
      </c>
      <c r="B91" s="23" t="s">
        <v>72</v>
      </c>
      <c r="C91" s="31" t="str">
        <f>+C3</f>
        <v>2017. évi előirányzat</v>
      </c>
    </row>
    <row r="92" spans="1:3" s="253" customFormat="1" ht="12" customHeight="1" thickBot="1">
      <c r="A92" s="27" t="s">
        <v>500</v>
      </c>
      <c r="B92" s="28" t="s">
        <v>501</v>
      </c>
      <c r="C92" s="249" t="s">
        <v>502</v>
      </c>
    </row>
    <row r="93" spans="1:6" ht="12" customHeight="1" thickBot="1">
      <c r="A93" s="21" t="s">
        <v>43</v>
      </c>
      <c r="B93" s="26" t="s">
        <v>554</v>
      </c>
      <c r="C93" s="752">
        <f>SUM(C94:C98)+SUM(C111)</f>
        <v>2842355965</v>
      </c>
      <c r="D93" s="564">
        <f>+D94+D95+D96+D97+D98+D111</f>
        <v>694146130</v>
      </c>
      <c r="E93" s="169">
        <f>+E94+E95+E96+E97+E98+E111</f>
        <v>223822850</v>
      </c>
      <c r="F93" s="656">
        <f>F94+F95+F96+F97+F98+F111</f>
        <v>1388014694</v>
      </c>
    </row>
    <row r="94" spans="1:6" ht="12" customHeight="1">
      <c r="A94" s="16" t="s">
        <v>122</v>
      </c>
      <c r="B94" s="9" t="s">
        <v>73</v>
      </c>
      <c r="C94" s="773">
        <f>SUM(D94:F94)+252096521+85501355+27232396-1393308+7410662</f>
        <v>1350158197</v>
      </c>
      <c r="D94" s="659">
        <f>25364000+485000+6010000+3749000+165142000+48000+105000</f>
        <v>200903000</v>
      </c>
      <c r="E94" s="517">
        <v>119212000</v>
      </c>
      <c r="F94" s="526">
        <v>659195571</v>
      </c>
    </row>
    <row r="95" spans="1:6" ht="12" customHeight="1">
      <c r="A95" s="13" t="s">
        <v>123</v>
      </c>
      <c r="B95" s="7" t="s">
        <v>184</v>
      </c>
      <c r="C95" s="774">
        <f>SUM(D95:F95)+28812821+9405149+5800271-280382+2089507-570939</f>
        <v>256023788</v>
      </c>
      <c r="D95" s="498">
        <f>5239000+143000+1233000+14000+1652000+19299000+10000+23000</f>
        <v>27613000</v>
      </c>
      <c r="E95" s="174">
        <v>28323500</v>
      </c>
      <c r="F95" s="502">
        <v>154830861</v>
      </c>
    </row>
    <row r="96" spans="1:6" ht="12" customHeight="1">
      <c r="A96" s="13" t="s">
        <v>124</v>
      </c>
      <c r="B96" s="7" t="s">
        <v>153</v>
      </c>
      <c r="C96" s="774">
        <f>SUM(D96:F96)+41579904+1600000+22320920+28158088+9295882+11813400+570939</f>
        <v>967736575</v>
      </c>
      <c r="D96" s="508">
        <f>11475000+835000+4801000+2722822+944166+8715000+1817000+17736000+735000+300000+8485000+34925000+628800+40773000+3429000+11212000+576000+3351000+1682000+16980000+46750042+1200000+4573000+1350000+376000</f>
        <v>226371830</v>
      </c>
      <c r="E96" s="244">
        <v>52037350</v>
      </c>
      <c r="F96" s="502">
        <v>573988262</v>
      </c>
    </row>
    <row r="97" spans="1:6" ht="12" customHeight="1">
      <c r="A97" s="13" t="s">
        <v>125</v>
      </c>
      <c r="B97" s="7" t="s">
        <v>185</v>
      </c>
      <c r="C97" s="771">
        <f>SUM(D97:F97)</f>
        <v>95230000</v>
      </c>
      <c r="D97" s="508">
        <f>70980000</f>
        <v>70980000</v>
      </c>
      <c r="E97" s="244">
        <v>24250000</v>
      </c>
      <c r="F97" s="525"/>
    </row>
    <row r="98" spans="1:6" ht="12" customHeight="1">
      <c r="A98" s="13" t="s">
        <v>136</v>
      </c>
      <c r="B98" s="6" t="s">
        <v>186</v>
      </c>
      <c r="C98" s="771">
        <f>SUM(D98:F98)+1500+3500000+6600000+9302798</f>
        <v>56569298</v>
      </c>
      <c r="D98" s="508">
        <f>SUM(D99:D110)</f>
        <v>37165000</v>
      </c>
      <c r="E98" s="244">
        <f>SUM(E99:E110)</f>
        <v>0</v>
      </c>
      <c r="F98" s="525"/>
    </row>
    <row r="99" spans="1:6" ht="12" customHeight="1">
      <c r="A99" s="13" t="s">
        <v>126</v>
      </c>
      <c r="B99" s="7" t="s">
        <v>517</v>
      </c>
      <c r="C99" s="771">
        <f>SUM(D99:F99)+1500+7242044</f>
        <v>7243544</v>
      </c>
      <c r="D99" s="508"/>
      <c r="E99" s="244"/>
      <c r="F99" s="525"/>
    </row>
    <row r="100" spans="1:6" ht="12" customHeight="1">
      <c r="A100" s="13" t="s">
        <v>127</v>
      </c>
      <c r="B100" s="94" t="s">
        <v>518</v>
      </c>
      <c r="C100" s="771">
        <f>SUM(D100:F100)</f>
        <v>0</v>
      </c>
      <c r="D100" s="508"/>
      <c r="E100" s="244"/>
      <c r="F100" s="525"/>
    </row>
    <row r="101" spans="1:6" ht="12" customHeight="1">
      <c r="A101" s="13" t="s">
        <v>137</v>
      </c>
      <c r="B101" s="94" t="s">
        <v>519</v>
      </c>
      <c r="C101" s="771">
        <f>SUM(D101:F101)</f>
        <v>0</v>
      </c>
      <c r="D101" s="508"/>
      <c r="E101" s="244"/>
      <c r="F101" s="525"/>
    </row>
    <row r="102" spans="1:6" ht="12" customHeight="1">
      <c r="A102" s="13" t="s">
        <v>138</v>
      </c>
      <c r="B102" s="92" t="s">
        <v>336</v>
      </c>
      <c r="C102" s="771">
        <f>SUM(D102:F102)</f>
        <v>0</v>
      </c>
      <c r="D102" s="508"/>
      <c r="E102" s="244"/>
      <c r="F102" s="525"/>
    </row>
    <row r="103" spans="1:6" ht="12" customHeight="1">
      <c r="A103" s="13" t="s">
        <v>139</v>
      </c>
      <c r="B103" s="93" t="s">
        <v>337</v>
      </c>
      <c r="C103" s="771">
        <f>SUM(D103:F103)</f>
        <v>0</v>
      </c>
      <c r="D103" s="508"/>
      <c r="E103" s="244"/>
      <c r="F103" s="525"/>
    </row>
    <row r="104" spans="1:6" ht="12" customHeight="1">
      <c r="A104" s="13" t="s">
        <v>140</v>
      </c>
      <c r="B104" s="93" t="s">
        <v>338</v>
      </c>
      <c r="C104" s="771">
        <f>SUM(D104:F104)</f>
        <v>0</v>
      </c>
      <c r="D104" s="508"/>
      <c r="E104" s="244"/>
      <c r="F104" s="525"/>
    </row>
    <row r="105" spans="1:6" ht="12" customHeight="1">
      <c r="A105" s="13" t="s">
        <v>142</v>
      </c>
      <c r="B105" s="92" t="s">
        <v>339</v>
      </c>
      <c r="C105" s="771">
        <f>SUM(D105:F105)+60754</f>
        <v>60754</v>
      </c>
      <c r="D105" s="508"/>
      <c r="E105" s="244"/>
      <c r="F105" s="525"/>
    </row>
    <row r="106" spans="1:6" ht="12" customHeight="1">
      <c r="A106" s="13" t="s">
        <v>187</v>
      </c>
      <c r="B106" s="92" t="s">
        <v>340</v>
      </c>
      <c r="C106" s="771">
        <f>SUM(D106:F106)</f>
        <v>0</v>
      </c>
      <c r="D106" s="508"/>
      <c r="E106" s="244"/>
      <c r="F106" s="525"/>
    </row>
    <row r="107" spans="1:6" ht="12" customHeight="1">
      <c r="A107" s="13" t="s">
        <v>334</v>
      </c>
      <c r="B107" s="93" t="s">
        <v>341</v>
      </c>
      <c r="C107" s="771">
        <f>SUM(D107:F107)</f>
        <v>0</v>
      </c>
      <c r="D107" s="508"/>
      <c r="E107" s="244"/>
      <c r="F107" s="525"/>
    </row>
    <row r="108" spans="1:6" ht="12" customHeight="1">
      <c r="A108" s="12" t="s">
        <v>335</v>
      </c>
      <c r="B108" s="94" t="s">
        <v>342</v>
      </c>
      <c r="C108" s="771">
        <f>SUM(D108:F108)</f>
        <v>0</v>
      </c>
      <c r="D108" s="508"/>
      <c r="E108" s="244"/>
      <c r="F108" s="525"/>
    </row>
    <row r="109" spans="1:6" ht="12" customHeight="1">
      <c r="A109" s="13" t="s">
        <v>520</v>
      </c>
      <c r="B109" s="94" t="s">
        <v>343</v>
      </c>
      <c r="C109" s="771">
        <f>SUM(D109:F109)</f>
        <v>0</v>
      </c>
      <c r="D109" s="508"/>
      <c r="E109" s="244"/>
      <c r="F109" s="525"/>
    </row>
    <row r="110" spans="1:6" ht="12" customHeight="1">
      <c r="A110" s="15" t="s">
        <v>521</v>
      </c>
      <c r="B110" s="94" t="s">
        <v>344</v>
      </c>
      <c r="C110" s="771">
        <f>SUM(D110:F110)+3500000+6600000+2000000</f>
        <v>49265000</v>
      </c>
      <c r="D110" s="498">
        <f>536000+11389000+8562000+16678000</f>
        <v>37165000</v>
      </c>
      <c r="E110" s="174"/>
      <c r="F110" s="525"/>
    </row>
    <row r="111" spans="1:6" ht="12" customHeight="1">
      <c r="A111" s="13" t="s">
        <v>522</v>
      </c>
      <c r="B111" s="7" t="s">
        <v>74</v>
      </c>
      <c r="C111" s="771">
        <f>SUM(C112:C113)</f>
        <v>116638107</v>
      </c>
      <c r="D111" s="498">
        <f>D112+D113</f>
        <v>131113300</v>
      </c>
      <c r="E111" s="174"/>
      <c r="F111" s="502">
        <f>F112+F113</f>
        <v>0</v>
      </c>
    </row>
    <row r="112" spans="1:6" ht="12" customHeight="1">
      <c r="A112" s="13" t="s">
        <v>523</v>
      </c>
      <c r="B112" s="7" t="s">
        <v>524</v>
      </c>
      <c r="C112" s="774">
        <f>SUM(D112:F112)-9172313+8719388-4010722-1042502</f>
        <v>14493851</v>
      </c>
      <c r="D112" s="508">
        <v>20000000</v>
      </c>
      <c r="E112" s="244"/>
      <c r="F112" s="502"/>
    </row>
    <row r="113" spans="1:6" ht="12" customHeight="1" thickBot="1">
      <c r="A113" s="17" t="s">
        <v>525</v>
      </c>
      <c r="B113" s="481" t="s">
        <v>526</v>
      </c>
      <c r="C113" s="775">
        <f>SUM(D113:F113)-8373330-1600000-8539600-6323156-7948000-7343244+31158286</f>
        <v>102144256</v>
      </c>
      <c r="D113" s="660">
        <f>110613300+500000</f>
        <v>111113300</v>
      </c>
      <c r="E113" s="529"/>
      <c r="F113" s="527"/>
    </row>
    <row r="114" spans="1:6" ht="12" customHeight="1" thickBot="1">
      <c r="A114" s="482" t="s">
        <v>44</v>
      </c>
      <c r="B114" s="483" t="s">
        <v>345</v>
      </c>
      <c r="C114" s="752">
        <f>C115+C117+C119</f>
        <v>293649989</v>
      </c>
      <c r="D114" s="552">
        <f>+D115+D117+D119</f>
        <v>158172900</v>
      </c>
      <c r="E114" s="170">
        <f>+E115+E117+E119</f>
        <v>1901000</v>
      </c>
      <c r="F114" s="484">
        <f>+F115+F117+F119</f>
        <v>9272287</v>
      </c>
    </row>
    <row r="115" spans="1:6" ht="12" customHeight="1">
      <c r="A115" s="14" t="s">
        <v>128</v>
      </c>
      <c r="B115" s="7" t="s">
        <v>208</v>
      </c>
      <c r="C115" s="773">
        <f>SUM(D115:F115)+15239176+979170-265000+63976+93988736</f>
        <v>157122245</v>
      </c>
      <c r="D115" s="559">
        <f>6621000+2963001+787402+10624171+3081125+300001+529000+1654000+447000+2237000+90200+6604000+301000+204000</f>
        <v>36442900</v>
      </c>
      <c r="E115" s="293">
        <v>1901000</v>
      </c>
      <c r="F115" s="528">
        <v>8772287</v>
      </c>
    </row>
    <row r="116" spans="1:6" ht="12" customHeight="1">
      <c r="A116" s="14" t="s">
        <v>129</v>
      </c>
      <c r="B116" s="11" t="s">
        <v>349</v>
      </c>
      <c r="C116" s="774">
        <f>SUM(D116:F116)-1000000+87765636</f>
        <v>101258334</v>
      </c>
      <c r="D116" s="559">
        <v>14492698</v>
      </c>
      <c r="E116" s="293"/>
      <c r="F116" s="528"/>
    </row>
    <row r="117" spans="1:6" ht="12" customHeight="1">
      <c r="A117" s="14" t="s">
        <v>130</v>
      </c>
      <c r="B117" s="11" t="s">
        <v>188</v>
      </c>
      <c r="C117" s="774">
        <f>SUM(D117:F117)-134607+7509510+735000+1000000+839841</f>
        <v>90107744</v>
      </c>
      <c r="D117" s="498">
        <f>53340000+21000000+1513000+2996000+809000</f>
        <v>79658000</v>
      </c>
      <c r="E117" s="174"/>
      <c r="F117" s="502">
        <v>500000</v>
      </c>
    </row>
    <row r="118" spans="1:6" ht="12" customHeight="1">
      <c r="A118" s="14" t="s">
        <v>131</v>
      </c>
      <c r="B118" s="11" t="s">
        <v>350</v>
      </c>
      <c r="C118" s="771">
        <f>SUM(D118:F118)+1000000</f>
        <v>54340000</v>
      </c>
      <c r="D118" s="498">
        <v>53340000</v>
      </c>
      <c r="E118" s="521"/>
      <c r="F118" s="498"/>
    </row>
    <row r="119" spans="1:6" ht="12" customHeight="1">
      <c r="A119" s="14" t="s">
        <v>132</v>
      </c>
      <c r="B119" s="167" t="s">
        <v>210</v>
      </c>
      <c r="C119" s="771">
        <f>SUM(D119:F119)+2400000+1348000+600000</f>
        <v>46420000</v>
      </c>
      <c r="D119" s="498">
        <f>SUM(D120:D127)</f>
        <v>42072000</v>
      </c>
      <c r="E119" s="498"/>
      <c r="F119" s="498"/>
    </row>
    <row r="120" spans="1:6" ht="12" customHeight="1">
      <c r="A120" s="14" t="s">
        <v>141</v>
      </c>
      <c r="B120" s="166" t="s">
        <v>412</v>
      </c>
      <c r="C120" s="771">
        <f aca="true" t="shared" si="1" ref="C120:C126">SUM(D120:F120)</f>
        <v>0</v>
      </c>
      <c r="D120" s="153"/>
      <c r="E120" s="153"/>
      <c r="F120" s="498"/>
    </row>
    <row r="121" spans="1:6" ht="12" customHeight="1">
      <c r="A121" s="14" t="s">
        <v>143</v>
      </c>
      <c r="B121" s="251" t="s">
        <v>355</v>
      </c>
      <c r="C121" s="771">
        <f t="shared" si="1"/>
        <v>0</v>
      </c>
      <c r="D121" s="153"/>
      <c r="E121" s="153"/>
      <c r="F121" s="498"/>
    </row>
    <row r="122" spans="1:6" ht="15.75">
      <c r="A122" s="14" t="s">
        <v>189</v>
      </c>
      <c r="B122" s="93" t="s">
        <v>338</v>
      </c>
      <c r="C122" s="771">
        <f t="shared" si="1"/>
        <v>0</v>
      </c>
      <c r="D122" s="153"/>
      <c r="E122" s="153"/>
      <c r="F122" s="498"/>
    </row>
    <row r="123" spans="1:6" ht="12" customHeight="1">
      <c r="A123" s="14" t="s">
        <v>190</v>
      </c>
      <c r="B123" s="93" t="s">
        <v>354</v>
      </c>
      <c r="C123" s="771">
        <f t="shared" si="1"/>
        <v>0</v>
      </c>
      <c r="D123" s="153"/>
      <c r="E123" s="153"/>
      <c r="F123" s="498"/>
    </row>
    <row r="124" spans="1:6" ht="12" customHeight="1">
      <c r="A124" s="14" t="s">
        <v>191</v>
      </c>
      <c r="B124" s="93" t="s">
        <v>353</v>
      </c>
      <c r="C124" s="771">
        <f t="shared" si="1"/>
        <v>0</v>
      </c>
      <c r="D124" s="153"/>
      <c r="E124" s="153"/>
      <c r="F124" s="498"/>
    </row>
    <row r="125" spans="1:6" ht="12" customHeight="1">
      <c r="A125" s="14" t="s">
        <v>346</v>
      </c>
      <c r="B125" s="93" t="s">
        <v>341</v>
      </c>
      <c r="C125" s="771">
        <f t="shared" si="1"/>
        <v>0</v>
      </c>
      <c r="D125" s="153"/>
      <c r="E125" s="153"/>
      <c r="F125" s="498"/>
    </row>
    <row r="126" spans="1:6" ht="12" customHeight="1">
      <c r="A126" s="14" t="s">
        <v>347</v>
      </c>
      <c r="B126" s="93" t="s">
        <v>352</v>
      </c>
      <c r="C126" s="771">
        <f t="shared" si="1"/>
        <v>0</v>
      </c>
      <c r="D126" s="153"/>
      <c r="E126" s="153"/>
      <c r="F126" s="498"/>
    </row>
    <row r="127" spans="1:6" ht="16.5" thickBot="1">
      <c r="A127" s="12" t="s">
        <v>348</v>
      </c>
      <c r="B127" s="93" t="s">
        <v>351</v>
      </c>
      <c r="C127" s="772">
        <f>SUM(D127:F127)+2400000+1348000+600000</f>
        <v>46420000</v>
      </c>
      <c r="D127" s="508">
        <v>42072000</v>
      </c>
      <c r="E127" s="508"/>
      <c r="F127" s="508"/>
    </row>
    <row r="128" spans="1:6" ht="12" customHeight="1" thickBot="1">
      <c r="A128" s="19" t="s">
        <v>45</v>
      </c>
      <c r="B128" s="88" t="s">
        <v>527</v>
      </c>
      <c r="C128" s="752">
        <f>C114+C93</f>
        <v>3136005954</v>
      </c>
      <c r="D128" s="552">
        <f>+D93+D114</f>
        <v>852319030</v>
      </c>
      <c r="E128" s="170">
        <f>+E93+E114</f>
        <v>225723850</v>
      </c>
      <c r="F128" s="170">
        <f>+F93+F114</f>
        <v>1397286981</v>
      </c>
    </row>
    <row r="129" spans="1:6" ht="12" customHeight="1" thickBot="1">
      <c r="A129" s="19" t="s">
        <v>46</v>
      </c>
      <c r="B129" s="88" t="s">
        <v>528</v>
      </c>
      <c r="C129" s="752">
        <f>SUM(C130:C132)</f>
        <v>103161000</v>
      </c>
      <c r="D129" s="552">
        <f>+D130+D131+D132</f>
        <v>103161000</v>
      </c>
      <c r="E129" s="170">
        <f>+E130+E131+E132</f>
        <v>0</v>
      </c>
      <c r="F129" s="170">
        <f>+F130+F131+F132</f>
        <v>0</v>
      </c>
    </row>
    <row r="130" spans="1:6" ht="12" customHeight="1">
      <c r="A130" s="14" t="s">
        <v>246</v>
      </c>
      <c r="B130" s="11" t="s">
        <v>529</v>
      </c>
      <c r="C130" s="754">
        <f>SUM(D130:F130)</f>
        <v>3161000</v>
      </c>
      <c r="D130" s="498">
        <v>3161000</v>
      </c>
      <c r="E130" s="498"/>
      <c r="F130" s="498"/>
    </row>
    <row r="131" spans="1:6" ht="12" customHeight="1">
      <c r="A131" s="14" t="s">
        <v>249</v>
      </c>
      <c r="B131" s="11" t="s">
        <v>530</v>
      </c>
      <c r="C131" s="753">
        <f>SUM(D131:F131)</f>
        <v>100000000</v>
      </c>
      <c r="D131" s="153">
        <v>100000000</v>
      </c>
      <c r="E131" s="153"/>
      <c r="F131" s="153"/>
    </row>
    <row r="132" spans="1:6" ht="12" customHeight="1" thickBot="1">
      <c r="A132" s="12" t="s">
        <v>250</v>
      </c>
      <c r="B132" s="11" t="s">
        <v>531</v>
      </c>
      <c r="C132" s="755">
        <f>SUM(D132:F132)</f>
        <v>0</v>
      </c>
      <c r="D132" s="153"/>
      <c r="E132" s="153"/>
      <c r="F132" s="153"/>
    </row>
    <row r="133" spans="1:6" ht="12" customHeight="1" thickBot="1">
      <c r="A133" s="19" t="s">
        <v>47</v>
      </c>
      <c r="B133" s="88" t="s">
        <v>532</v>
      </c>
      <c r="C133" s="756">
        <f>SUM(C134:C139)</f>
        <v>0</v>
      </c>
      <c r="D133" s="552">
        <f>+D134+D135+D136+D137+D138+D139</f>
        <v>0</v>
      </c>
      <c r="E133" s="170">
        <f>+E134+E135+E136+E137+E138+E139</f>
        <v>0</v>
      </c>
      <c r="F133" s="170">
        <f>SUM(F134:F139)</f>
        <v>0</v>
      </c>
    </row>
    <row r="134" spans="1:6" ht="12" customHeight="1">
      <c r="A134" s="14" t="s">
        <v>115</v>
      </c>
      <c r="B134" s="8" t="s">
        <v>533</v>
      </c>
      <c r="C134" s="754">
        <f aca="true" t="shared" si="2" ref="C134:C139">SUM(D134:F134)</f>
        <v>0</v>
      </c>
      <c r="D134" s="153"/>
      <c r="E134" s="153"/>
      <c r="F134" s="153"/>
    </row>
    <row r="135" spans="1:6" ht="12" customHeight="1">
      <c r="A135" s="14" t="s">
        <v>116</v>
      </c>
      <c r="B135" s="8" t="s">
        <v>534</v>
      </c>
      <c r="C135" s="753">
        <f t="shared" si="2"/>
        <v>0</v>
      </c>
      <c r="D135" s="153"/>
      <c r="E135" s="153"/>
      <c r="F135" s="153"/>
    </row>
    <row r="136" spans="1:6" ht="12" customHeight="1">
      <c r="A136" s="14" t="s">
        <v>117</v>
      </c>
      <c r="B136" s="8" t="s">
        <v>535</v>
      </c>
      <c r="C136" s="753">
        <f t="shared" si="2"/>
        <v>0</v>
      </c>
      <c r="D136" s="153"/>
      <c r="E136" s="153"/>
      <c r="F136" s="153"/>
    </row>
    <row r="137" spans="1:6" ht="12" customHeight="1">
      <c r="A137" s="14" t="s">
        <v>176</v>
      </c>
      <c r="B137" s="8" t="s">
        <v>536</v>
      </c>
      <c r="C137" s="753">
        <f t="shared" si="2"/>
        <v>0</v>
      </c>
      <c r="D137" s="153"/>
      <c r="E137" s="153"/>
      <c r="F137" s="153"/>
    </row>
    <row r="138" spans="1:6" ht="12" customHeight="1">
      <c r="A138" s="14" t="s">
        <v>177</v>
      </c>
      <c r="B138" s="8" t="s">
        <v>537</v>
      </c>
      <c r="C138" s="753">
        <f t="shared" si="2"/>
        <v>0</v>
      </c>
      <c r="D138" s="153"/>
      <c r="E138" s="153"/>
      <c r="F138" s="153"/>
    </row>
    <row r="139" spans="1:6" ht="12" customHeight="1" thickBot="1">
      <c r="A139" s="12" t="s">
        <v>178</v>
      </c>
      <c r="B139" s="8" t="s">
        <v>538</v>
      </c>
      <c r="C139" s="755">
        <f t="shared" si="2"/>
        <v>0</v>
      </c>
      <c r="D139" s="153"/>
      <c r="E139" s="153"/>
      <c r="F139" s="153"/>
    </row>
    <row r="140" spans="1:6" ht="12" customHeight="1" thickBot="1">
      <c r="A140" s="19" t="s">
        <v>48</v>
      </c>
      <c r="B140" s="88" t="s">
        <v>539</v>
      </c>
      <c r="C140" s="752">
        <f>SUM(C141:C144)</f>
        <v>35164932</v>
      </c>
      <c r="D140" s="556">
        <f>+D141+D142+D143+D144</f>
        <v>35164932</v>
      </c>
      <c r="E140" s="175">
        <f>+E141+E142+E143+E144</f>
        <v>0</v>
      </c>
      <c r="F140" s="175">
        <f>+F141+F142+F143+F144</f>
        <v>0</v>
      </c>
    </row>
    <row r="141" spans="1:6" ht="12" customHeight="1">
      <c r="A141" s="14" t="s">
        <v>118</v>
      </c>
      <c r="B141" s="8" t="s">
        <v>356</v>
      </c>
      <c r="C141" s="754">
        <f>SUM(D141:F141)</f>
        <v>0</v>
      </c>
      <c r="D141" s="153"/>
      <c r="E141" s="153"/>
      <c r="F141" s="153"/>
    </row>
    <row r="142" spans="1:6" ht="12" customHeight="1">
      <c r="A142" s="14" t="s">
        <v>119</v>
      </c>
      <c r="B142" s="8" t="s">
        <v>357</v>
      </c>
      <c r="C142" s="753">
        <f>SUM(D142:F142)</f>
        <v>35164932</v>
      </c>
      <c r="D142" s="153">
        <f>35164932</f>
        <v>35164932</v>
      </c>
      <c r="E142" s="153"/>
      <c r="F142" s="153"/>
    </row>
    <row r="143" spans="1:6" ht="12" customHeight="1">
      <c r="A143" s="14" t="s">
        <v>270</v>
      </c>
      <c r="B143" s="8" t="s">
        <v>540</v>
      </c>
      <c r="C143" s="753">
        <f>SUM(D143:F143)</f>
        <v>0</v>
      </c>
      <c r="D143" s="153"/>
      <c r="E143" s="153"/>
      <c r="F143" s="153"/>
    </row>
    <row r="144" spans="1:6" ht="12" customHeight="1" thickBot="1">
      <c r="A144" s="12" t="s">
        <v>271</v>
      </c>
      <c r="B144" s="6" t="s">
        <v>375</v>
      </c>
      <c r="C144" s="755">
        <f>SUM(D144:F144)</f>
        <v>0</v>
      </c>
      <c r="D144" s="153"/>
      <c r="E144" s="153"/>
      <c r="F144" s="153"/>
    </row>
    <row r="145" spans="1:6" ht="12" customHeight="1" thickBot="1">
      <c r="A145" s="19" t="s">
        <v>49</v>
      </c>
      <c r="B145" s="88" t="s">
        <v>541</v>
      </c>
      <c r="C145" s="756">
        <f>SUM(C146:C150)</f>
        <v>0</v>
      </c>
      <c r="D145" s="567">
        <f>+D146+D147+D148+D149+D150</f>
        <v>0</v>
      </c>
      <c r="E145" s="178">
        <f>+E146+E147+E148+E149+E150</f>
        <v>0</v>
      </c>
      <c r="F145" s="178">
        <f>SUM(F146:F150)</f>
        <v>0</v>
      </c>
    </row>
    <row r="146" spans="1:6" ht="12" customHeight="1">
      <c r="A146" s="14" t="s">
        <v>120</v>
      </c>
      <c r="B146" s="8" t="s">
        <v>542</v>
      </c>
      <c r="C146" s="754">
        <f aca="true" t="shared" si="3" ref="C146:C152">SUM(D146:F146)</f>
        <v>0</v>
      </c>
      <c r="D146" s="153"/>
      <c r="E146" s="153"/>
      <c r="F146" s="153"/>
    </row>
    <row r="147" spans="1:6" ht="12" customHeight="1">
      <c r="A147" s="14" t="s">
        <v>121</v>
      </c>
      <c r="B147" s="8" t="s">
        <v>543</v>
      </c>
      <c r="C147" s="753">
        <f t="shared" si="3"/>
        <v>0</v>
      </c>
      <c r="D147" s="153"/>
      <c r="E147" s="153"/>
      <c r="F147" s="153"/>
    </row>
    <row r="148" spans="1:6" ht="12" customHeight="1">
      <c r="A148" s="14" t="s">
        <v>282</v>
      </c>
      <c r="B148" s="8" t="s">
        <v>544</v>
      </c>
      <c r="C148" s="753">
        <f t="shared" si="3"/>
        <v>0</v>
      </c>
      <c r="D148" s="153"/>
      <c r="E148" s="153"/>
      <c r="F148" s="153"/>
    </row>
    <row r="149" spans="1:6" ht="12" customHeight="1">
      <c r="A149" s="14" t="s">
        <v>283</v>
      </c>
      <c r="B149" s="8" t="s">
        <v>545</v>
      </c>
      <c r="C149" s="753">
        <f t="shared" si="3"/>
        <v>0</v>
      </c>
      <c r="D149" s="153"/>
      <c r="E149" s="153"/>
      <c r="F149" s="153"/>
    </row>
    <row r="150" spans="1:6" ht="12" customHeight="1" thickBot="1">
      <c r="A150" s="14" t="s">
        <v>546</v>
      </c>
      <c r="B150" s="8" t="s">
        <v>547</v>
      </c>
      <c r="C150" s="755">
        <f t="shared" si="3"/>
        <v>0</v>
      </c>
      <c r="D150" s="154"/>
      <c r="E150" s="154"/>
      <c r="F150" s="153"/>
    </row>
    <row r="151" spans="1:6" ht="12" customHeight="1" thickBot="1">
      <c r="A151" s="19" t="s">
        <v>50</v>
      </c>
      <c r="B151" s="88" t="s">
        <v>548</v>
      </c>
      <c r="C151" s="756">
        <f t="shared" si="3"/>
        <v>0</v>
      </c>
      <c r="D151" s="567"/>
      <c r="E151" s="178"/>
      <c r="F151" s="485"/>
    </row>
    <row r="152" spans="1:6" ht="12" customHeight="1" thickBot="1">
      <c r="A152" s="19" t="s">
        <v>51</v>
      </c>
      <c r="B152" s="88" t="s">
        <v>549</v>
      </c>
      <c r="C152" s="756">
        <f t="shared" si="3"/>
        <v>0</v>
      </c>
      <c r="D152" s="567"/>
      <c r="E152" s="178"/>
      <c r="F152" s="485"/>
    </row>
    <row r="153" spans="1:8" ht="15" customHeight="1" thickBot="1">
      <c r="A153" s="19" t="s">
        <v>52</v>
      </c>
      <c r="B153" s="88" t="s">
        <v>550</v>
      </c>
      <c r="C153" s="752">
        <f>C152+C151+C145+C140+C133+C129</f>
        <v>138325932</v>
      </c>
      <c r="D153" s="570">
        <f>+D129+D133+D140+D145+D151+D152</f>
        <v>138325932</v>
      </c>
      <c r="E153" s="265">
        <f>+E129+E133+E140+E145+E151+E152</f>
        <v>0</v>
      </c>
      <c r="F153" s="265">
        <f>+F129+F133+F140+F145+F151+F152</f>
        <v>0</v>
      </c>
      <c r="G153" s="266"/>
      <c r="H153" s="266"/>
    </row>
    <row r="154" spans="1:6" s="254" customFormat="1" ht="12.75" customHeight="1" thickBot="1">
      <c r="A154" s="168" t="s">
        <v>53</v>
      </c>
      <c r="B154" s="240" t="s">
        <v>551</v>
      </c>
      <c r="C154" s="752">
        <f>C153+C128</f>
        <v>3274331886</v>
      </c>
      <c r="D154" s="570">
        <f>+D128+D153</f>
        <v>990644962</v>
      </c>
      <c r="E154" s="265">
        <f>+E128+E153</f>
        <v>225723850</v>
      </c>
      <c r="F154" s="265">
        <f>+F128+F153</f>
        <v>1397286981</v>
      </c>
    </row>
    <row r="155" ht="7.5" customHeight="1"/>
    <row r="156" spans="1:3" ht="15.75">
      <c r="A156" s="904" t="s">
        <v>358</v>
      </c>
      <c r="B156" s="904"/>
      <c r="C156" s="904"/>
    </row>
    <row r="157" spans="1:3" ht="15" customHeight="1" thickBot="1">
      <c r="A157" s="901" t="s">
        <v>165</v>
      </c>
      <c r="B157" s="901"/>
      <c r="C157" s="179" t="s">
        <v>651</v>
      </c>
    </row>
    <row r="158" spans="1:3" ht="13.5" customHeight="1" thickBot="1">
      <c r="A158" s="19">
        <v>1</v>
      </c>
      <c r="B158" s="25" t="s">
        <v>552</v>
      </c>
      <c r="C158" s="170">
        <f>+C62-C128</f>
        <v>-336673483</v>
      </c>
    </row>
    <row r="159" spans="1:3" ht="27.75" customHeight="1" thickBot="1">
      <c r="A159" s="19" t="s">
        <v>44</v>
      </c>
      <c r="B159" s="25" t="s">
        <v>553</v>
      </c>
      <c r="C159" s="170">
        <f>+C86-C153</f>
        <v>336673483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20/2017.(VI.29.)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Layout" zoomScaleSheetLayoutView="85" workbookViewId="0" topLeftCell="A1">
      <selection activeCell="J31" sqref="J31"/>
    </sheetView>
  </sheetViews>
  <sheetFormatPr defaultColWidth="9.00390625" defaultRowHeight="12.75"/>
  <cols>
    <col min="1" max="1" width="38.625" style="36" customWidth="1"/>
    <col min="2" max="5" width="13.875" style="36" customWidth="1"/>
    <col min="6" max="16384" width="9.375" style="36" customWidth="1"/>
  </cols>
  <sheetData>
    <row r="1" spans="1:5" ht="12.75">
      <c r="A1" s="111"/>
      <c r="B1" s="111"/>
      <c r="C1" s="111"/>
      <c r="D1" s="111"/>
      <c r="E1" s="111"/>
    </row>
    <row r="2" spans="1:5" ht="34.5" customHeight="1">
      <c r="A2" s="922" t="s">
        <v>711</v>
      </c>
      <c r="B2" s="922"/>
      <c r="C2" s="922"/>
      <c r="D2" s="922"/>
      <c r="E2" s="922"/>
    </row>
    <row r="3" spans="1:5" ht="14.25" thickBot="1">
      <c r="A3" s="111"/>
      <c r="B3" s="111"/>
      <c r="C3" s="111"/>
      <c r="D3" s="944" t="s">
        <v>676</v>
      </c>
      <c r="E3" s="944"/>
    </row>
    <row r="4" spans="1:5" ht="15" customHeight="1" thickBot="1">
      <c r="A4" s="113" t="s">
        <v>144</v>
      </c>
      <c r="B4" s="114" t="s">
        <v>690</v>
      </c>
      <c r="C4" s="114">
        <v>2017</v>
      </c>
      <c r="D4" s="114" t="s">
        <v>691</v>
      </c>
      <c r="E4" s="115" t="s">
        <v>75</v>
      </c>
    </row>
    <row r="5" spans="1:5" ht="12.75">
      <c r="A5" s="116" t="s">
        <v>145</v>
      </c>
      <c r="B5" s="55"/>
      <c r="C5" s="55"/>
      <c r="D5" s="55"/>
      <c r="E5" s="117">
        <f aca="true" t="shared" si="0" ref="E5:E11">SUM(B5:D5)</f>
        <v>0</v>
      </c>
    </row>
    <row r="6" spans="1:5" ht="12.75">
      <c r="A6" s="118" t="s">
        <v>158</v>
      </c>
      <c r="B6" s="56"/>
      <c r="C6" s="56"/>
      <c r="D6" s="56"/>
      <c r="E6" s="119">
        <f t="shared" si="0"/>
        <v>0</v>
      </c>
    </row>
    <row r="7" spans="1:5" ht="12.75">
      <c r="A7" s="120" t="s">
        <v>146</v>
      </c>
      <c r="B7" s="57">
        <v>71149405</v>
      </c>
      <c r="C7" s="57">
        <v>3797300</v>
      </c>
      <c r="D7" s="57"/>
      <c r="E7" s="121">
        <f t="shared" si="0"/>
        <v>74946705</v>
      </c>
    </row>
    <row r="8" spans="1:5" ht="12.75">
      <c r="A8" s="120" t="s">
        <v>159</v>
      </c>
      <c r="B8" s="57"/>
      <c r="C8" s="57"/>
      <c r="D8" s="57"/>
      <c r="E8" s="121">
        <f t="shared" si="0"/>
        <v>0</v>
      </c>
    </row>
    <row r="9" spans="1:5" ht="12.75">
      <c r="A9" s="120" t="s">
        <v>147</v>
      </c>
      <c r="B9" s="57"/>
      <c r="C9" s="57"/>
      <c r="D9" s="57"/>
      <c r="E9" s="121">
        <f t="shared" si="0"/>
        <v>0</v>
      </c>
    </row>
    <row r="10" spans="1:5" ht="12.75">
      <c r="A10" s="120" t="s">
        <v>148</v>
      </c>
      <c r="B10" s="57"/>
      <c r="C10" s="57"/>
      <c r="D10" s="57"/>
      <c r="E10" s="121">
        <f t="shared" si="0"/>
        <v>0</v>
      </c>
    </row>
    <row r="11" spans="1:5" ht="13.5" thickBot="1">
      <c r="A11" s="58"/>
      <c r="B11" s="59"/>
      <c r="C11" s="59"/>
      <c r="D11" s="59"/>
      <c r="E11" s="121">
        <f t="shared" si="0"/>
        <v>0</v>
      </c>
    </row>
    <row r="12" spans="1:5" ht="13.5" thickBot="1">
      <c r="A12" s="122" t="s">
        <v>150</v>
      </c>
      <c r="B12" s="123">
        <f>B5+SUM(B7:B11)</f>
        <v>71149405</v>
      </c>
      <c r="C12" s="123">
        <f>C5+SUM(C7:C11)</f>
        <v>3797300</v>
      </c>
      <c r="D12" s="123">
        <f>D5+SUM(D7:D11)</f>
        <v>0</v>
      </c>
      <c r="E12" s="124">
        <f>E5+SUM(E7:E11)</f>
        <v>74946705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113" t="s">
        <v>149</v>
      </c>
      <c r="B14" s="114" t="s">
        <v>690</v>
      </c>
      <c r="C14" s="114">
        <v>2017</v>
      </c>
      <c r="D14" s="114" t="s">
        <v>691</v>
      </c>
      <c r="E14" s="115" t="s">
        <v>75</v>
      </c>
    </row>
    <row r="15" spans="1:5" ht="12.75">
      <c r="A15" s="116" t="s">
        <v>154</v>
      </c>
      <c r="B15" s="55"/>
      <c r="C15" s="55"/>
      <c r="D15" s="55"/>
      <c r="E15" s="117">
        <f aca="true" t="shared" si="1" ref="E15:E21">SUM(B15:D15)</f>
        <v>0</v>
      </c>
    </row>
    <row r="16" spans="1:5" ht="12.75">
      <c r="A16" s="125" t="s">
        <v>155</v>
      </c>
      <c r="B16" s="57"/>
      <c r="C16" s="57">
        <v>67832698</v>
      </c>
      <c r="D16" s="57"/>
      <c r="E16" s="121">
        <f t="shared" si="1"/>
        <v>67832698</v>
      </c>
    </row>
    <row r="17" spans="1:5" ht="12.75">
      <c r="A17" s="120" t="s">
        <v>156</v>
      </c>
      <c r="B17" s="57">
        <v>449720</v>
      </c>
      <c r="C17" s="57">
        <v>2866987</v>
      </c>
      <c r="D17" s="57"/>
      <c r="E17" s="121">
        <f t="shared" si="1"/>
        <v>3316707</v>
      </c>
    </row>
    <row r="18" spans="1:5" ht="12.75">
      <c r="A18" s="120" t="s">
        <v>157</v>
      </c>
      <c r="B18" s="57"/>
      <c r="C18" s="57"/>
      <c r="D18" s="57"/>
      <c r="E18" s="121">
        <f t="shared" si="1"/>
        <v>0</v>
      </c>
    </row>
    <row r="19" spans="1:5" ht="12.75">
      <c r="A19" s="60" t="s">
        <v>692</v>
      </c>
      <c r="B19" s="57"/>
      <c r="C19" s="57">
        <v>3797300</v>
      </c>
      <c r="D19" s="57"/>
      <c r="E19" s="121">
        <f t="shared" si="1"/>
        <v>3797300</v>
      </c>
    </row>
    <row r="20" spans="1:5" ht="12.75">
      <c r="A20" s="60"/>
      <c r="B20" s="57"/>
      <c r="C20" s="57"/>
      <c r="D20" s="57"/>
      <c r="E20" s="121">
        <f t="shared" si="1"/>
        <v>0</v>
      </c>
    </row>
    <row r="21" spans="1:5" ht="13.5" thickBot="1">
      <c r="A21" s="58"/>
      <c r="B21" s="59"/>
      <c r="C21" s="59"/>
      <c r="D21" s="59"/>
      <c r="E21" s="121">
        <f t="shared" si="1"/>
        <v>0</v>
      </c>
    </row>
    <row r="22" spans="1:5" ht="13.5" thickBot="1">
      <c r="A22" s="122" t="s">
        <v>76</v>
      </c>
      <c r="B22" s="123">
        <f>SUM(B15:B21)</f>
        <v>449720</v>
      </c>
      <c r="C22" s="123">
        <f>SUM(C15:C21)</f>
        <v>74496985</v>
      </c>
      <c r="D22" s="123">
        <f>SUM(D15:D21)</f>
        <v>0</v>
      </c>
      <c r="E22" s="124">
        <f>SUM(E15:E21)</f>
        <v>74946705</v>
      </c>
    </row>
    <row r="23" spans="1:5" ht="12.75">
      <c r="A23" s="111"/>
      <c r="B23" s="111"/>
      <c r="C23" s="111"/>
      <c r="D23" s="111"/>
      <c r="E23" s="111"/>
    </row>
    <row r="24" spans="1:5" ht="34.5" customHeight="1">
      <c r="A24" s="922" t="s">
        <v>732</v>
      </c>
      <c r="B24" s="922"/>
      <c r="C24" s="922"/>
      <c r="D24" s="922"/>
      <c r="E24" s="922"/>
    </row>
    <row r="25" spans="1:5" ht="14.25" thickBot="1">
      <c r="A25" s="111"/>
      <c r="B25" s="111"/>
      <c r="C25" s="111"/>
      <c r="D25" s="944" t="s">
        <v>676</v>
      </c>
      <c r="E25" s="944"/>
    </row>
    <row r="26" spans="1:5" ht="13.5" thickBot="1">
      <c r="A26" s="113" t="s">
        <v>144</v>
      </c>
      <c r="B26" s="114" t="s">
        <v>690</v>
      </c>
      <c r="C26" s="114">
        <v>2017</v>
      </c>
      <c r="D26" s="114" t="s">
        <v>691</v>
      </c>
      <c r="E26" s="115" t="s">
        <v>75</v>
      </c>
    </row>
    <row r="27" spans="1:5" ht="12.75">
      <c r="A27" s="116" t="s">
        <v>145</v>
      </c>
      <c r="B27" s="55"/>
      <c r="C27" s="55"/>
      <c r="D27" s="55"/>
      <c r="E27" s="117">
        <f aca="true" t="shared" si="2" ref="E27:E33">SUM(B27:D27)</f>
        <v>0</v>
      </c>
    </row>
    <row r="28" spans="1:5" ht="12.75">
      <c r="A28" s="118" t="s">
        <v>158</v>
      </c>
      <c r="B28" s="56"/>
      <c r="C28" s="56"/>
      <c r="D28" s="56"/>
      <c r="E28" s="119">
        <f t="shared" si="2"/>
        <v>0</v>
      </c>
    </row>
    <row r="29" spans="1:5" ht="12.75">
      <c r="A29" s="120" t="s">
        <v>146</v>
      </c>
      <c r="B29" s="57"/>
      <c r="C29" s="827">
        <v>75588869</v>
      </c>
      <c r="D29" s="827"/>
      <c r="E29" s="828">
        <f t="shared" si="2"/>
        <v>75588869</v>
      </c>
    </row>
    <row r="30" spans="1:5" ht="12.75">
      <c r="A30" s="120" t="s">
        <v>159</v>
      </c>
      <c r="B30" s="57"/>
      <c r="C30" s="827"/>
      <c r="D30" s="827"/>
      <c r="E30" s="828">
        <f t="shared" si="2"/>
        <v>0</v>
      </c>
    </row>
    <row r="31" spans="1:5" ht="12.75">
      <c r="A31" s="120" t="s">
        <v>147</v>
      </c>
      <c r="B31" s="457"/>
      <c r="C31" s="827"/>
      <c r="D31" s="827"/>
      <c r="E31" s="828">
        <f t="shared" si="2"/>
        <v>0</v>
      </c>
    </row>
    <row r="32" spans="1:5" ht="12.75">
      <c r="A32" s="120" t="s">
        <v>148</v>
      </c>
      <c r="B32" s="57"/>
      <c r="C32" s="827"/>
      <c r="D32" s="827"/>
      <c r="E32" s="828">
        <f t="shared" si="2"/>
        <v>0</v>
      </c>
    </row>
    <row r="33" spans="1:5" ht="13.5" thickBot="1">
      <c r="A33" s="58"/>
      <c r="B33" s="59"/>
      <c r="C33" s="829"/>
      <c r="D33" s="829"/>
      <c r="E33" s="828">
        <f t="shared" si="2"/>
        <v>0</v>
      </c>
    </row>
    <row r="34" spans="1:5" ht="13.5" thickBot="1">
      <c r="A34" s="122" t="s">
        <v>150</v>
      </c>
      <c r="B34" s="123">
        <f>B27+SUM(B29:B33)</f>
        <v>0</v>
      </c>
      <c r="C34" s="830">
        <f>C27+SUM(C29:C33)</f>
        <v>75588869</v>
      </c>
      <c r="D34" s="830">
        <f>D27+SUM(D29:D33)</f>
        <v>0</v>
      </c>
      <c r="E34" s="831">
        <f>E27+SUM(E29:E33)</f>
        <v>75588869</v>
      </c>
    </row>
    <row r="35" spans="1:5" ht="13.5" thickBot="1">
      <c r="A35" s="38"/>
      <c r="B35" s="38"/>
      <c r="C35" s="38"/>
      <c r="D35" s="38"/>
      <c r="E35" s="38"/>
    </row>
    <row r="36" spans="1:5" ht="13.5" thickBot="1">
      <c r="A36" s="113" t="s">
        <v>149</v>
      </c>
      <c r="B36" s="114" t="s">
        <v>690</v>
      </c>
      <c r="C36" s="114">
        <v>2017</v>
      </c>
      <c r="D36" s="114" t="s">
        <v>691</v>
      </c>
      <c r="E36" s="115" t="s">
        <v>75</v>
      </c>
    </row>
    <row r="37" spans="1:5" ht="12.75">
      <c r="A37" s="116" t="s">
        <v>154</v>
      </c>
      <c r="B37" s="55"/>
      <c r="C37" s="55"/>
      <c r="D37" s="55"/>
      <c r="E37" s="117">
        <f aca="true" t="shared" si="3" ref="E37:E43">SUM(B37:D37)</f>
        <v>0</v>
      </c>
    </row>
    <row r="38" spans="1:5" ht="12.75">
      <c r="A38" s="125" t="s">
        <v>155</v>
      </c>
      <c r="B38" s="57"/>
      <c r="C38" s="827">
        <v>71809476</v>
      </c>
      <c r="D38" s="827"/>
      <c r="E38" s="828">
        <f t="shared" si="3"/>
        <v>71809476</v>
      </c>
    </row>
    <row r="39" spans="1:5" ht="12.75">
      <c r="A39" s="120" t="s">
        <v>156</v>
      </c>
      <c r="B39" s="57"/>
      <c r="C39" s="827"/>
      <c r="D39" s="827"/>
      <c r="E39" s="828">
        <f t="shared" si="3"/>
        <v>0</v>
      </c>
    </row>
    <row r="40" spans="1:5" ht="12.75">
      <c r="A40" s="120" t="s">
        <v>157</v>
      </c>
      <c r="B40" s="57"/>
      <c r="C40" s="827"/>
      <c r="D40" s="827"/>
      <c r="E40" s="828">
        <f t="shared" si="3"/>
        <v>0</v>
      </c>
    </row>
    <row r="41" spans="1:5" ht="12.75">
      <c r="A41" s="60" t="s">
        <v>692</v>
      </c>
      <c r="B41" s="457"/>
      <c r="C41" s="827">
        <v>3779393</v>
      </c>
      <c r="D41" s="827"/>
      <c r="E41" s="828">
        <f t="shared" si="3"/>
        <v>3779393</v>
      </c>
    </row>
    <row r="42" spans="1:5" ht="12.75">
      <c r="A42" s="60"/>
      <c r="B42" s="57"/>
      <c r="C42" s="827"/>
      <c r="D42" s="827"/>
      <c r="E42" s="828">
        <f t="shared" si="3"/>
        <v>0</v>
      </c>
    </row>
    <row r="43" spans="1:5" ht="13.5" thickBot="1">
      <c r="A43" s="58"/>
      <c r="B43" s="59"/>
      <c r="C43" s="829"/>
      <c r="D43" s="829"/>
      <c r="E43" s="828">
        <f t="shared" si="3"/>
        <v>0</v>
      </c>
    </row>
    <row r="44" spans="1:5" ht="13.5" thickBot="1">
      <c r="A44" s="122" t="s">
        <v>76</v>
      </c>
      <c r="B44" s="123">
        <f>SUM(B37:B43)</f>
        <v>0</v>
      </c>
      <c r="C44" s="830">
        <f>SUM(C37:C43)</f>
        <v>75588869</v>
      </c>
      <c r="D44" s="830">
        <f>SUM(D37:D43)</f>
        <v>0</v>
      </c>
      <c r="E44" s="831">
        <f>SUM(E37:E43)</f>
        <v>75588869</v>
      </c>
    </row>
    <row r="45" spans="1:5" ht="12.75">
      <c r="A45" s="111"/>
      <c r="B45" s="111"/>
      <c r="C45" s="111"/>
      <c r="D45" s="111"/>
      <c r="E45" s="111"/>
    </row>
    <row r="46" spans="1:5" ht="15.75">
      <c r="A46" s="930" t="s">
        <v>643</v>
      </c>
      <c r="B46" s="930"/>
      <c r="C46" s="930"/>
      <c r="D46" s="930"/>
      <c r="E46" s="930"/>
    </row>
    <row r="47" spans="1:5" ht="13.5" thickBot="1">
      <c r="A47" s="111"/>
      <c r="B47" s="111"/>
      <c r="C47" s="111"/>
      <c r="D47" s="111"/>
      <c r="E47" s="111"/>
    </row>
    <row r="48" spans="1:8" ht="13.5" thickBot="1">
      <c r="A48" s="935" t="s">
        <v>152</v>
      </c>
      <c r="B48" s="936"/>
      <c r="C48" s="937"/>
      <c r="D48" s="933" t="s">
        <v>677</v>
      </c>
      <c r="E48" s="934"/>
      <c r="H48" s="37"/>
    </row>
    <row r="49" spans="1:5" ht="12.75">
      <c r="A49" s="938"/>
      <c r="B49" s="939"/>
      <c r="C49" s="940"/>
      <c r="D49" s="926"/>
      <c r="E49" s="927"/>
    </row>
    <row r="50" spans="1:5" ht="13.5" thickBot="1">
      <c r="A50" s="941"/>
      <c r="B50" s="942"/>
      <c r="C50" s="943"/>
      <c r="D50" s="928"/>
      <c r="E50" s="929"/>
    </row>
    <row r="51" spans="1:5" ht="13.5" thickBot="1">
      <c r="A51" s="923" t="s">
        <v>76</v>
      </c>
      <c r="B51" s="924"/>
      <c r="C51" s="925"/>
      <c r="D51" s="931">
        <f>SUM(D49:E50)</f>
        <v>0</v>
      </c>
      <c r="E51" s="932"/>
    </row>
  </sheetData>
  <sheetProtection/>
  <mergeCells count="13">
    <mergeCell ref="D3:E3"/>
    <mergeCell ref="D25:E25"/>
    <mergeCell ref="A24:E24"/>
    <mergeCell ref="A2:E2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E27:E34 B34:D34 E37:E44 B44:D44 D51:E51 E5:E12 B12:D12 B22:E22 E15:E21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3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 20/2017.(VI.29.)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view="pageLayout" workbookViewId="0" topLeftCell="A1">
      <selection activeCell="J13" sqref="J13"/>
    </sheetView>
  </sheetViews>
  <sheetFormatPr defaultColWidth="9.00390625" defaultRowHeight="12.75"/>
  <cols>
    <col min="1" max="1" width="38.625" style="36" customWidth="1"/>
    <col min="2" max="5" width="13.875" style="36" customWidth="1"/>
    <col min="6" max="16384" width="9.375" style="36" customWidth="1"/>
  </cols>
  <sheetData>
    <row r="1" spans="1:5" ht="12.75">
      <c r="A1" s="111"/>
      <c r="B1" s="111"/>
      <c r="C1" s="111"/>
      <c r="D1" s="111"/>
      <c r="E1" s="111"/>
    </row>
    <row r="2" spans="1:5" ht="47.25" customHeight="1">
      <c r="A2" s="922" t="s">
        <v>733</v>
      </c>
      <c r="B2" s="922"/>
      <c r="C2" s="922"/>
      <c r="D2" s="922"/>
      <c r="E2" s="922"/>
    </row>
    <row r="3" spans="1:5" ht="14.25" thickBot="1">
      <c r="A3" s="111"/>
      <c r="B3" s="111"/>
      <c r="C3" s="111"/>
      <c r="D3" s="944" t="s">
        <v>676</v>
      </c>
      <c r="E3" s="944"/>
    </row>
    <row r="4" spans="1:5" ht="15" customHeight="1" thickBot="1">
      <c r="A4" s="113" t="s">
        <v>144</v>
      </c>
      <c r="B4" s="114" t="s">
        <v>690</v>
      </c>
      <c r="C4" s="114">
        <v>2017</v>
      </c>
      <c r="D4" s="114" t="s">
        <v>691</v>
      </c>
      <c r="E4" s="115" t="s">
        <v>75</v>
      </c>
    </row>
    <row r="5" spans="1:5" ht="12.75">
      <c r="A5" s="116" t="s">
        <v>145</v>
      </c>
      <c r="B5" s="55"/>
      <c r="C5" s="55"/>
      <c r="D5" s="55"/>
      <c r="E5" s="117">
        <f aca="true" t="shared" si="0" ref="E5:E11">SUM(B5:D5)</f>
        <v>0</v>
      </c>
    </row>
    <row r="6" spans="1:5" ht="12.75">
      <c r="A6" s="118" t="s">
        <v>158</v>
      </c>
      <c r="B6" s="56"/>
      <c r="C6" s="56"/>
      <c r="D6" s="56"/>
      <c r="E6" s="121">
        <f t="shared" si="0"/>
        <v>0</v>
      </c>
    </row>
    <row r="7" spans="1:5" ht="12.75">
      <c r="A7" s="120" t="s">
        <v>146</v>
      </c>
      <c r="B7" s="57"/>
      <c r="C7" s="827">
        <v>15956160</v>
      </c>
      <c r="D7" s="827"/>
      <c r="E7" s="828">
        <f t="shared" si="0"/>
        <v>15956160</v>
      </c>
    </row>
    <row r="8" spans="1:5" ht="12.75">
      <c r="A8" s="120" t="s">
        <v>159</v>
      </c>
      <c r="B8" s="57"/>
      <c r="C8" s="827"/>
      <c r="D8" s="827"/>
      <c r="E8" s="828">
        <f t="shared" si="0"/>
        <v>0</v>
      </c>
    </row>
    <row r="9" spans="1:5" ht="12.75">
      <c r="A9" s="120" t="s">
        <v>147</v>
      </c>
      <c r="B9" s="57"/>
      <c r="C9" s="827"/>
      <c r="D9" s="827"/>
      <c r="E9" s="828">
        <f t="shared" si="0"/>
        <v>0</v>
      </c>
    </row>
    <row r="10" spans="1:5" ht="12.75">
      <c r="A10" s="120" t="s">
        <v>148</v>
      </c>
      <c r="B10" s="57"/>
      <c r="C10" s="827"/>
      <c r="D10" s="827"/>
      <c r="E10" s="828">
        <f t="shared" si="0"/>
        <v>0</v>
      </c>
    </row>
    <row r="11" spans="1:5" ht="13.5" thickBot="1">
      <c r="A11" s="834"/>
      <c r="B11" s="835"/>
      <c r="C11" s="836"/>
      <c r="D11" s="836"/>
      <c r="E11" s="837">
        <f t="shared" si="0"/>
        <v>0</v>
      </c>
    </row>
    <row r="12" spans="1:5" ht="13.5" thickBot="1">
      <c r="A12" s="832" t="s">
        <v>150</v>
      </c>
      <c r="B12" s="833">
        <f>B5+SUM(B7:B11)</f>
        <v>0</v>
      </c>
      <c r="C12" s="838">
        <f>C5+SUM(C7:C11)</f>
        <v>15956160</v>
      </c>
      <c r="D12" s="838">
        <f>D5+SUM(D7:D11)</f>
        <v>0</v>
      </c>
      <c r="E12" s="839">
        <f>E5+SUM(E7:E11)</f>
        <v>15956160</v>
      </c>
    </row>
    <row r="13" spans="1:5" ht="13.5" thickBot="1">
      <c r="A13" s="38"/>
      <c r="B13" s="38"/>
      <c r="C13" s="38"/>
      <c r="D13" s="38"/>
      <c r="E13" s="38"/>
    </row>
    <row r="14" spans="1:5" ht="15" customHeight="1" thickBot="1">
      <c r="A14" s="113" t="s">
        <v>149</v>
      </c>
      <c r="B14" s="114" t="s">
        <v>690</v>
      </c>
      <c r="C14" s="114">
        <v>2017</v>
      </c>
      <c r="D14" s="114" t="s">
        <v>691</v>
      </c>
      <c r="E14" s="115" t="s">
        <v>75</v>
      </c>
    </row>
    <row r="15" spans="1:5" ht="12.75">
      <c r="A15" s="116" t="s">
        <v>154</v>
      </c>
      <c r="B15" s="55"/>
      <c r="C15" s="55"/>
      <c r="D15" s="55"/>
      <c r="E15" s="117">
        <f aca="true" t="shared" si="1" ref="E15:E21">SUM(B15:D15)</f>
        <v>0</v>
      </c>
    </row>
    <row r="16" spans="1:5" ht="12.75">
      <c r="A16" s="125" t="s">
        <v>155</v>
      </c>
      <c r="B16" s="57"/>
      <c r="C16" s="827">
        <v>15956160</v>
      </c>
      <c r="D16" s="827"/>
      <c r="E16" s="828">
        <f t="shared" si="1"/>
        <v>15956160</v>
      </c>
    </row>
    <row r="17" spans="1:5" ht="12.75">
      <c r="A17" s="120" t="s">
        <v>156</v>
      </c>
      <c r="B17" s="57"/>
      <c r="C17" s="827"/>
      <c r="D17" s="827"/>
      <c r="E17" s="828">
        <f t="shared" si="1"/>
        <v>0</v>
      </c>
    </row>
    <row r="18" spans="1:5" ht="12.75">
      <c r="A18" s="120" t="s">
        <v>157</v>
      </c>
      <c r="B18" s="57"/>
      <c r="C18" s="827"/>
      <c r="D18" s="827"/>
      <c r="E18" s="828">
        <f t="shared" si="1"/>
        <v>0</v>
      </c>
    </row>
    <row r="19" spans="1:5" ht="12.75">
      <c r="A19" s="60" t="s">
        <v>692</v>
      </c>
      <c r="B19" s="57"/>
      <c r="C19" s="827"/>
      <c r="D19" s="827"/>
      <c r="E19" s="828">
        <f t="shared" si="1"/>
        <v>0</v>
      </c>
    </row>
    <row r="20" spans="1:5" ht="12.75">
      <c r="A20" s="60"/>
      <c r="B20" s="57"/>
      <c r="C20" s="827"/>
      <c r="D20" s="827"/>
      <c r="E20" s="828">
        <f t="shared" si="1"/>
        <v>0</v>
      </c>
    </row>
    <row r="21" spans="1:5" ht="13.5" thickBot="1">
      <c r="A21" s="834"/>
      <c r="B21" s="835"/>
      <c r="C21" s="836"/>
      <c r="D21" s="836"/>
      <c r="E21" s="837">
        <f t="shared" si="1"/>
        <v>0</v>
      </c>
    </row>
    <row r="22" spans="1:5" ht="13.5" thickBot="1">
      <c r="A22" s="832" t="s">
        <v>76</v>
      </c>
      <c r="B22" s="833">
        <f>SUM(B15:B21)</f>
        <v>0</v>
      </c>
      <c r="C22" s="838">
        <f>SUM(C15:C21)</f>
        <v>15956160</v>
      </c>
      <c r="D22" s="838">
        <f>SUM(D15:D21)</f>
        <v>0</v>
      </c>
      <c r="E22" s="839">
        <f>SUM(E15:E21)</f>
        <v>15956160</v>
      </c>
    </row>
    <row r="23" spans="1:5" ht="12.75">
      <c r="A23" s="111"/>
      <c r="B23" s="111"/>
      <c r="C23" s="111"/>
      <c r="D23" s="111"/>
      <c r="E23" s="111"/>
    </row>
    <row r="24" spans="1:5" ht="28.5" customHeight="1">
      <c r="A24" s="112" t="s">
        <v>151</v>
      </c>
      <c r="B24" s="945"/>
      <c r="C24" s="945"/>
      <c r="D24" s="945"/>
      <c r="E24" s="945"/>
    </row>
    <row r="25" spans="1:5" ht="14.25" thickBot="1">
      <c r="A25" s="111"/>
      <c r="B25" s="111"/>
      <c r="C25" s="111"/>
      <c r="D25" s="944" t="s">
        <v>676</v>
      </c>
      <c r="E25" s="944"/>
    </row>
    <row r="26" spans="1:5" ht="13.5" thickBot="1">
      <c r="A26" s="113" t="s">
        <v>144</v>
      </c>
      <c r="B26" s="114" t="s">
        <v>690</v>
      </c>
      <c r="C26" s="114">
        <v>2017</v>
      </c>
      <c r="D26" s="114" t="s">
        <v>691</v>
      </c>
      <c r="E26" s="115" t="s">
        <v>75</v>
      </c>
    </row>
    <row r="27" spans="1:5" ht="12.75">
      <c r="A27" s="116" t="s">
        <v>145</v>
      </c>
      <c r="B27" s="55"/>
      <c r="C27" s="55"/>
      <c r="D27" s="55"/>
      <c r="E27" s="117">
        <f aca="true" t="shared" si="2" ref="E27:E33">SUM(B27:D27)</f>
        <v>0</v>
      </c>
    </row>
    <row r="28" spans="1:5" ht="12.75">
      <c r="A28" s="118" t="s">
        <v>158</v>
      </c>
      <c r="B28" s="56"/>
      <c r="C28" s="56"/>
      <c r="D28" s="56"/>
      <c r="E28" s="119">
        <f t="shared" si="2"/>
        <v>0</v>
      </c>
    </row>
    <row r="29" spans="1:5" ht="12.75">
      <c r="A29" s="120" t="s">
        <v>146</v>
      </c>
      <c r="B29" s="57"/>
      <c r="C29" s="57"/>
      <c r="D29" s="57"/>
      <c r="E29" s="121">
        <f t="shared" si="2"/>
        <v>0</v>
      </c>
    </row>
    <row r="30" spans="1:5" ht="12.75">
      <c r="A30" s="120" t="s">
        <v>159</v>
      </c>
      <c r="B30" s="57"/>
      <c r="C30" s="57"/>
      <c r="D30" s="57"/>
      <c r="E30" s="121">
        <f t="shared" si="2"/>
        <v>0</v>
      </c>
    </row>
    <row r="31" spans="1:5" ht="12.75">
      <c r="A31" s="120" t="s">
        <v>147</v>
      </c>
      <c r="B31" s="457"/>
      <c r="C31" s="57"/>
      <c r="D31" s="57"/>
      <c r="E31" s="121">
        <f t="shared" si="2"/>
        <v>0</v>
      </c>
    </row>
    <row r="32" spans="1:5" ht="12.75">
      <c r="A32" s="120" t="s">
        <v>148</v>
      </c>
      <c r="B32" s="57"/>
      <c r="C32" s="57"/>
      <c r="D32" s="57"/>
      <c r="E32" s="121">
        <f t="shared" si="2"/>
        <v>0</v>
      </c>
    </row>
    <row r="33" spans="1:5" ht="13.5" thickBot="1">
      <c r="A33" s="58"/>
      <c r="B33" s="59"/>
      <c r="C33" s="59"/>
      <c r="D33" s="59"/>
      <c r="E33" s="121">
        <f t="shared" si="2"/>
        <v>0</v>
      </c>
    </row>
    <row r="34" spans="1:5" ht="13.5" thickBot="1">
      <c r="A34" s="122" t="s">
        <v>150</v>
      </c>
      <c r="B34" s="123">
        <f>B27+SUM(B29:B33)</f>
        <v>0</v>
      </c>
      <c r="C34" s="123">
        <f>C27+SUM(C29:C33)</f>
        <v>0</v>
      </c>
      <c r="D34" s="123">
        <f>D27+SUM(D29:D33)</f>
        <v>0</v>
      </c>
      <c r="E34" s="124">
        <f>E27+SUM(E29:E33)</f>
        <v>0</v>
      </c>
    </row>
    <row r="35" spans="1:5" ht="13.5" thickBot="1">
      <c r="A35" s="38"/>
      <c r="B35" s="38"/>
      <c r="C35" s="38"/>
      <c r="D35" s="38"/>
      <c r="E35" s="38"/>
    </row>
    <row r="36" spans="1:5" ht="13.5" thickBot="1">
      <c r="A36" s="113" t="s">
        <v>149</v>
      </c>
      <c r="B36" s="114" t="s">
        <v>690</v>
      </c>
      <c r="C36" s="114">
        <v>2017</v>
      </c>
      <c r="D36" s="114" t="s">
        <v>691</v>
      </c>
      <c r="E36" s="115" t="s">
        <v>75</v>
      </c>
    </row>
    <row r="37" spans="1:5" ht="12.75">
      <c r="A37" s="116" t="s">
        <v>154</v>
      </c>
      <c r="B37" s="55"/>
      <c r="C37" s="55"/>
      <c r="D37" s="55"/>
      <c r="E37" s="117">
        <f aca="true" t="shared" si="3" ref="E37:E43">SUM(B37:D37)</f>
        <v>0</v>
      </c>
    </row>
    <row r="38" spans="1:5" ht="12.75">
      <c r="A38" s="125" t="s">
        <v>155</v>
      </c>
      <c r="B38" s="57"/>
      <c r="C38" s="57"/>
      <c r="D38" s="57"/>
      <c r="E38" s="121">
        <f t="shared" si="3"/>
        <v>0</v>
      </c>
    </row>
    <row r="39" spans="1:5" ht="12.75">
      <c r="A39" s="120" t="s">
        <v>156</v>
      </c>
      <c r="B39" s="57"/>
      <c r="C39" s="57"/>
      <c r="D39" s="57"/>
      <c r="E39" s="121">
        <f t="shared" si="3"/>
        <v>0</v>
      </c>
    </row>
    <row r="40" spans="1:5" ht="12.75">
      <c r="A40" s="120" t="s">
        <v>157</v>
      </c>
      <c r="B40" s="57"/>
      <c r="C40" s="57"/>
      <c r="D40" s="57"/>
      <c r="E40" s="121">
        <f t="shared" si="3"/>
        <v>0</v>
      </c>
    </row>
    <row r="41" spans="1:5" ht="12.75">
      <c r="A41" s="511"/>
      <c r="B41" s="457"/>
      <c r="C41" s="457"/>
      <c r="D41" s="457"/>
      <c r="E41" s="458">
        <f t="shared" si="3"/>
        <v>0</v>
      </c>
    </row>
    <row r="42" spans="1:5" ht="12.75">
      <c r="A42" s="60"/>
      <c r="B42" s="57"/>
      <c r="C42" s="57"/>
      <c r="D42" s="57"/>
      <c r="E42" s="121">
        <f t="shared" si="3"/>
        <v>0</v>
      </c>
    </row>
    <row r="43" spans="1:5" ht="13.5" thickBot="1">
      <c r="A43" s="58"/>
      <c r="B43" s="59"/>
      <c r="C43" s="59"/>
      <c r="D43" s="59"/>
      <c r="E43" s="121">
        <f t="shared" si="3"/>
        <v>0</v>
      </c>
    </row>
    <row r="44" spans="1:5" ht="13.5" thickBot="1">
      <c r="A44" s="122" t="s">
        <v>76</v>
      </c>
      <c r="B44" s="123">
        <f>SUM(B37:B43)</f>
        <v>0</v>
      </c>
      <c r="C44" s="123">
        <f>SUM(C37:C43)</f>
        <v>0</v>
      </c>
      <c r="D44" s="123">
        <f>SUM(D37:D43)</f>
        <v>0</v>
      </c>
      <c r="E44" s="124">
        <f>SUM(E37:E43)</f>
        <v>0</v>
      </c>
    </row>
    <row r="45" spans="1:5" ht="12.75">
      <c r="A45" s="111"/>
      <c r="B45" s="111"/>
      <c r="C45" s="111"/>
      <c r="D45" s="111"/>
      <c r="E45" s="111"/>
    </row>
    <row r="46" spans="1:5" ht="15.75">
      <c r="A46" s="930" t="s">
        <v>643</v>
      </c>
      <c r="B46" s="930"/>
      <c r="C46" s="930"/>
      <c r="D46" s="930"/>
      <c r="E46" s="930"/>
    </row>
    <row r="47" spans="1:5" ht="13.5" thickBot="1">
      <c r="A47" s="111"/>
      <c r="B47" s="111"/>
      <c r="C47" s="111"/>
      <c r="D47" s="111"/>
      <c r="E47" s="111"/>
    </row>
    <row r="48" spans="1:8" ht="13.5" thickBot="1">
      <c r="A48" s="935" t="s">
        <v>152</v>
      </c>
      <c r="B48" s="936"/>
      <c r="C48" s="937"/>
      <c r="D48" s="933" t="s">
        <v>677</v>
      </c>
      <c r="E48" s="934"/>
      <c r="H48" s="37"/>
    </row>
    <row r="49" spans="1:5" ht="12.75">
      <c r="A49" s="938"/>
      <c r="B49" s="939"/>
      <c r="C49" s="940"/>
      <c r="D49" s="926"/>
      <c r="E49" s="927"/>
    </row>
    <row r="50" spans="1:5" ht="13.5" thickBot="1">
      <c r="A50" s="941"/>
      <c r="B50" s="942"/>
      <c r="C50" s="943"/>
      <c r="D50" s="928"/>
      <c r="E50" s="929"/>
    </row>
    <row r="51" spans="1:5" ht="13.5" thickBot="1">
      <c r="A51" s="923" t="s">
        <v>76</v>
      </c>
      <c r="B51" s="924"/>
      <c r="C51" s="925"/>
      <c r="D51" s="931">
        <f>SUM(D49:E50)</f>
        <v>0</v>
      </c>
      <c r="E51" s="932"/>
    </row>
  </sheetData>
  <sheetProtection/>
  <mergeCells count="13">
    <mergeCell ref="A2:E2"/>
    <mergeCell ref="D3:E3"/>
    <mergeCell ref="B24:E24"/>
    <mergeCell ref="D25:E25"/>
    <mergeCell ref="A50:C50"/>
    <mergeCell ref="D50:E50"/>
    <mergeCell ref="A51:C51"/>
    <mergeCell ref="D51:E51"/>
    <mergeCell ref="A46:E46"/>
    <mergeCell ref="A48:C48"/>
    <mergeCell ref="D48:E48"/>
    <mergeCell ref="A49:C49"/>
    <mergeCell ref="D49:E49"/>
  </mergeCells>
  <conditionalFormatting sqref="E27:E34 B34:D34 E37:E44 B44:D44 D51:E51 B12:D12 B22:E22 E5:E12 E15:E21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20/2017.(VI.29.)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44" sqref="C44"/>
    </sheetView>
  </sheetViews>
  <sheetFormatPr defaultColWidth="9.00390625" defaultRowHeight="12.75"/>
  <cols>
    <col min="1" max="1" width="19.50390625" style="298" customWidth="1"/>
    <col min="2" max="2" width="72.00390625" style="299" customWidth="1"/>
    <col min="3" max="3" width="25.00390625" style="300" customWidth="1"/>
    <col min="4" max="16384" width="9.375" style="2" customWidth="1"/>
  </cols>
  <sheetData>
    <row r="1" spans="1:3" s="1" customFormat="1" ht="16.5" customHeight="1" thickBot="1">
      <c r="A1" s="126"/>
      <c r="B1" s="128"/>
      <c r="C1" s="151"/>
    </row>
    <row r="2" spans="1:4" s="61" customFormat="1" ht="21" customHeight="1">
      <c r="A2" s="245" t="s">
        <v>86</v>
      </c>
      <c r="B2" s="223" t="s">
        <v>205</v>
      </c>
      <c r="C2" s="225" t="s">
        <v>77</v>
      </c>
      <c r="D2" s="581"/>
    </row>
    <row r="3" spans="1:3" s="61" customFormat="1" ht="16.5" thickBot="1">
      <c r="A3" s="129" t="s">
        <v>199</v>
      </c>
      <c r="B3" s="224" t="s">
        <v>383</v>
      </c>
      <c r="C3" s="488" t="s">
        <v>77</v>
      </c>
    </row>
    <row r="4" spans="1:3" s="62" customFormat="1" ht="15.75" customHeight="1" thickBot="1">
      <c r="A4" s="130"/>
      <c r="B4" s="130"/>
      <c r="C4" s="131" t="s">
        <v>651</v>
      </c>
    </row>
    <row r="5" spans="1:3" ht="13.5" thickBot="1">
      <c r="A5" s="246" t="s">
        <v>201</v>
      </c>
      <c r="B5" s="132" t="s">
        <v>78</v>
      </c>
      <c r="C5" s="226" t="s">
        <v>79</v>
      </c>
    </row>
    <row r="6" spans="1:3" s="48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48" customFormat="1" ht="15.75" customHeight="1" thickBot="1">
      <c r="A7" s="134"/>
      <c r="B7" s="135" t="s">
        <v>80</v>
      </c>
      <c r="C7" s="227"/>
    </row>
    <row r="8" spans="1:3" s="48" customFormat="1" ht="12" customHeight="1" thickBot="1">
      <c r="A8" s="27" t="s">
        <v>43</v>
      </c>
      <c r="B8" s="20" t="s">
        <v>230</v>
      </c>
      <c r="C8" s="170">
        <f>+C9+C10+C11+C12+C13+C14</f>
        <v>1239018195</v>
      </c>
    </row>
    <row r="9" spans="1:3" s="63" customFormat="1" ht="12" customHeight="1">
      <c r="A9" s="269" t="s">
        <v>122</v>
      </c>
      <c r="B9" s="255" t="s">
        <v>231</v>
      </c>
      <c r="C9" s="293">
        <f>227512539+905743</f>
        <v>228418282</v>
      </c>
    </row>
    <row r="10" spans="1:3" s="64" customFormat="1" ht="12" customHeight="1">
      <c r="A10" s="270" t="s">
        <v>123</v>
      </c>
      <c r="B10" s="256" t="s">
        <v>232</v>
      </c>
      <c r="C10" s="174">
        <f>218107294+10461768</f>
        <v>228569062</v>
      </c>
    </row>
    <row r="11" spans="1:3" s="64" customFormat="1" ht="12" customHeight="1">
      <c r="A11" s="270" t="s">
        <v>124</v>
      </c>
      <c r="B11" s="256" t="s">
        <v>233</v>
      </c>
      <c r="C11" s="174">
        <f>121200000+67844165+118423160+15562200+177597260+4526280+11511000+24250000-35761000</f>
        <v>505153065</v>
      </c>
    </row>
    <row r="12" spans="1:3" s="64" customFormat="1" ht="12" customHeight="1">
      <c r="A12" s="270" t="s">
        <v>125</v>
      </c>
      <c r="B12" s="256" t="s">
        <v>234</v>
      </c>
      <c r="C12" s="784">
        <f>4412740+15262320+10629000-4412740+4412740</f>
        <v>30304060</v>
      </c>
    </row>
    <row r="13" spans="1:3" s="64" customFormat="1" ht="12" customHeight="1">
      <c r="A13" s="270" t="s">
        <v>160</v>
      </c>
      <c r="B13" s="256" t="s">
        <v>564</v>
      </c>
      <c r="C13" s="784">
        <f>3551000+1060845+168707597+58000+128000+13957152+413944+9514709+49094027+4501192-4412740</f>
        <v>246573726</v>
      </c>
    </row>
    <row r="14" spans="1:3" s="63" customFormat="1" ht="12" customHeight="1" thickBot="1">
      <c r="A14" s="271" t="s">
        <v>126</v>
      </c>
      <c r="B14" s="257" t="s">
        <v>504</v>
      </c>
      <c r="C14" s="171"/>
    </row>
    <row r="15" spans="1:3" s="63" customFormat="1" ht="12" customHeight="1" thickBot="1">
      <c r="A15" s="27" t="s">
        <v>44</v>
      </c>
      <c r="B15" s="165" t="s">
        <v>235</v>
      </c>
      <c r="C15" s="170">
        <f>+C16+C17+C18+C19+C20</f>
        <v>609293092</v>
      </c>
    </row>
    <row r="16" spans="1:3" s="63" customFormat="1" ht="12" customHeight="1">
      <c r="A16" s="269" t="s">
        <v>128</v>
      </c>
      <c r="B16" s="255" t="s">
        <v>236</v>
      </c>
      <c r="C16" s="172"/>
    </row>
    <row r="17" spans="1:3" s="63" customFormat="1" ht="12" customHeight="1">
      <c r="A17" s="270" t="s">
        <v>129</v>
      </c>
      <c r="B17" s="256" t="s">
        <v>237</v>
      </c>
      <c r="C17" s="171"/>
    </row>
    <row r="18" spans="1:3" s="63" customFormat="1" ht="12" customHeight="1">
      <c r="A18" s="270" t="s">
        <v>130</v>
      </c>
      <c r="B18" s="256" t="s">
        <v>406</v>
      </c>
      <c r="C18" s="174"/>
    </row>
    <row r="19" spans="1:3" s="63" customFormat="1" ht="12" customHeight="1">
      <c r="A19" s="270" t="s">
        <v>131</v>
      </c>
      <c r="B19" s="256" t="s">
        <v>407</v>
      </c>
      <c r="C19" s="174"/>
    </row>
    <row r="20" spans="1:3" s="63" customFormat="1" ht="12" customHeight="1">
      <c r="A20" s="270" t="s">
        <v>132</v>
      </c>
      <c r="B20" s="256" t="s">
        <v>238</v>
      </c>
      <c r="C20" s="784">
        <f>2285000+210000+110446000+65342000+25310845+9303887+291175856+362000+94906504+6840000+3111000</f>
        <v>609293092</v>
      </c>
    </row>
    <row r="21" spans="1:3" s="64" customFormat="1" ht="12" customHeight="1" thickBot="1">
      <c r="A21" s="271" t="s">
        <v>141</v>
      </c>
      <c r="B21" s="257" t="s">
        <v>239</v>
      </c>
      <c r="C21" s="244"/>
    </row>
    <row r="22" spans="1:3" s="64" customFormat="1" ht="12" customHeight="1" thickBot="1">
      <c r="A22" s="27" t="s">
        <v>45</v>
      </c>
      <c r="B22" s="20" t="s">
        <v>240</v>
      </c>
      <c r="C22" s="170">
        <f>+C23+C24+C25+C26+C27</f>
        <v>112681605</v>
      </c>
    </row>
    <row r="23" spans="1:3" s="64" customFormat="1" ht="12" customHeight="1">
      <c r="A23" s="269" t="s">
        <v>111</v>
      </c>
      <c r="B23" s="255" t="s">
        <v>241</v>
      </c>
      <c r="C23" s="496"/>
    </row>
    <row r="24" spans="1:3" s="63" customFormat="1" ht="12" customHeight="1">
      <c r="A24" s="270" t="s">
        <v>112</v>
      </c>
      <c r="B24" s="256" t="s">
        <v>242</v>
      </c>
      <c r="C24" s="174"/>
    </row>
    <row r="25" spans="1:3" s="64" customFormat="1" ht="12" customHeight="1">
      <c r="A25" s="270" t="s">
        <v>113</v>
      </c>
      <c r="B25" s="256" t="s">
        <v>408</v>
      </c>
      <c r="C25" s="174"/>
    </row>
    <row r="26" spans="1:3" s="64" customFormat="1" ht="12" customHeight="1">
      <c r="A26" s="270" t="s">
        <v>114</v>
      </c>
      <c r="B26" s="256" t="s">
        <v>409</v>
      </c>
      <c r="C26" s="174"/>
    </row>
    <row r="27" spans="1:3" s="64" customFormat="1" ht="12" customHeight="1">
      <c r="A27" s="270" t="s">
        <v>172</v>
      </c>
      <c r="B27" s="256" t="s">
        <v>243</v>
      </c>
      <c r="C27" s="784">
        <f>3797300+15179276+2160000+75588869+15956160</f>
        <v>112681605</v>
      </c>
    </row>
    <row r="28" spans="1:3" s="64" customFormat="1" ht="12" customHeight="1" thickBot="1">
      <c r="A28" s="271" t="s">
        <v>173</v>
      </c>
      <c r="B28" s="257" t="s">
        <v>244</v>
      </c>
      <c r="C28" s="840">
        <f>3797300+75588869+15956160</f>
        <v>95342329</v>
      </c>
    </row>
    <row r="29" spans="1:3" s="64" customFormat="1" ht="12" customHeight="1" thickBot="1">
      <c r="A29" s="27" t="s">
        <v>174</v>
      </c>
      <c r="B29" s="20" t="s">
        <v>245</v>
      </c>
      <c r="C29" s="175">
        <f>+C30+C34+C35+C36</f>
        <v>319390000</v>
      </c>
    </row>
    <row r="30" spans="1:3" s="64" customFormat="1" ht="12" customHeight="1">
      <c r="A30" s="269" t="s">
        <v>246</v>
      </c>
      <c r="B30" s="255" t="s">
        <v>565</v>
      </c>
      <c r="C30" s="250">
        <f>SUM(C31:C33)</f>
        <v>282830000</v>
      </c>
    </row>
    <row r="31" spans="1:3" s="64" customFormat="1" ht="12" customHeight="1">
      <c r="A31" s="270" t="s">
        <v>247</v>
      </c>
      <c r="B31" s="256" t="s">
        <v>252</v>
      </c>
      <c r="C31" s="171">
        <f>8990000+70000000</f>
        <v>78990000</v>
      </c>
    </row>
    <row r="32" spans="1:3" s="64" customFormat="1" ht="12" customHeight="1">
      <c r="A32" s="270" t="s">
        <v>248</v>
      </c>
      <c r="B32" s="256" t="s">
        <v>608</v>
      </c>
      <c r="C32" s="171">
        <v>203840000</v>
      </c>
    </row>
    <row r="33" spans="1:3" s="64" customFormat="1" ht="12" customHeight="1">
      <c r="A33" s="270" t="s">
        <v>506</v>
      </c>
      <c r="B33" s="256" t="s">
        <v>605</v>
      </c>
      <c r="C33" s="174"/>
    </row>
    <row r="34" spans="1:3" s="64" customFormat="1" ht="12" customHeight="1">
      <c r="A34" s="270" t="s">
        <v>249</v>
      </c>
      <c r="B34" s="256" t="s">
        <v>254</v>
      </c>
      <c r="C34" s="171">
        <f>27000000</f>
        <v>27000000</v>
      </c>
    </row>
    <row r="35" spans="1:3" s="64" customFormat="1" ht="12" customHeight="1">
      <c r="A35" s="270" t="s">
        <v>250</v>
      </c>
      <c r="B35" s="256" t="s">
        <v>255</v>
      </c>
      <c r="C35" s="171">
        <f>4060000-4000000</f>
        <v>60000</v>
      </c>
    </row>
    <row r="36" spans="1:3" s="64" customFormat="1" ht="12" customHeight="1" thickBot="1">
      <c r="A36" s="271" t="s">
        <v>251</v>
      </c>
      <c r="B36" s="257" t="s">
        <v>256</v>
      </c>
      <c r="C36" s="244">
        <f>5500000+4000000</f>
        <v>9500000</v>
      </c>
    </row>
    <row r="37" spans="1:3" s="64" customFormat="1" ht="12" customHeight="1" thickBot="1">
      <c r="A37" s="27" t="s">
        <v>47</v>
      </c>
      <c r="B37" s="20" t="s">
        <v>508</v>
      </c>
      <c r="C37" s="170">
        <f>SUM(C38:C48)</f>
        <v>57655292</v>
      </c>
    </row>
    <row r="38" spans="1:3" s="64" customFormat="1" ht="12" customHeight="1">
      <c r="A38" s="269" t="s">
        <v>115</v>
      </c>
      <c r="B38" s="255" t="s">
        <v>259</v>
      </c>
      <c r="C38" s="293">
        <f>3937000+4000000+5000000+5500000</f>
        <v>18437000</v>
      </c>
    </row>
    <row r="39" spans="1:3" s="64" customFormat="1" ht="12" customHeight="1">
      <c r="A39" s="270" t="s">
        <v>116</v>
      </c>
      <c r="B39" s="256" t="s">
        <v>260</v>
      </c>
      <c r="C39" s="174">
        <f>100000+12004000+160000</f>
        <v>12264000</v>
      </c>
    </row>
    <row r="40" spans="1:3" s="64" customFormat="1" ht="12" customHeight="1">
      <c r="A40" s="270" t="s">
        <v>117</v>
      </c>
      <c r="B40" s="256" t="s">
        <v>261</v>
      </c>
      <c r="C40" s="784">
        <f>8458000+947000+918292-195228</f>
        <v>10128064</v>
      </c>
    </row>
    <row r="41" spans="1:3" s="64" customFormat="1" ht="12" customHeight="1">
      <c r="A41" s="270" t="s">
        <v>176</v>
      </c>
      <c r="B41" s="256" t="s">
        <v>262</v>
      </c>
      <c r="C41" s="174">
        <f>430000</f>
        <v>430000</v>
      </c>
    </row>
    <row r="42" spans="1:3" s="64" customFormat="1" ht="12" customHeight="1">
      <c r="A42" s="270" t="s">
        <v>177</v>
      </c>
      <c r="B42" s="256" t="s">
        <v>263</v>
      </c>
      <c r="C42" s="174"/>
    </row>
    <row r="43" spans="1:3" s="64" customFormat="1" ht="12" customHeight="1">
      <c r="A43" s="270" t="s">
        <v>178</v>
      </c>
      <c r="B43" s="256" t="s">
        <v>264</v>
      </c>
      <c r="C43" s="784">
        <f>1063000+3242000+5853000+44000+378000+600000+1350000+270000+1485000+682000+195228</f>
        <v>15162228</v>
      </c>
    </row>
    <row r="44" spans="1:3" s="64" customFormat="1" ht="12" customHeight="1">
      <c r="A44" s="270" t="s">
        <v>179</v>
      </c>
      <c r="B44" s="256" t="s">
        <v>265</v>
      </c>
      <c r="C44" s="174"/>
    </row>
    <row r="45" spans="1:3" s="64" customFormat="1" ht="12" customHeight="1">
      <c r="A45" s="270" t="s">
        <v>180</v>
      </c>
      <c r="B45" s="256" t="s">
        <v>266</v>
      </c>
      <c r="C45" s="174">
        <v>30000</v>
      </c>
    </row>
    <row r="46" spans="1:3" s="64" customFormat="1" ht="12" customHeight="1">
      <c r="A46" s="270" t="s">
        <v>257</v>
      </c>
      <c r="B46" s="256" t="s">
        <v>267</v>
      </c>
      <c r="C46" s="174"/>
    </row>
    <row r="47" spans="1:3" s="64" customFormat="1" ht="12" customHeight="1">
      <c r="A47" s="271" t="s">
        <v>258</v>
      </c>
      <c r="B47" s="257" t="s">
        <v>509</v>
      </c>
      <c r="C47" s="244">
        <f>500000</f>
        <v>500000</v>
      </c>
    </row>
    <row r="48" spans="1:3" s="64" customFormat="1" ht="12" customHeight="1" thickBot="1">
      <c r="A48" s="271" t="s">
        <v>510</v>
      </c>
      <c r="B48" s="257" t="s">
        <v>268</v>
      </c>
      <c r="C48" s="244">
        <f>704000</f>
        <v>704000</v>
      </c>
    </row>
    <row r="49" spans="1:3" s="64" customFormat="1" ht="12" customHeight="1" thickBot="1">
      <c r="A49" s="27" t="s">
        <v>48</v>
      </c>
      <c r="B49" s="20" t="s">
        <v>269</v>
      </c>
      <c r="C49" s="170">
        <f>SUM(C50:C54)</f>
        <v>47179000</v>
      </c>
    </row>
    <row r="50" spans="1:3" s="64" customFormat="1" ht="12" customHeight="1">
      <c r="A50" s="269" t="s">
        <v>118</v>
      </c>
      <c r="B50" s="255" t="s">
        <v>273</v>
      </c>
      <c r="C50" s="293"/>
    </row>
    <row r="51" spans="1:3" s="64" customFormat="1" ht="12" customHeight="1">
      <c r="A51" s="270" t="s">
        <v>119</v>
      </c>
      <c r="B51" s="256" t="s">
        <v>274</v>
      </c>
      <c r="C51" s="174">
        <f>25179000</f>
        <v>25179000</v>
      </c>
    </row>
    <row r="52" spans="1:3" s="64" customFormat="1" ht="12" customHeight="1">
      <c r="A52" s="270" t="s">
        <v>270</v>
      </c>
      <c r="B52" s="256" t="s">
        <v>275</v>
      </c>
      <c r="C52" s="174">
        <f>22000000</f>
        <v>22000000</v>
      </c>
    </row>
    <row r="53" spans="1:3" s="64" customFormat="1" ht="12" customHeight="1">
      <c r="A53" s="270" t="s">
        <v>271</v>
      </c>
      <c r="B53" s="256" t="s">
        <v>276</v>
      </c>
      <c r="C53" s="174"/>
    </row>
    <row r="54" spans="1:3" s="64" customFormat="1" ht="12" customHeight="1" thickBot="1">
      <c r="A54" s="271" t="s">
        <v>272</v>
      </c>
      <c r="B54" s="257" t="s">
        <v>277</v>
      </c>
      <c r="C54" s="244"/>
    </row>
    <row r="55" spans="1:3" s="64" customFormat="1" ht="12" customHeight="1" thickBot="1">
      <c r="A55" s="27" t="s">
        <v>181</v>
      </c>
      <c r="B55" s="20" t="s">
        <v>278</v>
      </c>
      <c r="C55" s="170">
        <f>SUM(C56:C58)</f>
        <v>6024000</v>
      </c>
    </row>
    <row r="56" spans="1:3" s="64" customFormat="1" ht="12" customHeight="1">
      <c r="A56" s="269" t="s">
        <v>120</v>
      </c>
      <c r="B56" s="255" t="s">
        <v>279</v>
      </c>
      <c r="C56" s="172"/>
    </row>
    <row r="57" spans="1:3" s="64" customFormat="1" ht="12" customHeight="1">
      <c r="A57" s="270" t="s">
        <v>121</v>
      </c>
      <c r="B57" s="256" t="s">
        <v>410</v>
      </c>
      <c r="C57" s="174">
        <f>383000+1566000</f>
        <v>1949000</v>
      </c>
    </row>
    <row r="58" spans="1:3" s="64" customFormat="1" ht="12" customHeight="1">
      <c r="A58" s="270" t="s">
        <v>282</v>
      </c>
      <c r="B58" s="256" t="s">
        <v>280</v>
      </c>
      <c r="C58" s="174">
        <f>4075000</f>
        <v>4075000</v>
      </c>
    </row>
    <row r="59" spans="1:3" s="64" customFormat="1" ht="12" customHeight="1" thickBot="1">
      <c r="A59" s="271" t="s">
        <v>283</v>
      </c>
      <c r="B59" s="257" t="s">
        <v>281</v>
      </c>
      <c r="C59" s="173"/>
    </row>
    <row r="60" spans="1:3" s="64" customFormat="1" ht="12" customHeight="1" thickBot="1">
      <c r="A60" s="27" t="s">
        <v>50</v>
      </c>
      <c r="B60" s="165" t="s">
        <v>284</v>
      </c>
      <c r="C60" s="170">
        <f>SUM(C61:C63)</f>
        <v>0</v>
      </c>
    </row>
    <row r="61" spans="1:3" s="64" customFormat="1" ht="12" customHeight="1">
      <c r="A61" s="269" t="s">
        <v>182</v>
      </c>
      <c r="B61" s="255" t="s">
        <v>286</v>
      </c>
      <c r="C61" s="174"/>
    </row>
    <row r="62" spans="1:3" s="64" customFormat="1" ht="12" customHeight="1">
      <c r="A62" s="270" t="s">
        <v>183</v>
      </c>
      <c r="B62" s="256" t="s">
        <v>411</v>
      </c>
      <c r="C62" s="174"/>
    </row>
    <row r="63" spans="1:3" s="64" customFormat="1" ht="12" customHeight="1">
      <c r="A63" s="270" t="s">
        <v>209</v>
      </c>
      <c r="B63" s="256" t="s">
        <v>287</v>
      </c>
      <c r="C63" s="174"/>
    </row>
    <row r="64" spans="1:3" s="64" customFormat="1" ht="12" customHeight="1" thickBot="1">
      <c r="A64" s="271" t="s">
        <v>285</v>
      </c>
      <c r="B64" s="257" t="s">
        <v>288</v>
      </c>
      <c r="C64" s="174"/>
    </row>
    <row r="65" spans="1:3" s="64" customFormat="1" ht="12" customHeight="1" thickBot="1">
      <c r="A65" s="27" t="s">
        <v>51</v>
      </c>
      <c r="B65" s="20" t="s">
        <v>289</v>
      </c>
      <c r="C65" s="175">
        <f>+C8+C15+C22+C29+C37+C49+C55+C60</f>
        <v>2391241184</v>
      </c>
    </row>
    <row r="66" spans="1:3" s="64" customFormat="1" ht="12" customHeight="1" thickBot="1">
      <c r="A66" s="272" t="s">
        <v>379</v>
      </c>
      <c r="B66" s="165" t="s">
        <v>291</v>
      </c>
      <c r="C66" s="170">
        <f>SUM(C67:C69)</f>
        <v>182000000</v>
      </c>
    </row>
    <row r="67" spans="1:3" s="64" customFormat="1" ht="12" customHeight="1">
      <c r="A67" s="269" t="s">
        <v>322</v>
      </c>
      <c r="B67" s="255" t="s">
        <v>292</v>
      </c>
      <c r="C67" s="784">
        <f>44100000+37900000</f>
        <v>82000000</v>
      </c>
    </row>
    <row r="68" spans="1:3" s="64" customFormat="1" ht="12" customHeight="1">
      <c r="A68" s="270" t="s">
        <v>331</v>
      </c>
      <c r="B68" s="256" t="s">
        <v>293</v>
      </c>
      <c r="C68" s="174">
        <v>100000000</v>
      </c>
    </row>
    <row r="69" spans="1:3" s="64" customFormat="1" ht="12" customHeight="1" thickBot="1">
      <c r="A69" s="271" t="s">
        <v>332</v>
      </c>
      <c r="B69" s="258" t="s">
        <v>294</v>
      </c>
      <c r="C69" s="174"/>
    </row>
    <row r="70" spans="1:3" s="64" customFormat="1" ht="12" customHeight="1" thickBot="1">
      <c r="A70" s="272" t="s">
        <v>295</v>
      </c>
      <c r="B70" s="165" t="s">
        <v>296</v>
      </c>
      <c r="C70" s="170">
        <f>SUM(C71:C74)</f>
        <v>0</v>
      </c>
    </row>
    <row r="71" spans="1:3" s="64" customFormat="1" ht="12" customHeight="1">
      <c r="A71" s="269" t="s">
        <v>161</v>
      </c>
      <c r="B71" s="255" t="s">
        <v>297</v>
      </c>
      <c r="C71" s="174"/>
    </row>
    <row r="72" spans="1:3" s="64" customFormat="1" ht="12" customHeight="1">
      <c r="A72" s="270" t="s">
        <v>162</v>
      </c>
      <c r="B72" s="256" t="s">
        <v>298</v>
      </c>
      <c r="C72" s="174"/>
    </row>
    <row r="73" spans="1:3" s="64" customFormat="1" ht="12" customHeight="1">
      <c r="A73" s="270" t="s">
        <v>323</v>
      </c>
      <c r="B73" s="256" t="s">
        <v>299</v>
      </c>
      <c r="C73" s="174"/>
    </row>
    <row r="74" spans="1:3" s="64" customFormat="1" ht="12" customHeight="1" thickBot="1">
      <c r="A74" s="271" t="s">
        <v>324</v>
      </c>
      <c r="B74" s="257" t="s">
        <v>300</v>
      </c>
      <c r="C74" s="174"/>
    </row>
    <row r="75" spans="1:3" s="64" customFormat="1" ht="12" customHeight="1" thickBot="1">
      <c r="A75" s="272" t="s">
        <v>301</v>
      </c>
      <c r="B75" s="165" t="s">
        <v>302</v>
      </c>
      <c r="C75" s="170">
        <f>SUM(C76:C77)</f>
        <v>289331423</v>
      </c>
    </row>
    <row r="76" spans="1:3" s="64" customFormat="1" ht="12" customHeight="1">
      <c r="A76" s="269" t="s">
        <v>325</v>
      </c>
      <c r="B76" s="255" t="s">
        <v>303</v>
      </c>
      <c r="C76" s="174">
        <v>289331423</v>
      </c>
    </row>
    <row r="77" spans="1:3" s="64" customFormat="1" ht="12" customHeight="1" thickBot="1">
      <c r="A77" s="271" t="s">
        <v>326</v>
      </c>
      <c r="B77" s="257" t="s">
        <v>304</v>
      </c>
      <c r="C77" s="174"/>
    </row>
    <row r="78" spans="1:3" s="63" customFormat="1" ht="12" customHeight="1" thickBot="1">
      <c r="A78" s="272" t="s">
        <v>305</v>
      </c>
      <c r="B78" s="165" t="s">
        <v>306</v>
      </c>
      <c r="C78" s="170">
        <f>SUM(C79:C81)</f>
        <v>0</v>
      </c>
    </row>
    <row r="79" spans="1:3" s="64" customFormat="1" ht="12" customHeight="1">
      <c r="A79" s="269" t="s">
        <v>327</v>
      </c>
      <c r="B79" s="255" t="s">
        <v>307</v>
      </c>
      <c r="C79" s="174"/>
    </row>
    <row r="80" spans="1:3" s="64" customFormat="1" ht="12" customHeight="1">
      <c r="A80" s="270" t="s">
        <v>328</v>
      </c>
      <c r="B80" s="256" t="s">
        <v>308</v>
      </c>
      <c r="C80" s="174"/>
    </row>
    <row r="81" spans="1:3" s="64" customFormat="1" ht="12" customHeight="1" thickBot="1">
      <c r="A81" s="271" t="s">
        <v>329</v>
      </c>
      <c r="B81" s="257" t="s">
        <v>309</v>
      </c>
      <c r="C81" s="174"/>
    </row>
    <row r="82" spans="1:3" s="64" customFormat="1" ht="12" customHeight="1" thickBot="1">
      <c r="A82" s="272" t="s">
        <v>310</v>
      </c>
      <c r="B82" s="165" t="s">
        <v>330</v>
      </c>
      <c r="C82" s="170">
        <f>SUM(C83:C86)</f>
        <v>0</v>
      </c>
    </row>
    <row r="83" spans="1:3" s="64" customFormat="1" ht="12" customHeight="1">
      <c r="A83" s="273" t="s">
        <v>311</v>
      </c>
      <c r="B83" s="255" t="s">
        <v>312</v>
      </c>
      <c r="C83" s="174"/>
    </row>
    <row r="84" spans="1:3" s="64" customFormat="1" ht="12" customHeight="1">
      <c r="A84" s="274" t="s">
        <v>313</v>
      </c>
      <c r="B84" s="256" t="s">
        <v>314</v>
      </c>
      <c r="C84" s="174"/>
    </row>
    <row r="85" spans="1:3" s="64" customFormat="1" ht="12" customHeight="1">
      <c r="A85" s="274" t="s">
        <v>315</v>
      </c>
      <c r="B85" s="256" t="s">
        <v>316</v>
      </c>
      <c r="C85" s="174"/>
    </row>
    <row r="86" spans="1:3" s="63" customFormat="1" ht="12" customHeight="1" thickBot="1">
      <c r="A86" s="275" t="s">
        <v>317</v>
      </c>
      <c r="B86" s="257" t="s">
        <v>318</v>
      </c>
      <c r="C86" s="174"/>
    </row>
    <row r="87" spans="1:3" s="63" customFormat="1" ht="12" customHeight="1" thickBot="1">
      <c r="A87" s="272" t="s">
        <v>319</v>
      </c>
      <c r="B87" s="165" t="s">
        <v>513</v>
      </c>
      <c r="C87" s="294"/>
    </row>
    <row r="88" spans="1:3" s="63" customFormat="1" ht="12" customHeight="1" thickBot="1">
      <c r="A88" s="272" t="s">
        <v>566</v>
      </c>
      <c r="B88" s="165" t="s">
        <v>320</v>
      </c>
      <c r="C88" s="294"/>
    </row>
    <row r="89" spans="1:3" s="63" customFormat="1" ht="12" customHeight="1" thickBot="1">
      <c r="A89" s="272" t="s">
        <v>567</v>
      </c>
      <c r="B89" s="262" t="s">
        <v>514</v>
      </c>
      <c r="C89" s="175">
        <f>+C66+C70+C75+C78+C82+C88+C87</f>
        <v>471331423</v>
      </c>
    </row>
    <row r="90" spans="1:3" s="63" customFormat="1" ht="12" customHeight="1" thickBot="1">
      <c r="A90" s="276" t="s">
        <v>568</v>
      </c>
      <c r="B90" s="263" t="s">
        <v>569</v>
      </c>
      <c r="C90" s="175">
        <f>+C65+C89</f>
        <v>2862572607</v>
      </c>
    </row>
    <row r="91" spans="1:3" s="64" customFormat="1" ht="15" customHeight="1" thickBot="1">
      <c r="A91" s="140"/>
      <c r="B91" s="141"/>
      <c r="C91" s="232"/>
    </row>
    <row r="92" spans="1:3" s="48" customFormat="1" ht="16.5" customHeight="1" thickBot="1">
      <c r="A92" s="144"/>
      <c r="B92" s="145" t="s">
        <v>81</v>
      </c>
      <c r="C92" s="234"/>
    </row>
    <row r="93" spans="1:3" s="65" customFormat="1" ht="12" customHeight="1" thickBot="1">
      <c r="A93" s="247" t="s">
        <v>43</v>
      </c>
      <c r="B93" s="26" t="s">
        <v>580</v>
      </c>
      <c r="C93" s="169">
        <f>+C94+C95+C96+C97+C98+C111</f>
        <v>1191595812</v>
      </c>
    </row>
    <row r="94" spans="1:3" ht="12" customHeight="1">
      <c r="A94" s="277" t="s">
        <v>122</v>
      </c>
      <c r="B94" s="9" t="s">
        <v>73</v>
      </c>
      <c r="C94" s="841">
        <f>25364000+485000+6010000+3749000+165142000+48000+105000+8381882+232903371-282000+589000+24000+281000+326126+85501355+54000-231000+76000+2550000</f>
        <v>531076734</v>
      </c>
    </row>
    <row r="95" spans="1:3" ht="12" customHeight="1">
      <c r="A95" s="270" t="s">
        <v>123</v>
      </c>
      <c r="B95" s="7" t="s">
        <v>184</v>
      </c>
      <c r="C95" s="784">
        <f>5239000+143000+1233000+14000+1652000+19299000+10000+23000+922005+25618911-63900+117000+10800+31000+35874+9405149+12000-45738+37984+561000</f>
        <v>64255085</v>
      </c>
    </row>
    <row r="96" spans="1:3" ht="12" customHeight="1">
      <c r="A96" s="270" t="s">
        <v>124</v>
      </c>
      <c r="B96" s="7" t="s">
        <v>153</v>
      </c>
      <c r="C96" s="840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</f>
        <v>352076588</v>
      </c>
    </row>
    <row r="97" spans="1:3" ht="12" customHeight="1">
      <c r="A97" s="270" t="s">
        <v>125</v>
      </c>
      <c r="B97" s="10" t="s">
        <v>185</v>
      </c>
      <c r="C97" s="244">
        <f>70980000</f>
        <v>70980000</v>
      </c>
    </row>
    <row r="98" spans="1:3" ht="12" customHeight="1">
      <c r="A98" s="270" t="s">
        <v>136</v>
      </c>
      <c r="B98" s="18" t="s">
        <v>186</v>
      </c>
      <c r="C98" s="244">
        <f>SUM(C99:C110)</f>
        <v>56569298</v>
      </c>
    </row>
    <row r="99" spans="1:3" ht="12" customHeight="1">
      <c r="A99" s="270" t="s">
        <v>126</v>
      </c>
      <c r="B99" s="7" t="s">
        <v>570</v>
      </c>
      <c r="C99" s="244">
        <f>1500+6098534+1143510</f>
        <v>7243544</v>
      </c>
    </row>
    <row r="100" spans="1:3" ht="12" customHeight="1">
      <c r="A100" s="270" t="s">
        <v>127</v>
      </c>
      <c r="B100" s="92" t="s">
        <v>518</v>
      </c>
      <c r="C100" s="244"/>
    </row>
    <row r="101" spans="1:3" ht="12" customHeight="1">
      <c r="A101" s="270" t="s">
        <v>137</v>
      </c>
      <c r="B101" s="92" t="s">
        <v>519</v>
      </c>
      <c r="C101" s="244"/>
    </row>
    <row r="102" spans="1:3" ht="12" customHeight="1">
      <c r="A102" s="270" t="s">
        <v>138</v>
      </c>
      <c r="B102" s="92" t="s">
        <v>336</v>
      </c>
      <c r="C102" s="244"/>
    </row>
    <row r="103" spans="1:3" ht="12" customHeight="1">
      <c r="A103" s="270" t="s">
        <v>139</v>
      </c>
      <c r="B103" s="93" t="s">
        <v>337</v>
      </c>
      <c r="C103" s="244"/>
    </row>
    <row r="104" spans="1:3" ht="12" customHeight="1">
      <c r="A104" s="270" t="s">
        <v>140</v>
      </c>
      <c r="B104" s="93" t="s">
        <v>338</v>
      </c>
      <c r="C104" s="244"/>
    </row>
    <row r="105" spans="1:3" ht="12" customHeight="1">
      <c r="A105" s="270" t="s">
        <v>142</v>
      </c>
      <c r="B105" s="92" t="s">
        <v>339</v>
      </c>
      <c r="C105" s="244">
        <v>60754</v>
      </c>
    </row>
    <row r="106" spans="1:3" ht="12" customHeight="1">
      <c r="A106" s="270" t="s">
        <v>187</v>
      </c>
      <c r="B106" s="92" t="s">
        <v>340</v>
      </c>
      <c r="C106" s="244"/>
    </row>
    <row r="107" spans="1:3" ht="12" customHeight="1">
      <c r="A107" s="270" t="s">
        <v>334</v>
      </c>
      <c r="B107" s="93" t="s">
        <v>341</v>
      </c>
      <c r="C107" s="244"/>
    </row>
    <row r="108" spans="1:3" ht="12" customHeight="1">
      <c r="A108" s="278" t="s">
        <v>335</v>
      </c>
      <c r="B108" s="94" t="s">
        <v>342</v>
      </c>
      <c r="C108" s="244"/>
    </row>
    <row r="109" spans="1:3" ht="12" customHeight="1">
      <c r="A109" s="270" t="s">
        <v>520</v>
      </c>
      <c r="B109" s="94" t="s">
        <v>343</v>
      </c>
      <c r="C109" s="244"/>
    </row>
    <row r="110" spans="1:3" ht="12" customHeight="1">
      <c r="A110" s="270" t="s">
        <v>521</v>
      </c>
      <c r="B110" s="93" t="s">
        <v>344</v>
      </c>
      <c r="C110" s="174">
        <f>536000+11389000+8562000+16678000+3500000+6600000+2000000</f>
        <v>49265000</v>
      </c>
    </row>
    <row r="111" spans="1:3" ht="12" customHeight="1">
      <c r="A111" s="270" t="s">
        <v>522</v>
      </c>
      <c r="B111" s="10" t="s">
        <v>74</v>
      </c>
      <c r="C111" s="174">
        <f>C112+C113</f>
        <v>116638107</v>
      </c>
    </row>
    <row r="112" spans="1:3" ht="12" customHeight="1">
      <c r="A112" s="271" t="s">
        <v>523</v>
      </c>
      <c r="B112" s="7" t="s">
        <v>571</v>
      </c>
      <c r="C112" s="840">
        <f>20000000-9172313+8719388-4010722-1042502</f>
        <v>14493851</v>
      </c>
    </row>
    <row r="113" spans="1:3" ht="12" customHeight="1" thickBot="1">
      <c r="A113" s="279" t="s">
        <v>525</v>
      </c>
      <c r="B113" s="95" t="s">
        <v>572</v>
      </c>
      <c r="C113" s="842">
        <f>110613300+500000-8373330-1600000-8539600-6323156-7948000-7343244+31158286</f>
        <v>102144256</v>
      </c>
    </row>
    <row r="114" spans="1:3" ht="12" customHeight="1" thickBot="1">
      <c r="A114" s="27" t="s">
        <v>44</v>
      </c>
      <c r="B114" s="25" t="s">
        <v>345</v>
      </c>
      <c r="C114" s="170">
        <f>+C115+C117+C119</f>
        <v>280341483</v>
      </c>
    </row>
    <row r="115" spans="1:3" ht="12" customHeight="1">
      <c r="A115" s="269" t="s">
        <v>128</v>
      </c>
      <c r="B115" s="7" t="s">
        <v>208</v>
      </c>
      <c r="C115" s="843">
        <f>6621000+2963001+787402+10624171+3081125+300001+529000+1654000+447000+2237000+90200+6604000+301000+204000+15179276+979170-1000000-300001+2160000+4226991+71809476+15956160</f>
        <v>145453972</v>
      </c>
    </row>
    <row r="116" spans="1:3" ht="12" customHeight="1">
      <c r="A116" s="269" t="s">
        <v>129</v>
      </c>
      <c r="B116" s="11" t="s">
        <v>349</v>
      </c>
      <c r="C116" s="843">
        <f>14492698-1000000+71809476+15956160</f>
        <v>101258334</v>
      </c>
    </row>
    <row r="117" spans="1:3" ht="12" customHeight="1">
      <c r="A117" s="269" t="s">
        <v>130</v>
      </c>
      <c r="B117" s="11" t="s">
        <v>188</v>
      </c>
      <c r="C117" s="784">
        <f>53340000+21000000+1513000+2996000+809000+7509510+1000000+300001</f>
        <v>88467511</v>
      </c>
    </row>
    <row r="118" spans="1:3" ht="12" customHeight="1">
      <c r="A118" s="269" t="s">
        <v>131</v>
      </c>
      <c r="B118" s="11" t="s">
        <v>350</v>
      </c>
      <c r="C118" s="498">
        <f>53340000+1000000</f>
        <v>54340000</v>
      </c>
    </row>
    <row r="119" spans="1:3" ht="12" customHeight="1">
      <c r="A119" s="269" t="s">
        <v>132</v>
      </c>
      <c r="B119" s="167" t="s">
        <v>210</v>
      </c>
      <c r="C119" s="498">
        <f>SUM(C120:C127)</f>
        <v>46420000</v>
      </c>
    </row>
    <row r="120" spans="1:3" ht="12" customHeight="1">
      <c r="A120" s="269" t="s">
        <v>141</v>
      </c>
      <c r="B120" s="166" t="s">
        <v>412</v>
      </c>
      <c r="C120" s="498"/>
    </row>
    <row r="121" spans="1:3" ht="12" customHeight="1">
      <c r="A121" s="269" t="s">
        <v>143</v>
      </c>
      <c r="B121" s="251" t="s">
        <v>355</v>
      </c>
      <c r="C121" s="498"/>
    </row>
    <row r="122" spans="1:3" ht="12" customHeight="1">
      <c r="A122" s="269" t="s">
        <v>189</v>
      </c>
      <c r="B122" s="93" t="s">
        <v>338</v>
      </c>
      <c r="C122" s="498"/>
    </row>
    <row r="123" spans="1:3" ht="12" customHeight="1">
      <c r="A123" s="269" t="s">
        <v>190</v>
      </c>
      <c r="B123" s="93" t="s">
        <v>354</v>
      </c>
      <c r="C123" s="498"/>
    </row>
    <row r="124" spans="1:3" ht="12" customHeight="1">
      <c r="A124" s="269" t="s">
        <v>191</v>
      </c>
      <c r="B124" s="93" t="s">
        <v>353</v>
      </c>
      <c r="C124" s="498"/>
    </row>
    <row r="125" spans="1:3" ht="12" customHeight="1">
      <c r="A125" s="269" t="s">
        <v>346</v>
      </c>
      <c r="B125" s="93" t="s">
        <v>341</v>
      </c>
      <c r="C125" s="498"/>
    </row>
    <row r="126" spans="1:3" ht="12" customHeight="1">
      <c r="A126" s="269" t="s">
        <v>347</v>
      </c>
      <c r="B126" s="93" t="s">
        <v>352</v>
      </c>
      <c r="C126" s="498"/>
    </row>
    <row r="127" spans="1:3" ht="12" customHeight="1" thickBot="1">
      <c r="A127" s="278" t="s">
        <v>348</v>
      </c>
      <c r="B127" s="93" t="s">
        <v>351</v>
      </c>
      <c r="C127" s="508">
        <f>42072000+2400000+1348000+600000</f>
        <v>46420000</v>
      </c>
    </row>
    <row r="128" spans="1:3" ht="12" customHeight="1" thickBot="1">
      <c r="A128" s="27" t="s">
        <v>45</v>
      </c>
      <c r="B128" s="88" t="s">
        <v>527</v>
      </c>
      <c r="C128" s="170">
        <f>+C93+C114</f>
        <v>1471937295</v>
      </c>
    </row>
    <row r="129" spans="1:3" ht="12" customHeight="1" thickBot="1">
      <c r="A129" s="27" t="s">
        <v>46</v>
      </c>
      <c r="B129" s="88" t="s">
        <v>528</v>
      </c>
      <c r="C129" s="170">
        <f>+C130+C131+C132</f>
        <v>103161000</v>
      </c>
    </row>
    <row r="130" spans="1:3" s="65" customFormat="1" ht="12" customHeight="1">
      <c r="A130" s="269" t="s">
        <v>246</v>
      </c>
      <c r="B130" s="8" t="s">
        <v>573</v>
      </c>
      <c r="C130" s="498">
        <v>3161000</v>
      </c>
    </row>
    <row r="131" spans="1:3" ht="12" customHeight="1">
      <c r="A131" s="269" t="s">
        <v>249</v>
      </c>
      <c r="B131" s="8" t="s">
        <v>530</v>
      </c>
      <c r="C131" s="153">
        <v>100000000</v>
      </c>
    </row>
    <row r="132" spans="1:3" ht="12" customHeight="1" thickBot="1">
      <c r="A132" s="278" t="s">
        <v>250</v>
      </c>
      <c r="B132" s="6" t="s">
        <v>574</v>
      </c>
      <c r="C132" s="153"/>
    </row>
    <row r="133" spans="1:3" ht="12" customHeight="1" thickBot="1">
      <c r="A133" s="27" t="s">
        <v>47</v>
      </c>
      <c r="B133" s="88" t="s">
        <v>532</v>
      </c>
      <c r="C133" s="170">
        <f>+C134+C135+C136+C137+C138+C139</f>
        <v>0</v>
      </c>
    </row>
    <row r="134" spans="1:3" ht="12" customHeight="1">
      <c r="A134" s="269" t="s">
        <v>115</v>
      </c>
      <c r="B134" s="8" t="s">
        <v>533</v>
      </c>
      <c r="C134" s="153"/>
    </row>
    <row r="135" spans="1:3" ht="12" customHeight="1">
      <c r="A135" s="269" t="s">
        <v>116</v>
      </c>
      <c r="B135" s="8" t="s">
        <v>534</v>
      </c>
      <c r="C135" s="153"/>
    </row>
    <row r="136" spans="1:3" ht="12" customHeight="1">
      <c r="A136" s="269" t="s">
        <v>117</v>
      </c>
      <c r="B136" s="8" t="s">
        <v>535</v>
      </c>
      <c r="C136" s="153"/>
    </row>
    <row r="137" spans="1:3" ht="12" customHeight="1">
      <c r="A137" s="269" t="s">
        <v>176</v>
      </c>
      <c r="B137" s="8" t="s">
        <v>575</v>
      </c>
      <c r="C137" s="153"/>
    </row>
    <row r="138" spans="1:3" ht="12" customHeight="1">
      <c r="A138" s="269" t="s">
        <v>177</v>
      </c>
      <c r="B138" s="8" t="s">
        <v>537</v>
      </c>
      <c r="C138" s="153"/>
    </row>
    <row r="139" spans="1:3" s="65" customFormat="1" ht="12" customHeight="1" thickBot="1">
      <c r="A139" s="278" t="s">
        <v>178</v>
      </c>
      <c r="B139" s="6" t="s">
        <v>538</v>
      </c>
      <c r="C139" s="153"/>
    </row>
    <row r="140" spans="1:11" ht="12" customHeight="1" thickBot="1">
      <c r="A140" s="27" t="s">
        <v>48</v>
      </c>
      <c r="B140" s="88" t="s">
        <v>576</v>
      </c>
      <c r="C140" s="175">
        <f>+C141+C142+C144+C145+C143</f>
        <v>35164932</v>
      </c>
      <c r="K140" s="152"/>
    </row>
    <row r="141" spans="1:3" ht="12.75">
      <c r="A141" s="269" t="s">
        <v>118</v>
      </c>
      <c r="B141" s="8" t="s">
        <v>356</v>
      </c>
      <c r="C141" s="153"/>
    </row>
    <row r="142" spans="1:3" ht="12" customHeight="1">
      <c r="A142" s="269" t="s">
        <v>119</v>
      </c>
      <c r="B142" s="8" t="s">
        <v>357</v>
      </c>
      <c r="C142" s="153">
        <f>35164932</f>
        <v>35164932</v>
      </c>
    </row>
    <row r="143" spans="1:3" ht="12" customHeight="1">
      <c r="A143" s="269" t="s">
        <v>270</v>
      </c>
      <c r="B143" s="8" t="s">
        <v>577</v>
      </c>
      <c r="C143" s="153"/>
    </row>
    <row r="144" spans="1:3" s="65" customFormat="1" ht="12" customHeight="1">
      <c r="A144" s="269" t="s">
        <v>271</v>
      </c>
      <c r="B144" s="8" t="s">
        <v>540</v>
      </c>
      <c r="C144" s="153"/>
    </row>
    <row r="145" spans="1:3" s="65" customFormat="1" ht="12" customHeight="1" thickBot="1">
      <c r="A145" s="278" t="s">
        <v>272</v>
      </c>
      <c r="B145" s="6" t="s">
        <v>375</v>
      </c>
      <c r="C145" s="153"/>
    </row>
    <row r="146" spans="1:3" s="65" customFormat="1" ht="12" customHeight="1" thickBot="1">
      <c r="A146" s="27" t="s">
        <v>49</v>
      </c>
      <c r="B146" s="88" t="s">
        <v>541</v>
      </c>
      <c r="C146" s="178">
        <f>+C147+C148+C149+C150+C151</f>
        <v>0</v>
      </c>
    </row>
    <row r="147" spans="1:3" s="65" customFormat="1" ht="12" customHeight="1">
      <c r="A147" s="269" t="s">
        <v>120</v>
      </c>
      <c r="B147" s="8" t="s">
        <v>542</v>
      </c>
      <c r="C147" s="153"/>
    </row>
    <row r="148" spans="1:3" s="65" customFormat="1" ht="12" customHeight="1">
      <c r="A148" s="269" t="s">
        <v>121</v>
      </c>
      <c r="B148" s="8" t="s">
        <v>543</v>
      </c>
      <c r="C148" s="153"/>
    </row>
    <row r="149" spans="1:3" s="65" customFormat="1" ht="12" customHeight="1">
      <c r="A149" s="269" t="s">
        <v>282</v>
      </c>
      <c r="B149" s="8" t="s">
        <v>544</v>
      </c>
      <c r="C149" s="153"/>
    </row>
    <row r="150" spans="1:3" s="65" customFormat="1" ht="12" customHeight="1">
      <c r="A150" s="269" t="s">
        <v>283</v>
      </c>
      <c r="B150" s="8" t="s">
        <v>578</v>
      </c>
      <c r="C150" s="153"/>
    </row>
    <row r="151" spans="1:3" ht="12.75" customHeight="1" thickBot="1">
      <c r="A151" s="278" t="s">
        <v>546</v>
      </c>
      <c r="B151" s="6" t="s">
        <v>547</v>
      </c>
      <c r="C151" s="154"/>
    </row>
    <row r="152" spans="1:3" ht="12.75" customHeight="1" thickBot="1">
      <c r="A152" s="489" t="s">
        <v>50</v>
      </c>
      <c r="B152" s="88" t="s">
        <v>548</v>
      </c>
      <c r="C152" s="178"/>
    </row>
    <row r="153" spans="1:3" ht="12.75" customHeight="1" thickBot="1">
      <c r="A153" s="489" t="s">
        <v>51</v>
      </c>
      <c r="B153" s="88" t="s">
        <v>549</v>
      </c>
      <c r="C153" s="178"/>
    </row>
    <row r="154" spans="1:3" ht="12" customHeight="1" thickBot="1">
      <c r="A154" s="27" t="s">
        <v>52</v>
      </c>
      <c r="B154" s="88" t="s">
        <v>550</v>
      </c>
      <c r="C154" s="265">
        <f>+C129+C133+C140+C146+C152+C153</f>
        <v>138325932</v>
      </c>
    </row>
    <row r="155" spans="1:3" ht="15" customHeight="1" thickBot="1">
      <c r="A155" s="280" t="s">
        <v>53</v>
      </c>
      <c r="B155" s="240" t="s">
        <v>551</v>
      </c>
      <c r="C155" s="265">
        <f>+C128+C154</f>
        <v>1610263227</v>
      </c>
    </row>
    <row r="156" ht="13.5" thickBot="1"/>
    <row r="157" spans="1:3" ht="15" customHeight="1" thickBot="1">
      <c r="A157" s="149" t="s">
        <v>579</v>
      </c>
      <c r="B157" s="150"/>
      <c r="C157" s="87">
        <v>3</v>
      </c>
    </row>
    <row r="158" spans="1:3" ht="14.25" customHeight="1" thickBot="1">
      <c r="A158" s="149" t="s">
        <v>202</v>
      </c>
      <c r="B158" s="150"/>
      <c r="C158" s="87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12. melléklet a 20/2017.(VI.29.)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44" sqref="C44"/>
    </sheetView>
  </sheetViews>
  <sheetFormatPr defaultColWidth="9.00390625" defaultRowHeight="12.75"/>
  <cols>
    <col min="1" max="1" width="19.50390625" style="298" customWidth="1"/>
    <col min="2" max="2" width="72.00390625" style="299" customWidth="1"/>
    <col min="3" max="3" width="25.00390625" style="300" customWidth="1"/>
    <col min="4" max="5" width="9.375" style="2" customWidth="1"/>
    <col min="6" max="6" width="17.375" style="2" bestFit="1" customWidth="1"/>
    <col min="7" max="16384" width="9.375" style="2" customWidth="1"/>
  </cols>
  <sheetData>
    <row r="1" spans="1:3" s="1" customFormat="1" ht="16.5" customHeight="1" thickBot="1">
      <c r="A1" s="126"/>
      <c r="B1" s="128"/>
      <c r="C1" s="151"/>
    </row>
    <row r="2" spans="1:3" s="61" customFormat="1" ht="21" customHeight="1">
      <c r="A2" s="245" t="s">
        <v>86</v>
      </c>
      <c r="B2" s="223" t="s">
        <v>205</v>
      </c>
      <c r="C2" s="225" t="s">
        <v>77</v>
      </c>
    </row>
    <row r="3" spans="1:3" s="61" customFormat="1" ht="16.5" thickBot="1">
      <c r="A3" s="129" t="s">
        <v>199</v>
      </c>
      <c r="B3" s="224" t="s">
        <v>413</v>
      </c>
      <c r="C3" s="488" t="s">
        <v>84</v>
      </c>
    </row>
    <row r="4" spans="1:3" s="62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226" t="s">
        <v>79</v>
      </c>
    </row>
    <row r="6" spans="1:3" s="48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48" customFormat="1" ht="15.75" customHeight="1" thickBot="1">
      <c r="A7" s="134"/>
      <c r="B7" s="135" t="s">
        <v>80</v>
      </c>
      <c r="C7" s="227"/>
    </row>
    <row r="8" spans="1:3" s="48" customFormat="1" ht="12" customHeight="1" thickBot="1">
      <c r="A8" s="27" t="s">
        <v>43</v>
      </c>
      <c r="B8" s="20" t="s">
        <v>230</v>
      </c>
      <c r="C8" s="170">
        <f>+C9+C10+C11+C12+C13+C14</f>
        <v>1095518126</v>
      </c>
    </row>
    <row r="9" spans="1:3" s="63" customFormat="1" ht="12" customHeight="1">
      <c r="A9" s="269" t="s">
        <v>122</v>
      </c>
      <c r="B9" s="255" t="s">
        <v>231</v>
      </c>
      <c r="C9" s="293">
        <f>227512539+905743</f>
        <v>228418282</v>
      </c>
    </row>
    <row r="10" spans="1:3" s="64" customFormat="1" ht="12" customHeight="1">
      <c r="A10" s="270" t="s">
        <v>123</v>
      </c>
      <c r="B10" s="256" t="s">
        <v>232</v>
      </c>
      <c r="C10" s="174">
        <f>218107294+10461768</f>
        <v>228569062</v>
      </c>
    </row>
    <row r="11" spans="1:3" s="64" customFormat="1" ht="12" customHeight="1">
      <c r="A11" s="270" t="s">
        <v>124</v>
      </c>
      <c r="B11" s="256" t="s">
        <v>233</v>
      </c>
      <c r="C11" s="174">
        <f>121200000+67844165+177597260+4526280+11511000+24250000-35761000</f>
        <v>371167705</v>
      </c>
    </row>
    <row r="12" spans="1:3" s="64" customFormat="1" ht="12" customHeight="1">
      <c r="A12" s="270" t="s">
        <v>125</v>
      </c>
      <c r="B12" s="256" t="s">
        <v>234</v>
      </c>
      <c r="C12" s="784">
        <f>4412740+15262320+10629000-4412740+4412740</f>
        <v>30304060</v>
      </c>
    </row>
    <row r="13" spans="1:3" s="64" customFormat="1" ht="12" customHeight="1">
      <c r="A13" s="270" t="s">
        <v>160</v>
      </c>
      <c r="B13" s="256" t="s">
        <v>564</v>
      </c>
      <c r="C13" s="784">
        <f>1060845+3551000+168707597+58000+128000+13957152+413944+49094027+4501192-4412740</f>
        <v>237059017</v>
      </c>
    </row>
    <row r="14" spans="1:3" s="63" customFormat="1" ht="12" customHeight="1" thickBot="1">
      <c r="A14" s="271" t="s">
        <v>126</v>
      </c>
      <c r="B14" s="257" t="s">
        <v>504</v>
      </c>
      <c r="C14" s="171"/>
    </row>
    <row r="15" spans="1:3" s="63" customFormat="1" ht="12" customHeight="1" thickBot="1">
      <c r="A15" s="27" t="s">
        <v>44</v>
      </c>
      <c r="B15" s="165" t="s">
        <v>235</v>
      </c>
      <c r="C15" s="170">
        <f>+C16+C17+C18+C19+C20</f>
        <v>493451092</v>
      </c>
    </row>
    <row r="16" spans="1:3" s="63" customFormat="1" ht="12" customHeight="1">
      <c r="A16" s="269" t="s">
        <v>128</v>
      </c>
      <c r="B16" s="255" t="s">
        <v>236</v>
      </c>
      <c r="C16" s="172"/>
    </row>
    <row r="17" spans="1:3" s="63" customFormat="1" ht="12" customHeight="1">
      <c r="A17" s="270" t="s">
        <v>129</v>
      </c>
      <c r="B17" s="256" t="s">
        <v>237</v>
      </c>
      <c r="C17" s="171"/>
    </row>
    <row r="18" spans="1:3" s="63" customFormat="1" ht="12" customHeight="1">
      <c r="A18" s="270" t="s">
        <v>130</v>
      </c>
      <c r="B18" s="256" t="s">
        <v>406</v>
      </c>
      <c r="C18" s="171"/>
    </row>
    <row r="19" spans="1:3" s="63" customFormat="1" ht="12" customHeight="1">
      <c r="A19" s="270" t="s">
        <v>131</v>
      </c>
      <c r="B19" s="256" t="s">
        <v>407</v>
      </c>
      <c r="C19" s="171"/>
    </row>
    <row r="20" spans="1:3" s="63" customFormat="1" ht="12" customHeight="1">
      <c r="A20" s="270" t="s">
        <v>132</v>
      </c>
      <c r="B20" s="256" t="s">
        <v>238</v>
      </c>
      <c r="C20" s="784">
        <f>210000+65342000+25310845+9303887+291175856+362000+94906504+6840000</f>
        <v>493451092</v>
      </c>
    </row>
    <row r="21" spans="1:3" s="64" customFormat="1" ht="12" customHeight="1" thickBot="1">
      <c r="A21" s="271" t="s">
        <v>141</v>
      </c>
      <c r="B21" s="257" t="s">
        <v>239</v>
      </c>
      <c r="C21" s="495"/>
    </row>
    <row r="22" spans="1:3" s="64" customFormat="1" ht="12" customHeight="1" thickBot="1">
      <c r="A22" s="27" t="s">
        <v>45</v>
      </c>
      <c r="B22" s="20" t="s">
        <v>240</v>
      </c>
      <c r="C22" s="170">
        <f>+C23+C24+C25+C26+C27</f>
        <v>112681605</v>
      </c>
    </row>
    <row r="23" spans="1:3" s="64" customFormat="1" ht="12" customHeight="1">
      <c r="A23" s="269" t="s">
        <v>111</v>
      </c>
      <c r="B23" s="255" t="s">
        <v>241</v>
      </c>
      <c r="C23" s="496"/>
    </row>
    <row r="24" spans="1:3" s="63" customFormat="1" ht="12" customHeight="1">
      <c r="A24" s="270" t="s">
        <v>112</v>
      </c>
      <c r="B24" s="256" t="s">
        <v>242</v>
      </c>
      <c r="C24" s="174"/>
    </row>
    <row r="25" spans="1:3" s="64" customFormat="1" ht="12" customHeight="1">
      <c r="A25" s="270" t="s">
        <v>113</v>
      </c>
      <c r="B25" s="256" t="s">
        <v>408</v>
      </c>
      <c r="C25" s="174"/>
    </row>
    <row r="26" spans="1:3" s="64" customFormat="1" ht="12" customHeight="1">
      <c r="A26" s="270" t="s">
        <v>114</v>
      </c>
      <c r="B26" s="256" t="s">
        <v>409</v>
      </c>
      <c r="C26" s="174"/>
    </row>
    <row r="27" spans="1:3" s="64" customFormat="1" ht="12" customHeight="1">
      <c r="A27" s="270" t="s">
        <v>172</v>
      </c>
      <c r="B27" s="256" t="s">
        <v>243</v>
      </c>
      <c r="C27" s="784">
        <f>3797300+15179276+2160000+75588869+15956160</f>
        <v>112681605</v>
      </c>
    </row>
    <row r="28" spans="1:3" s="64" customFormat="1" ht="12" customHeight="1" thickBot="1">
      <c r="A28" s="271" t="s">
        <v>173</v>
      </c>
      <c r="B28" s="257" t="s">
        <v>244</v>
      </c>
      <c r="C28" s="840">
        <f>3797300+75588869+15956160</f>
        <v>95342329</v>
      </c>
    </row>
    <row r="29" spans="1:3" s="64" customFormat="1" ht="12" customHeight="1" thickBot="1">
      <c r="A29" s="27" t="s">
        <v>174</v>
      </c>
      <c r="B29" s="20" t="s">
        <v>245</v>
      </c>
      <c r="C29" s="175">
        <f>+C30+C34+C35+C36</f>
        <v>319390000</v>
      </c>
    </row>
    <row r="30" spans="1:3" s="64" customFormat="1" ht="12" customHeight="1">
      <c r="A30" s="269" t="s">
        <v>246</v>
      </c>
      <c r="B30" s="255" t="s">
        <v>565</v>
      </c>
      <c r="C30" s="250">
        <f>SUM(C31:C33)</f>
        <v>282830000</v>
      </c>
    </row>
    <row r="31" spans="1:3" s="64" customFormat="1" ht="12" customHeight="1">
      <c r="A31" s="270" t="s">
        <v>247</v>
      </c>
      <c r="B31" s="256" t="s">
        <v>252</v>
      </c>
      <c r="C31" s="171">
        <f>8990000+70000000</f>
        <v>78990000</v>
      </c>
    </row>
    <row r="32" spans="1:3" s="64" customFormat="1" ht="12" customHeight="1">
      <c r="A32" s="270" t="s">
        <v>248</v>
      </c>
      <c r="B32" s="256" t="s">
        <v>608</v>
      </c>
      <c r="C32" s="171">
        <v>203840000</v>
      </c>
    </row>
    <row r="33" spans="1:3" s="64" customFormat="1" ht="12" customHeight="1">
      <c r="A33" s="270" t="s">
        <v>506</v>
      </c>
      <c r="B33" s="256" t="s">
        <v>605</v>
      </c>
      <c r="C33" s="174"/>
    </row>
    <row r="34" spans="1:3" s="64" customFormat="1" ht="12" customHeight="1">
      <c r="A34" s="270" t="s">
        <v>249</v>
      </c>
      <c r="B34" s="256" t="s">
        <v>254</v>
      </c>
      <c r="C34" s="171">
        <f>27000000</f>
        <v>27000000</v>
      </c>
    </row>
    <row r="35" spans="1:3" s="64" customFormat="1" ht="12" customHeight="1">
      <c r="A35" s="270" t="s">
        <v>250</v>
      </c>
      <c r="B35" s="256" t="s">
        <v>255</v>
      </c>
      <c r="C35" s="171">
        <f>4060000-4000000</f>
        <v>60000</v>
      </c>
    </row>
    <row r="36" spans="1:3" s="64" customFormat="1" ht="12" customHeight="1" thickBot="1">
      <c r="A36" s="271" t="s">
        <v>251</v>
      </c>
      <c r="B36" s="257" t="s">
        <v>256</v>
      </c>
      <c r="C36" s="244">
        <f>5500000+4000000</f>
        <v>9500000</v>
      </c>
    </row>
    <row r="37" spans="1:3" s="64" customFormat="1" ht="12" customHeight="1" thickBot="1">
      <c r="A37" s="27" t="s">
        <v>47</v>
      </c>
      <c r="B37" s="20" t="s">
        <v>508</v>
      </c>
      <c r="C37" s="170">
        <f>SUM(C38:C48)</f>
        <v>45436292</v>
      </c>
    </row>
    <row r="38" spans="1:3" s="64" customFormat="1" ht="12" customHeight="1">
      <c r="A38" s="269" t="s">
        <v>115</v>
      </c>
      <c r="B38" s="255" t="s">
        <v>259</v>
      </c>
      <c r="C38" s="293">
        <f>4000000+5000000</f>
        <v>9000000</v>
      </c>
    </row>
    <row r="39" spans="1:3" s="64" customFormat="1" ht="12" customHeight="1">
      <c r="A39" s="270" t="s">
        <v>116</v>
      </c>
      <c r="B39" s="256" t="s">
        <v>260</v>
      </c>
      <c r="C39" s="174">
        <f>100000+12004000</f>
        <v>12104000</v>
      </c>
    </row>
    <row r="40" spans="1:3" s="64" customFormat="1" ht="12" customHeight="1">
      <c r="A40" s="270" t="s">
        <v>117</v>
      </c>
      <c r="B40" s="256" t="s">
        <v>261</v>
      </c>
      <c r="C40" s="784">
        <f>8458000+947000+918292-195228</f>
        <v>10128064</v>
      </c>
    </row>
    <row r="41" spans="1:3" s="64" customFormat="1" ht="12" customHeight="1">
      <c r="A41" s="270" t="s">
        <v>176</v>
      </c>
      <c r="B41" s="256" t="s">
        <v>262</v>
      </c>
      <c r="C41" s="174">
        <f>430000</f>
        <v>430000</v>
      </c>
    </row>
    <row r="42" spans="1:3" s="64" customFormat="1" ht="12" customHeight="1">
      <c r="A42" s="270" t="s">
        <v>177</v>
      </c>
      <c r="B42" s="256" t="s">
        <v>263</v>
      </c>
      <c r="C42" s="174"/>
    </row>
    <row r="43" spans="1:3" s="64" customFormat="1" ht="12" customHeight="1">
      <c r="A43" s="270" t="s">
        <v>178</v>
      </c>
      <c r="B43" s="256" t="s">
        <v>264</v>
      </c>
      <c r="C43" s="784">
        <f>3242000+5853000+378000+600000+1350000+270000+682000+195228</f>
        <v>12570228</v>
      </c>
    </row>
    <row r="44" spans="1:3" s="64" customFormat="1" ht="12" customHeight="1">
      <c r="A44" s="270" t="s">
        <v>179</v>
      </c>
      <c r="B44" s="256" t="s">
        <v>265</v>
      </c>
      <c r="C44" s="174"/>
    </row>
    <row r="45" spans="1:3" s="64" customFormat="1" ht="12" customHeight="1">
      <c r="A45" s="270" t="s">
        <v>180</v>
      </c>
      <c r="B45" s="256" t="s">
        <v>266</v>
      </c>
      <c r="C45" s="174"/>
    </row>
    <row r="46" spans="1:3" s="64" customFormat="1" ht="12" customHeight="1">
      <c r="A46" s="270" t="s">
        <v>257</v>
      </c>
      <c r="B46" s="256" t="s">
        <v>267</v>
      </c>
      <c r="C46" s="174"/>
    </row>
    <row r="47" spans="1:3" s="64" customFormat="1" ht="12" customHeight="1">
      <c r="A47" s="271" t="s">
        <v>258</v>
      </c>
      <c r="B47" s="257" t="s">
        <v>509</v>
      </c>
      <c r="C47" s="244">
        <f>500000</f>
        <v>500000</v>
      </c>
    </row>
    <row r="48" spans="1:3" s="64" customFormat="1" ht="12" customHeight="1" thickBot="1">
      <c r="A48" s="271" t="s">
        <v>510</v>
      </c>
      <c r="B48" s="257" t="s">
        <v>268</v>
      </c>
      <c r="C48" s="244">
        <v>704000</v>
      </c>
    </row>
    <row r="49" spans="1:3" s="64" customFormat="1" ht="12" customHeight="1" thickBot="1">
      <c r="A49" s="27" t="s">
        <v>48</v>
      </c>
      <c r="B49" s="20" t="s">
        <v>269</v>
      </c>
      <c r="C49" s="170">
        <f>SUM(C50:C54)</f>
        <v>47179000</v>
      </c>
    </row>
    <row r="50" spans="1:3" s="64" customFormat="1" ht="12" customHeight="1">
      <c r="A50" s="269" t="s">
        <v>118</v>
      </c>
      <c r="B50" s="255" t="s">
        <v>273</v>
      </c>
      <c r="C50" s="293"/>
    </row>
    <row r="51" spans="1:3" s="64" customFormat="1" ht="12" customHeight="1">
      <c r="A51" s="270" t="s">
        <v>119</v>
      </c>
      <c r="B51" s="256" t="s">
        <v>274</v>
      </c>
      <c r="C51" s="174">
        <f>25179000+22000000</f>
        <v>47179000</v>
      </c>
    </row>
    <row r="52" spans="1:3" s="64" customFormat="1" ht="12" customHeight="1">
      <c r="A52" s="270" t="s">
        <v>270</v>
      </c>
      <c r="B52" s="256" t="s">
        <v>275</v>
      </c>
      <c r="C52" s="174"/>
    </row>
    <row r="53" spans="1:3" s="64" customFormat="1" ht="12" customHeight="1">
      <c r="A53" s="270" t="s">
        <v>271</v>
      </c>
      <c r="B53" s="256" t="s">
        <v>276</v>
      </c>
      <c r="C53" s="174"/>
    </row>
    <row r="54" spans="1:3" s="64" customFormat="1" ht="12" customHeight="1" thickBot="1">
      <c r="A54" s="271" t="s">
        <v>272</v>
      </c>
      <c r="B54" s="257" t="s">
        <v>277</v>
      </c>
      <c r="C54" s="244"/>
    </row>
    <row r="55" spans="1:3" s="64" customFormat="1" ht="12" customHeight="1" thickBot="1">
      <c r="A55" s="27" t="s">
        <v>181</v>
      </c>
      <c r="B55" s="20" t="s">
        <v>278</v>
      </c>
      <c r="C55" s="170">
        <f>SUM(C56:C58)</f>
        <v>4458000</v>
      </c>
    </row>
    <row r="56" spans="1:3" s="64" customFormat="1" ht="12" customHeight="1">
      <c r="A56" s="269" t="s">
        <v>120</v>
      </c>
      <c r="B56" s="255" t="s">
        <v>279</v>
      </c>
      <c r="C56" s="172"/>
    </row>
    <row r="57" spans="1:3" s="64" customFormat="1" ht="12" customHeight="1">
      <c r="A57" s="270" t="s">
        <v>121</v>
      </c>
      <c r="B57" s="256" t="s">
        <v>410</v>
      </c>
      <c r="C57" s="174">
        <v>383000</v>
      </c>
    </row>
    <row r="58" spans="1:3" s="64" customFormat="1" ht="12" customHeight="1">
      <c r="A58" s="270" t="s">
        <v>282</v>
      </c>
      <c r="B58" s="256" t="s">
        <v>280</v>
      </c>
      <c r="C58" s="174">
        <v>4075000</v>
      </c>
    </row>
    <row r="59" spans="1:3" s="64" customFormat="1" ht="12" customHeight="1" thickBot="1">
      <c r="A59" s="271" t="s">
        <v>283</v>
      </c>
      <c r="B59" s="257" t="s">
        <v>281</v>
      </c>
      <c r="C59" s="173"/>
    </row>
    <row r="60" spans="1:3" s="64" customFormat="1" ht="12" customHeight="1" thickBot="1">
      <c r="A60" s="27" t="s">
        <v>50</v>
      </c>
      <c r="B60" s="165" t="s">
        <v>284</v>
      </c>
      <c r="C60" s="170">
        <f>SUM(C61:C63)</f>
        <v>0</v>
      </c>
    </row>
    <row r="61" spans="1:3" s="64" customFormat="1" ht="12" customHeight="1">
      <c r="A61" s="269" t="s">
        <v>182</v>
      </c>
      <c r="B61" s="255" t="s">
        <v>286</v>
      </c>
      <c r="C61" s="174"/>
    </row>
    <row r="62" spans="1:3" s="64" customFormat="1" ht="12" customHeight="1">
      <c r="A62" s="270" t="s">
        <v>183</v>
      </c>
      <c r="B62" s="256" t="s">
        <v>411</v>
      </c>
      <c r="C62" s="174"/>
    </row>
    <row r="63" spans="1:3" s="64" customFormat="1" ht="12" customHeight="1">
      <c r="A63" s="270" t="s">
        <v>209</v>
      </c>
      <c r="B63" s="256" t="s">
        <v>287</v>
      </c>
      <c r="C63" s="174"/>
    </row>
    <row r="64" spans="1:3" s="64" customFormat="1" ht="12" customHeight="1" thickBot="1">
      <c r="A64" s="271" t="s">
        <v>285</v>
      </c>
      <c r="B64" s="257" t="s">
        <v>288</v>
      </c>
      <c r="C64" s="174"/>
    </row>
    <row r="65" spans="1:3" s="64" customFormat="1" ht="12" customHeight="1" thickBot="1">
      <c r="A65" s="27" t="s">
        <v>51</v>
      </c>
      <c r="B65" s="20" t="s">
        <v>289</v>
      </c>
      <c r="C65" s="175">
        <f>+C8+C15+C22+C29+C37+C49+C55+C60</f>
        <v>2118114115</v>
      </c>
    </row>
    <row r="66" spans="1:3" s="64" customFormat="1" ht="12" customHeight="1" thickBot="1">
      <c r="A66" s="272" t="s">
        <v>379</v>
      </c>
      <c r="B66" s="165" t="s">
        <v>291</v>
      </c>
      <c r="C66" s="170">
        <f>SUM(C67:C69)</f>
        <v>0</v>
      </c>
    </row>
    <row r="67" spans="1:3" s="64" customFormat="1" ht="12" customHeight="1">
      <c r="A67" s="269" t="s">
        <v>322</v>
      </c>
      <c r="B67" s="255" t="s">
        <v>292</v>
      </c>
      <c r="C67" s="174"/>
    </row>
    <row r="68" spans="1:3" s="64" customFormat="1" ht="12" customHeight="1">
      <c r="A68" s="270" t="s">
        <v>331</v>
      </c>
      <c r="B68" s="256" t="s">
        <v>293</v>
      </c>
      <c r="C68" s="174"/>
    </row>
    <row r="69" spans="1:3" s="64" customFormat="1" ht="12" customHeight="1" thickBot="1">
      <c r="A69" s="271" t="s">
        <v>332</v>
      </c>
      <c r="B69" s="258" t="s">
        <v>294</v>
      </c>
      <c r="C69" s="174"/>
    </row>
    <row r="70" spans="1:3" s="64" customFormat="1" ht="12" customHeight="1" thickBot="1">
      <c r="A70" s="272" t="s">
        <v>295</v>
      </c>
      <c r="B70" s="165" t="s">
        <v>296</v>
      </c>
      <c r="C70" s="170">
        <f>SUM(C71:C74)</f>
        <v>0</v>
      </c>
    </row>
    <row r="71" spans="1:3" s="64" customFormat="1" ht="12" customHeight="1">
      <c r="A71" s="269" t="s">
        <v>161</v>
      </c>
      <c r="B71" s="255" t="s">
        <v>297</v>
      </c>
      <c r="C71" s="174"/>
    </row>
    <row r="72" spans="1:3" s="64" customFormat="1" ht="12" customHeight="1">
      <c r="A72" s="270" t="s">
        <v>162</v>
      </c>
      <c r="B72" s="256" t="s">
        <v>298</v>
      </c>
      <c r="C72" s="174"/>
    </row>
    <row r="73" spans="1:3" s="64" customFormat="1" ht="12" customHeight="1">
      <c r="A73" s="270" t="s">
        <v>323</v>
      </c>
      <c r="B73" s="256" t="s">
        <v>299</v>
      </c>
      <c r="C73" s="174"/>
    </row>
    <row r="74" spans="1:3" s="64" customFormat="1" ht="12" customHeight="1" thickBot="1">
      <c r="A74" s="271" t="s">
        <v>324</v>
      </c>
      <c r="B74" s="257" t="s">
        <v>300</v>
      </c>
      <c r="C74" s="174"/>
    </row>
    <row r="75" spans="1:3" s="64" customFormat="1" ht="12" customHeight="1" thickBot="1">
      <c r="A75" s="272" t="s">
        <v>301</v>
      </c>
      <c r="B75" s="165" t="s">
        <v>302</v>
      </c>
      <c r="C75" s="170">
        <f>SUM(C76:C77)</f>
        <v>289331423</v>
      </c>
    </row>
    <row r="76" spans="1:3" s="64" customFormat="1" ht="12" customHeight="1">
      <c r="A76" s="269" t="s">
        <v>325</v>
      </c>
      <c r="B76" s="255" t="s">
        <v>303</v>
      </c>
      <c r="C76" s="174">
        <v>289331423</v>
      </c>
    </row>
    <row r="77" spans="1:3" s="64" customFormat="1" ht="12" customHeight="1" thickBot="1">
      <c r="A77" s="271" t="s">
        <v>326</v>
      </c>
      <c r="B77" s="257" t="s">
        <v>304</v>
      </c>
      <c r="C77" s="174"/>
    </row>
    <row r="78" spans="1:3" s="63" customFormat="1" ht="12" customHeight="1" thickBot="1">
      <c r="A78" s="272" t="s">
        <v>305</v>
      </c>
      <c r="B78" s="165" t="s">
        <v>306</v>
      </c>
      <c r="C78" s="170">
        <f>SUM(C79:C81)</f>
        <v>0</v>
      </c>
    </row>
    <row r="79" spans="1:3" s="64" customFormat="1" ht="12" customHeight="1">
      <c r="A79" s="269" t="s">
        <v>327</v>
      </c>
      <c r="B79" s="255" t="s">
        <v>307</v>
      </c>
      <c r="C79" s="174"/>
    </row>
    <row r="80" spans="1:3" s="64" customFormat="1" ht="12" customHeight="1">
      <c r="A80" s="270" t="s">
        <v>328</v>
      </c>
      <c r="B80" s="256" t="s">
        <v>308</v>
      </c>
      <c r="C80" s="174"/>
    </row>
    <row r="81" spans="1:3" s="64" customFormat="1" ht="12" customHeight="1" thickBot="1">
      <c r="A81" s="271" t="s">
        <v>329</v>
      </c>
      <c r="B81" s="257" t="s">
        <v>309</v>
      </c>
      <c r="C81" s="174"/>
    </row>
    <row r="82" spans="1:3" s="64" customFormat="1" ht="12" customHeight="1" thickBot="1">
      <c r="A82" s="272" t="s">
        <v>310</v>
      </c>
      <c r="B82" s="165" t="s">
        <v>330</v>
      </c>
      <c r="C82" s="170">
        <f>SUM(C83:C86)</f>
        <v>0</v>
      </c>
    </row>
    <row r="83" spans="1:3" s="64" customFormat="1" ht="12" customHeight="1">
      <c r="A83" s="273" t="s">
        <v>311</v>
      </c>
      <c r="B83" s="255" t="s">
        <v>312</v>
      </c>
      <c r="C83" s="174"/>
    </row>
    <row r="84" spans="1:3" s="64" customFormat="1" ht="12" customHeight="1">
      <c r="A84" s="274" t="s">
        <v>313</v>
      </c>
      <c r="B84" s="256" t="s">
        <v>314</v>
      </c>
      <c r="C84" s="174"/>
    </row>
    <row r="85" spans="1:3" s="64" customFormat="1" ht="12" customHeight="1">
      <c r="A85" s="274" t="s">
        <v>315</v>
      </c>
      <c r="B85" s="256" t="s">
        <v>316</v>
      </c>
      <c r="C85" s="174"/>
    </row>
    <row r="86" spans="1:3" s="63" customFormat="1" ht="12" customHeight="1" thickBot="1">
      <c r="A86" s="275" t="s">
        <v>317</v>
      </c>
      <c r="B86" s="257" t="s">
        <v>318</v>
      </c>
      <c r="C86" s="174"/>
    </row>
    <row r="87" spans="1:3" s="63" customFormat="1" ht="12" customHeight="1" thickBot="1">
      <c r="A87" s="272" t="s">
        <v>319</v>
      </c>
      <c r="B87" s="165" t="s">
        <v>513</v>
      </c>
      <c r="C87" s="294"/>
    </row>
    <row r="88" spans="1:3" s="63" customFormat="1" ht="12" customHeight="1" thickBot="1">
      <c r="A88" s="272" t="s">
        <v>566</v>
      </c>
      <c r="B88" s="165" t="s">
        <v>320</v>
      </c>
      <c r="C88" s="294"/>
    </row>
    <row r="89" spans="1:3" s="63" customFormat="1" ht="12" customHeight="1" thickBot="1">
      <c r="A89" s="272" t="s">
        <v>567</v>
      </c>
      <c r="B89" s="262" t="s">
        <v>514</v>
      </c>
      <c r="C89" s="175">
        <f>+C66+C70+C75+C78+C82+C88+C87</f>
        <v>289331423</v>
      </c>
    </row>
    <row r="90" spans="1:6" s="63" customFormat="1" ht="12" customHeight="1" thickBot="1">
      <c r="A90" s="276" t="s">
        <v>568</v>
      </c>
      <c r="B90" s="263" t="s">
        <v>569</v>
      </c>
      <c r="C90" s="175">
        <f>+C65+C89</f>
        <v>2407445538</v>
      </c>
      <c r="F90" s="50"/>
    </row>
    <row r="91" spans="1:3" s="64" customFormat="1" ht="15" customHeight="1" thickBot="1">
      <c r="A91" s="140"/>
      <c r="B91" s="141"/>
      <c r="C91" s="232"/>
    </row>
    <row r="92" spans="1:3" s="48" customFormat="1" ht="16.5" customHeight="1" thickBot="1">
      <c r="A92" s="144"/>
      <c r="B92" s="145" t="s">
        <v>81</v>
      </c>
      <c r="C92" s="234"/>
    </row>
    <row r="93" spans="1:3" s="65" customFormat="1" ht="12" customHeight="1" thickBot="1">
      <c r="A93" s="247" t="s">
        <v>43</v>
      </c>
      <c r="B93" s="26" t="s">
        <v>580</v>
      </c>
      <c r="C93" s="169">
        <f>+C94+C95+C96+C97+C98+C111</f>
        <v>1114588227</v>
      </c>
    </row>
    <row r="94" spans="1:3" ht="12" customHeight="1">
      <c r="A94" s="277" t="s">
        <v>122</v>
      </c>
      <c r="B94" s="9" t="s">
        <v>73</v>
      </c>
      <c r="C94" s="517">
        <f>25364000+1932000+165142000+48000+105000+8381882+232903371+281000+326126+85501355+54000-231000</f>
        <v>519807734</v>
      </c>
    </row>
    <row r="95" spans="1:3" ht="12" customHeight="1">
      <c r="A95" s="270" t="s">
        <v>123</v>
      </c>
      <c r="B95" s="7" t="s">
        <v>184</v>
      </c>
      <c r="C95" s="784">
        <f>5239000+425000+14000+19299000+10000+23000+922005+25618911+31000+35874+9405149+12000-45738</f>
        <v>60989201</v>
      </c>
    </row>
    <row r="96" spans="1:3" ht="12" customHeight="1">
      <c r="A96" s="270" t="s">
        <v>124</v>
      </c>
      <c r="B96" s="7" t="s">
        <v>153</v>
      </c>
      <c r="C96" s="840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</f>
        <v>295603887</v>
      </c>
    </row>
    <row r="97" spans="1:3" ht="12" customHeight="1">
      <c r="A97" s="270" t="s">
        <v>125</v>
      </c>
      <c r="B97" s="10" t="s">
        <v>185</v>
      </c>
      <c r="C97" s="244">
        <f>70980000</f>
        <v>70980000</v>
      </c>
    </row>
    <row r="98" spans="1:3" ht="12" customHeight="1">
      <c r="A98" s="270" t="s">
        <v>136</v>
      </c>
      <c r="B98" s="18" t="s">
        <v>186</v>
      </c>
      <c r="C98" s="244">
        <f>SUM(C99:C110)</f>
        <v>50569298</v>
      </c>
    </row>
    <row r="99" spans="1:3" ht="12" customHeight="1">
      <c r="A99" s="270" t="s">
        <v>126</v>
      </c>
      <c r="B99" s="7" t="s">
        <v>570</v>
      </c>
      <c r="C99" s="244">
        <f>1500+6098534+1143510</f>
        <v>7243544</v>
      </c>
    </row>
    <row r="100" spans="1:3" ht="12" customHeight="1">
      <c r="A100" s="270" t="s">
        <v>127</v>
      </c>
      <c r="B100" s="92" t="s">
        <v>518</v>
      </c>
      <c r="C100" s="244"/>
    </row>
    <row r="101" spans="1:3" ht="12" customHeight="1">
      <c r="A101" s="270" t="s">
        <v>137</v>
      </c>
      <c r="B101" s="92" t="s">
        <v>519</v>
      </c>
      <c r="C101" s="244"/>
    </row>
    <row r="102" spans="1:3" ht="12" customHeight="1">
      <c r="A102" s="270" t="s">
        <v>138</v>
      </c>
      <c r="B102" s="92" t="s">
        <v>336</v>
      </c>
      <c r="C102" s="244"/>
    </row>
    <row r="103" spans="1:3" ht="12" customHeight="1">
      <c r="A103" s="270" t="s">
        <v>139</v>
      </c>
      <c r="B103" s="93" t="s">
        <v>337</v>
      </c>
      <c r="C103" s="244"/>
    </row>
    <row r="104" spans="1:3" ht="12" customHeight="1">
      <c r="A104" s="270" t="s">
        <v>140</v>
      </c>
      <c r="B104" s="93" t="s">
        <v>338</v>
      </c>
      <c r="C104" s="244"/>
    </row>
    <row r="105" spans="1:3" ht="12" customHeight="1">
      <c r="A105" s="270" t="s">
        <v>142</v>
      </c>
      <c r="B105" s="92" t="s">
        <v>339</v>
      </c>
      <c r="C105" s="244">
        <v>60754</v>
      </c>
    </row>
    <row r="106" spans="1:3" ht="12" customHeight="1">
      <c r="A106" s="270" t="s">
        <v>187</v>
      </c>
      <c r="B106" s="92" t="s">
        <v>340</v>
      </c>
      <c r="C106" s="244"/>
    </row>
    <row r="107" spans="1:3" ht="12" customHeight="1">
      <c r="A107" s="270" t="s">
        <v>334</v>
      </c>
      <c r="B107" s="93" t="s">
        <v>341</v>
      </c>
      <c r="C107" s="244"/>
    </row>
    <row r="108" spans="1:3" ht="12" customHeight="1">
      <c r="A108" s="278" t="s">
        <v>335</v>
      </c>
      <c r="B108" s="94" t="s">
        <v>342</v>
      </c>
      <c r="C108" s="244"/>
    </row>
    <row r="109" spans="1:3" ht="12" customHeight="1">
      <c r="A109" s="270" t="s">
        <v>520</v>
      </c>
      <c r="B109" s="94" t="s">
        <v>343</v>
      </c>
      <c r="C109" s="244"/>
    </row>
    <row r="110" spans="1:3" ht="12" customHeight="1">
      <c r="A110" s="270" t="s">
        <v>521</v>
      </c>
      <c r="B110" s="93" t="s">
        <v>344</v>
      </c>
      <c r="C110" s="174">
        <f>536000+1500000+500000+4000000+200000+189000+7562000+16678000+3500000+6600000+2000000</f>
        <v>43265000</v>
      </c>
    </row>
    <row r="111" spans="1:3" ht="12" customHeight="1">
      <c r="A111" s="270" t="s">
        <v>522</v>
      </c>
      <c r="B111" s="10" t="s">
        <v>74</v>
      </c>
      <c r="C111" s="174">
        <f>SUM(C112:C113)</f>
        <v>116638107</v>
      </c>
    </row>
    <row r="112" spans="1:3" ht="12" customHeight="1">
      <c r="A112" s="271" t="s">
        <v>523</v>
      </c>
      <c r="B112" s="7" t="s">
        <v>571</v>
      </c>
      <c r="C112" s="840">
        <f>20000000-9172313+8719388-4010722-1042502</f>
        <v>14493851</v>
      </c>
    </row>
    <row r="113" spans="1:3" ht="12" customHeight="1" thickBot="1">
      <c r="A113" s="279" t="s">
        <v>525</v>
      </c>
      <c r="B113" s="95" t="s">
        <v>572</v>
      </c>
      <c r="C113" s="842">
        <f>111113300-8373330-1600000-8539600-6323156-7948000-7343244+31158286</f>
        <v>102144256</v>
      </c>
    </row>
    <row r="114" spans="1:3" ht="12" customHeight="1" thickBot="1">
      <c r="A114" s="27" t="s">
        <v>44</v>
      </c>
      <c r="B114" s="25" t="s">
        <v>345</v>
      </c>
      <c r="C114" s="170">
        <f>+C115+C117+C119</f>
        <v>255087281</v>
      </c>
    </row>
    <row r="115" spans="1:3" ht="12" customHeight="1">
      <c r="A115" s="269" t="s">
        <v>128</v>
      </c>
      <c r="B115" s="7" t="s">
        <v>208</v>
      </c>
      <c r="C115" s="843">
        <f>6621000+787402+10624171+3081125+529000+1654000+447000+2237000+6604000+204000+15179276+979170-1000000+2160000+4226991+71809476+15956160</f>
        <v>142099771</v>
      </c>
    </row>
    <row r="116" spans="1:3" ht="12" customHeight="1">
      <c r="A116" s="269" t="s">
        <v>129</v>
      </c>
      <c r="B116" s="11" t="s">
        <v>349</v>
      </c>
      <c r="C116" s="843">
        <f>14492698-1000000+71809476+15956160</f>
        <v>101258334</v>
      </c>
    </row>
    <row r="117" spans="1:3" ht="12" customHeight="1">
      <c r="A117" s="269" t="s">
        <v>130</v>
      </c>
      <c r="B117" s="11" t="s">
        <v>188</v>
      </c>
      <c r="C117" s="174">
        <f>53340000+1513000+2996000+809000+7509510+1000000</f>
        <v>67167510</v>
      </c>
    </row>
    <row r="118" spans="1:3" ht="12" customHeight="1">
      <c r="A118" s="269" t="s">
        <v>131</v>
      </c>
      <c r="B118" s="11" t="s">
        <v>350</v>
      </c>
      <c r="C118" s="498">
        <f>53340000+1000000</f>
        <v>54340000</v>
      </c>
    </row>
    <row r="119" spans="1:3" ht="12" customHeight="1">
      <c r="A119" s="269" t="s">
        <v>132</v>
      </c>
      <c r="B119" s="167" t="s">
        <v>210</v>
      </c>
      <c r="C119" s="244">
        <f>SUM(C120:C127)</f>
        <v>45820000</v>
      </c>
    </row>
    <row r="120" spans="1:3" ht="12" customHeight="1">
      <c r="A120" s="269" t="s">
        <v>141</v>
      </c>
      <c r="B120" s="166" t="s">
        <v>412</v>
      </c>
      <c r="C120" s="498"/>
    </row>
    <row r="121" spans="1:3" ht="12" customHeight="1">
      <c r="A121" s="269" t="s">
        <v>143</v>
      </c>
      <c r="B121" s="251" t="s">
        <v>355</v>
      </c>
      <c r="C121" s="498"/>
    </row>
    <row r="122" spans="1:3" ht="12" customHeight="1">
      <c r="A122" s="269" t="s">
        <v>189</v>
      </c>
      <c r="B122" s="93" t="s">
        <v>338</v>
      </c>
      <c r="C122" s="498"/>
    </row>
    <row r="123" spans="1:3" ht="12" customHeight="1">
      <c r="A123" s="269" t="s">
        <v>190</v>
      </c>
      <c r="B123" s="93" t="s">
        <v>354</v>
      </c>
      <c r="C123" s="498"/>
    </row>
    <row r="124" spans="1:3" ht="12" customHeight="1">
      <c r="A124" s="269" t="s">
        <v>191</v>
      </c>
      <c r="B124" s="93" t="s">
        <v>353</v>
      </c>
      <c r="C124" s="498"/>
    </row>
    <row r="125" spans="1:3" ht="12" customHeight="1">
      <c r="A125" s="269" t="s">
        <v>346</v>
      </c>
      <c r="B125" s="93" t="s">
        <v>341</v>
      </c>
      <c r="C125" s="498"/>
    </row>
    <row r="126" spans="1:3" ht="12" customHeight="1">
      <c r="A126" s="269" t="s">
        <v>347</v>
      </c>
      <c r="B126" s="93" t="s">
        <v>352</v>
      </c>
      <c r="C126" s="498"/>
    </row>
    <row r="127" spans="1:3" ht="12" customHeight="1" thickBot="1">
      <c r="A127" s="278" t="s">
        <v>348</v>
      </c>
      <c r="B127" s="93" t="s">
        <v>351</v>
      </c>
      <c r="C127" s="154">
        <f>42072000+2400000+1348000</f>
        <v>45820000</v>
      </c>
    </row>
    <row r="128" spans="1:6" ht="12" customHeight="1" thickBot="1">
      <c r="A128" s="27" t="s">
        <v>45</v>
      </c>
      <c r="B128" s="88" t="s">
        <v>527</v>
      </c>
      <c r="C128" s="170">
        <f>+C93+C114</f>
        <v>1369675508</v>
      </c>
      <c r="F128" s="516"/>
    </row>
    <row r="129" spans="1:3" ht="12" customHeight="1" thickBot="1">
      <c r="A129" s="27" t="s">
        <v>46</v>
      </c>
      <c r="B129" s="88" t="s">
        <v>528</v>
      </c>
      <c r="C129" s="170">
        <f>+C130+C131+C132</f>
        <v>0</v>
      </c>
    </row>
    <row r="130" spans="1:3" s="65" customFormat="1" ht="12" customHeight="1">
      <c r="A130" s="269" t="s">
        <v>246</v>
      </c>
      <c r="B130" s="8" t="s">
        <v>573</v>
      </c>
      <c r="C130" s="498"/>
    </row>
    <row r="131" spans="1:3" ht="12" customHeight="1">
      <c r="A131" s="269" t="s">
        <v>249</v>
      </c>
      <c r="B131" s="8" t="s">
        <v>530</v>
      </c>
      <c r="C131" s="153"/>
    </row>
    <row r="132" spans="1:3" ht="12" customHeight="1" thickBot="1">
      <c r="A132" s="278" t="s">
        <v>250</v>
      </c>
      <c r="B132" s="6" t="s">
        <v>574</v>
      </c>
      <c r="C132" s="153"/>
    </row>
    <row r="133" spans="1:3" ht="12" customHeight="1" thickBot="1">
      <c r="A133" s="27" t="s">
        <v>47</v>
      </c>
      <c r="B133" s="88" t="s">
        <v>532</v>
      </c>
      <c r="C133" s="170">
        <f>+C134+C135+C136+C137+C138+C139</f>
        <v>0</v>
      </c>
    </row>
    <row r="134" spans="1:3" ht="12" customHeight="1">
      <c r="A134" s="269" t="s">
        <v>115</v>
      </c>
      <c r="B134" s="8" t="s">
        <v>533</v>
      </c>
      <c r="C134" s="153"/>
    </row>
    <row r="135" spans="1:3" ht="12" customHeight="1">
      <c r="A135" s="269" t="s">
        <v>116</v>
      </c>
      <c r="B135" s="8" t="s">
        <v>534</v>
      </c>
      <c r="C135" s="153"/>
    </row>
    <row r="136" spans="1:3" ht="12" customHeight="1">
      <c r="A136" s="269" t="s">
        <v>117</v>
      </c>
      <c r="B136" s="8" t="s">
        <v>535</v>
      </c>
      <c r="C136" s="153"/>
    </row>
    <row r="137" spans="1:3" ht="12" customHeight="1">
      <c r="A137" s="269" t="s">
        <v>176</v>
      </c>
      <c r="B137" s="8" t="s">
        <v>575</v>
      </c>
      <c r="C137" s="153"/>
    </row>
    <row r="138" spans="1:3" ht="12" customHeight="1">
      <c r="A138" s="269" t="s">
        <v>177</v>
      </c>
      <c r="B138" s="8" t="s">
        <v>537</v>
      </c>
      <c r="C138" s="153"/>
    </row>
    <row r="139" spans="1:3" s="65" customFormat="1" ht="12" customHeight="1" thickBot="1">
      <c r="A139" s="278" t="s">
        <v>178</v>
      </c>
      <c r="B139" s="6" t="s">
        <v>538</v>
      </c>
      <c r="C139" s="153"/>
    </row>
    <row r="140" spans="1:11" ht="12" customHeight="1" thickBot="1">
      <c r="A140" s="27" t="s">
        <v>48</v>
      </c>
      <c r="B140" s="88" t="s">
        <v>576</v>
      </c>
      <c r="C140" s="175">
        <f>+C141+C142+C144+C145+C143</f>
        <v>35164932</v>
      </c>
      <c r="K140" s="152"/>
    </row>
    <row r="141" spans="1:3" ht="12.75">
      <c r="A141" s="269" t="s">
        <v>118</v>
      </c>
      <c r="B141" s="8" t="s">
        <v>356</v>
      </c>
      <c r="C141" s="153"/>
    </row>
    <row r="142" spans="1:3" ht="12" customHeight="1">
      <c r="A142" s="269" t="s">
        <v>119</v>
      </c>
      <c r="B142" s="8" t="s">
        <v>357</v>
      </c>
      <c r="C142" s="153">
        <v>35164932</v>
      </c>
    </row>
    <row r="143" spans="1:3" s="65" customFormat="1" ht="12" customHeight="1">
      <c r="A143" s="269" t="s">
        <v>270</v>
      </c>
      <c r="B143" s="8" t="s">
        <v>577</v>
      </c>
      <c r="C143" s="153"/>
    </row>
    <row r="144" spans="1:3" s="65" customFormat="1" ht="12" customHeight="1">
      <c r="A144" s="269" t="s">
        <v>271</v>
      </c>
      <c r="B144" s="8" t="s">
        <v>540</v>
      </c>
      <c r="C144" s="153"/>
    </row>
    <row r="145" spans="1:3" s="65" customFormat="1" ht="12" customHeight="1" thickBot="1">
      <c r="A145" s="278" t="s">
        <v>272</v>
      </c>
      <c r="B145" s="6" t="s">
        <v>375</v>
      </c>
      <c r="C145" s="153"/>
    </row>
    <row r="146" spans="1:3" s="65" customFormat="1" ht="12" customHeight="1" thickBot="1">
      <c r="A146" s="27" t="s">
        <v>49</v>
      </c>
      <c r="B146" s="88" t="s">
        <v>541</v>
      </c>
      <c r="C146" s="178">
        <f>+C147+C148+C149+C150+C151</f>
        <v>0</v>
      </c>
    </row>
    <row r="147" spans="1:3" s="65" customFormat="1" ht="12" customHeight="1">
      <c r="A147" s="269" t="s">
        <v>120</v>
      </c>
      <c r="B147" s="8" t="s">
        <v>542</v>
      </c>
      <c r="C147" s="153"/>
    </row>
    <row r="148" spans="1:3" s="65" customFormat="1" ht="12" customHeight="1">
      <c r="A148" s="269" t="s">
        <v>121</v>
      </c>
      <c r="B148" s="8" t="s">
        <v>543</v>
      </c>
      <c r="C148" s="153"/>
    </row>
    <row r="149" spans="1:3" s="65" customFormat="1" ht="12" customHeight="1">
      <c r="A149" s="269" t="s">
        <v>282</v>
      </c>
      <c r="B149" s="8" t="s">
        <v>544</v>
      </c>
      <c r="C149" s="153"/>
    </row>
    <row r="150" spans="1:3" ht="12.75" customHeight="1">
      <c r="A150" s="269" t="s">
        <v>283</v>
      </c>
      <c r="B150" s="8" t="s">
        <v>578</v>
      </c>
      <c r="C150" s="153"/>
    </row>
    <row r="151" spans="1:3" ht="12.75" customHeight="1" thickBot="1">
      <c r="A151" s="278" t="s">
        <v>546</v>
      </c>
      <c r="B151" s="6" t="s">
        <v>547</v>
      </c>
      <c r="C151" s="154"/>
    </row>
    <row r="152" spans="1:3" ht="12.75" customHeight="1" thickBot="1">
      <c r="A152" s="489" t="s">
        <v>50</v>
      </c>
      <c r="B152" s="88" t="s">
        <v>548</v>
      </c>
      <c r="C152" s="178"/>
    </row>
    <row r="153" spans="1:3" ht="12" customHeight="1" thickBot="1">
      <c r="A153" s="489" t="s">
        <v>51</v>
      </c>
      <c r="B153" s="88" t="s">
        <v>549</v>
      </c>
      <c r="C153" s="178"/>
    </row>
    <row r="154" spans="1:3" ht="15" customHeight="1" thickBot="1">
      <c r="A154" s="27" t="s">
        <v>52</v>
      </c>
      <c r="B154" s="88" t="s">
        <v>550</v>
      </c>
      <c r="C154" s="265">
        <f>+C129+C133+C140+C146+C152+C153</f>
        <v>35164932</v>
      </c>
    </row>
    <row r="155" spans="1:6" ht="13.5" thickBot="1">
      <c r="A155" s="280" t="s">
        <v>53</v>
      </c>
      <c r="B155" s="240" t="s">
        <v>551</v>
      </c>
      <c r="C155" s="265">
        <f>+C128+C154</f>
        <v>1404840440</v>
      </c>
      <c r="F155" s="32"/>
    </row>
    <row r="156" ht="15" customHeight="1" thickBot="1"/>
    <row r="157" spans="1:3" ht="14.25" customHeight="1" thickBot="1">
      <c r="A157" s="149" t="s">
        <v>579</v>
      </c>
      <c r="B157" s="150"/>
      <c r="C157" s="87">
        <v>3</v>
      </c>
    </row>
    <row r="158" spans="1:3" ht="13.5" thickBot="1">
      <c r="A158" s="149" t="s">
        <v>202</v>
      </c>
      <c r="B158" s="150"/>
      <c r="C158" s="87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13. melléklet a 20/2017.(VI.29.) önkormányzati rendelethez</oddHead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D5" sqref="D5"/>
    </sheetView>
  </sheetViews>
  <sheetFormatPr defaultColWidth="9.00390625" defaultRowHeight="12.75"/>
  <cols>
    <col min="1" max="1" width="19.50390625" style="298" customWidth="1"/>
    <col min="2" max="2" width="72.00390625" style="299" customWidth="1"/>
    <col min="3" max="3" width="25.00390625" style="300" customWidth="1"/>
    <col min="4" max="16384" width="9.375" style="2" customWidth="1"/>
  </cols>
  <sheetData>
    <row r="1" spans="1:3" s="1" customFormat="1" ht="16.5" customHeight="1" thickBot="1">
      <c r="A1" s="126"/>
      <c r="B1" s="128"/>
      <c r="C1" s="151"/>
    </row>
    <row r="2" spans="1:3" s="61" customFormat="1" ht="21" customHeight="1">
      <c r="A2" s="245" t="s">
        <v>86</v>
      </c>
      <c r="B2" s="223" t="s">
        <v>205</v>
      </c>
      <c r="C2" s="225" t="s">
        <v>77</v>
      </c>
    </row>
    <row r="3" spans="1:3" s="61" customFormat="1" ht="16.5" thickBot="1">
      <c r="A3" s="129" t="s">
        <v>199</v>
      </c>
      <c r="B3" s="224" t="s">
        <v>414</v>
      </c>
      <c r="C3" s="488" t="s">
        <v>85</v>
      </c>
    </row>
    <row r="4" spans="1:3" s="62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226" t="s">
        <v>79</v>
      </c>
    </row>
    <row r="6" spans="1:3" s="48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48" customFormat="1" ht="15.75" customHeight="1" thickBot="1">
      <c r="A7" s="134"/>
      <c r="B7" s="135" t="s">
        <v>80</v>
      </c>
      <c r="C7" s="227"/>
    </row>
    <row r="8" spans="1:3" s="48" customFormat="1" ht="12" customHeight="1" thickBot="1">
      <c r="A8" s="27" t="s">
        <v>43</v>
      </c>
      <c r="B8" s="20" t="s">
        <v>230</v>
      </c>
      <c r="C8" s="170">
        <f>+C9+C10+C11+C12+C13+C14</f>
        <v>143500069</v>
      </c>
    </row>
    <row r="9" spans="1:3" s="63" customFormat="1" ht="12" customHeight="1">
      <c r="A9" s="269" t="s">
        <v>122</v>
      </c>
      <c r="B9" s="255" t="s">
        <v>231</v>
      </c>
      <c r="C9" s="172"/>
    </row>
    <row r="10" spans="1:3" s="64" customFormat="1" ht="12" customHeight="1">
      <c r="A10" s="270" t="s">
        <v>123</v>
      </c>
      <c r="B10" s="256" t="s">
        <v>232</v>
      </c>
      <c r="C10" s="171"/>
    </row>
    <row r="11" spans="1:3" s="64" customFormat="1" ht="12" customHeight="1">
      <c r="A11" s="270" t="s">
        <v>124</v>
      </c>
      <c r="B11" s="256" t="s">
        <v>233</v>
      </c>
      <c r="C11" s="171">
        <f>118423160+15562200</f>
        <v>133985360</v>
      </c>
    </row>
    <row r="12" spans="1:3" s="64" customFormat="1" ht="12" customHeight="1">
      <c r="A12" s="270" t="s">
        <v>125</v>
      </c>
      <c r="B12" s="256" t="s">
        <v>234</v>
      </c>
      <c r="C12" s="171"/>
    </row>
    <row r="13" spans="1:3" s="64" customFormat="1" ht="12" customHeight="1">
      <c r="A13" s="270" t="s">
        <v>160</v>
      </c>
      <c r="B13" s="256" t="s">
        <v>564</v>
      </c>
      <c r="C13" s="174">
        <f>9514709</f>
        <v>9514709</v>
      </c>
    </row>
    <row r="14" spans="1:3" s="63" customFormat="1" ht="12" customHeight="1" thickBot="1">
      <c r="A14" s="271" t="s">
        <v>126</v>
      </c>
      <c r="B14" s="257" t="s">
        <v>504</v>
      </c>
      <c r="C14" s="171"/>
    </row>
    <row r="15" spans="1:3" s="63" customFormat="1" ht="12" customHeight="1" thickBot="1">
      <c r="A15" s="27" t="s">
        <v>44</v>
      </c>
      <c r="B15" s="165" t="s">
        <v>235</v>
      </c>
      <c r="C15" s="170">
        <f>+C16+C17+C18+C19+C20</f>
        <v>115842000</v>
      </c>
    </row>
    <row r="16" spans="1:3" s="63" customFormat="1" ht="12" customHeight="1">
      <c r="A16" s="269" t="s">
        <v>128</v>
      </c>
      <c r="B16" s="255" t="s">
        <v>236</v>
      </c>
      <c r="C16" s="172"/>
    </row>
    <row r="17" spans="1:3" s="63" customFormat="1" ht="12" customHeight="1">
      <c r="A17" s="270" t="s">
        <v>129</v>
      </c>
      <c r="B17" s="256" t="s">
        <v>237</v>
      </c>
      <c r="C17" s="171"/>
    </row>
    <row r="18" spans="1:3" s="63" customFormat="1" ht="12" customHeight="1">
      <c r="A18" s="270" t="s">
        <v>130</v>
      </c>
      <c r="B18" s="256" t="s">
        <v>406</v>
      </c>
      <c r="C18" s="171"/>
    </row>
    <row r="19" spans="1:3" s="63" customFormat="1" ht="12" customHeight="1">
      <c r="A19" s="270" t="s">
        <v>131</v>
      </c>
      <c r="B19" s="256" t="s">
        <v>407</v>
      </c>
      <c r="C19" s="171"/>
    </row>
    <row r="20" spans="1:3" s="63" customFormat="1" ht="12" customHeight="1">
      <c r="A20" s="270" t="s">
        <v>132</v>
      </c>
      <c r="B20" s="256" t="s">
        <v>238</v>
      </c>
      <c r="C20" s="784">
        <f>2285000+110446000+3111000</f>
        <v>115842000</v>
      </c>
    </row>
    <row r="21" spans="1:3" s="64" customFormat="1" ht="12" customHeight="1" thickBot="1">
      <c r="A21" s="271" t="s">
        <v>141</v>
      </c>
      <c r="B21" s="257" t="s">
        <v>239</v>
      </c>
      <c r="C21" s="244"/>
    </row>
    <row r="22" spans="1:3" s="64" customFormat="1" ht="12" customHeight="1" thickBot="1">
      <c r="A22" s="27" t="s">
        <v>45</v>
      </c>
      <c r="B22" s="20" t="s">
        <v>240</v>
      </c>
      <c r="C22" s="170">
        <f>+C23+C24+C25+C26+C27</f>
        <v>0</v>
      </c>
    </row>
    <row r="23" spans="1:3" s="64" customFormat="1" ht="12" customHeight="1">
      <c r="A23" s="269" t="s">
        <v>111</v>
      </c>
      <c r="B23" s="255" t="s">
        <v>241</v>
      </c>
      <c r="C23" s="172"/>
    </row>
    <row r="24" spans="1:3" s="63" customFormat="1" ht="12" customHeight="1">
      <c r="A24" s="270" t="s">
        <v>112</v>
      </c>
      <c r="B24" s="256" t="s">
        <v>242</v>
      </c>
      <c r="C24" s="171"/>
    </row>
    <row r="25" spans="1:3" s="64" customFormat="1" ht="12" customHeight="1">
      <c r="A25" s="270" t="s">
        <v>113</v>
      </c>
      <c r="B25" s="256" t="s">
        <v>408</v>
      </c>
      <c r="C25" s="171"/>
    </row>
    <row r="26" spans="1:3" s="64" customFormat="1" ht="12" customHeight="1">
      <c r="A26" s="270" t="s">
        <v>114</v>
      </c>
      <c r="B26" s="256" t="s">
        <v>409</v>
      </c>
      <c r="C26" s="171"/>
    </row>
    <row r="27" spans="1:3" s="64" customFormat="1" ht="12" customHeight="1">
      <c r="A27" s="270" t="s">
        <v>172</v>
      </c>
      <c r="B27" s="256" t="s">
        <v>243</v>
      </c>
      <c r="C27" s="174"/>
    </row>
    <row r="28" spans="1:3" s="64" customFormat="1" ht="12" customHeight="1" thickBot="1">
      <c r="A28" s="271" t="s">
        <v>173</v>
      </c>
      <c r="B28" s="257" t="s">
        <v>244</v>
      </c>
      <c r="C28" s="244"/>
    </row>
    <row r="29" spans="1:3" s="64" customFormat="1" ht="12" customHeight="1" thickBot="1">
      <c r="A29" s="27" t="s">
        <v>174</v>
      </c>
      <c r="B29" s="20" t="s">
        <v>245</v>
      </c>
      <c r="C29" s="175">
        <f>+C30+C34+C35+C36</f>
        <v>0</v>
      </c>
    </row>
    <row r="30" spans="1:3" s="64" customFormat="1" ht="12" customHeight="1">
      <c r="A30" s="269" t="s">
        <v>246</v>
      </c>
      <c r="B30" s="255" t="s">
        <v>565</v>
      </c>
      <c r="C30" s="250">
        <f>+C31+C32+C33</f>
        <v>0</v>
      </c>
    </row>
    <row r="31" spans="1:3" s="64" customFormat="1" ht="12" customHeight="1">
      <c r="A31" s="270" t="s">
        <v>247</v>
      </c>
      <c r="B31" s="256" t="s">
        <v>252</v>
      </c>
      <c r="C31" s="171"/>
    </row>
    <row r="32" spans="1:3" s="64" customFormat="1" ht="12" customHeight="1">
      <c r="A32" s="270" t="s">
        <v>248</v>
      </c>
      <c r="B32" s="256" t="s">
        <v>253</v>
      </c>
      <c r="C32" s="171"/>
    </row>
    <row r="33" spans="1:3" s="64" customFormat="1" ht="12" customHeight="1">
      <c r="A33" s="270" t="s">
        <v>506</v>
      </c>
      <c r="B33" s="476" t="s">
        <v>507</v>
      </c>
      <c r="C33" s="171"/>
    </row>
    <row r="34" spans="1:3" s="64" customFormat="1" ht="12" customHeight="1">
      <c r="A34" s="270" t="s">
        <v>249</v>
      </c>
      <c r="B34" s="256" t="s">
        <v>254</v>
      </c>
      <c r="C34" s="171"/>
    </row>
    <row r="35" spans="1:3" s="64" customFormat="1" ht="12" customHeight="1">
      <c r="A35" s="270" t="s">
        <v>250</v>
      </c>
      <c r="B35" s="256" t="s">
        <v>255</v>
      </c>
      <c r="C35" s="171"/>
    </row>
    <row r="36" spans="1:3" s="64" customFormat="1" ht="12" customHeight="1" thickBot="1">
      <c r="A36" s="271" t="s">
        <v>251</v>
      </c>
      <c r="B36" s="257" t="s">
        <v>256</v>
      </c>
      <c r="C36" s="173"/>
    </row>
    <row r="37" spans="1:3" s="64" customFormat="1" ht="12" customHeight="1" thickBot="1">
      <c r="A37" s="27" t="s">
        <v>47</v>
      </c>
      <c r="B37" s="20" t="s">
        <v>508</v>
      </c>
      <c r="C37" s="170">
        <f>SUM(C38:C48)</f>
        <v>12219000</v>
      </c>
    </row>
    <row r="38" spans="1:3" s="64" customFormat="1" ht="12" customHeight="1">
      <c r="A38" s="269" t="s">
        <v>115</v>
      </c>
      <c r="B38" s="255" t="s">
        <v>259</v>
      </c>
      <c r="C38" s="293">
        <f>3937000+5500000</f>
        <v>9437000</v>
      </c>
    </row>
    <row r="39" spans="1:3" s="64" customFormat="1" ht="12" customHeight="1">
      <c r="A39" s="270" t="s">
        <v>116</v>
      </c>
      <c r="B39" s="256" t="s">
        <v>260</v>
      </c>
      <c r="C39" s="174">
        <f>160000</f>
        <v>160000</v>
      </c>
    </row>
    <row r="40" spans="1:3" s="64" customFormat="1" ht="12" customHeight="1">
      <c r="A40" s="270" t="s">
        <v>117</v>
      </c>
      <c r="B40" s="256" t="s">
        <v>261</v>
      </c>
      <c r="C40" s="174"/>
    </row>
    <row r="41" spans="1:3" s="64" customFormat="1" ht="12" customHeight="1">
      <c r="A41" s="270" t="s">
        <v>176</v>
      </c>
      <c r="B41" s="256" t="s">
        <v>262</v>
      </c>
      <c r="C41" s="174"/>
    </row>
    <row r="42" spans="1:3" s="64" customFormat="1" ht="12" customHeight="1">
      <c r="A42" s="270" t="s">
        <v>177</v>
      </c>
      <c r="B42" s="256" t="s">
        <v>263</v>
      </c>
      <c r="C42" s="174"/>
    </row>
    <row r="43" spans="1:3" s="64" customFormat="1" ht="12" customHeight="1">
      <c r="A43" s="270" t="s">
        <v>178</v>
      </c>
      <c r="B43" s="256" t="s">
        <v>264</v>
      </c>
      <c r="C43" s="174">
        <f>1063000+44000+1485000</f>
        <v>2592000</v>
      </c>
    </row>
    <row r="44" spans="1:3" s="64" customFormat="1" ht="12" customHeight="1">
      <c r="A44" s="270" t="s">
        <v>179</v>
      </c>
      <c r="B44" s="256" t="s">
        <v>265</v>
      </c>
      <c r="C44" s="174"/>
    </row>
    <row r="45" spans="1:3" s="64" customFormat="1" ht="12" customHeight="1">
      <c r="A45" s="270" t="s">
        <v>180</v>
      </c>
      <c r="B45" s="256" t="s">
        <v>266</v>
      </c>
      <c r="C45" s="174">
        <v>30000</v>
      </c>
    </row>
    <row r="46" spans="1:3" s="64" customFormat="1" ht="12" customHeight="1">
      <c r="A46" s="270" t="s">
        <v>257</v>
      </c>
      <c r="B46" s="256" t="s">
        <v>267</v>
      </c>
      <c r="C46" s="174"/>
    </row>
    <row r="47" spans="1:3" s="64" customFormat="1" ht="12" customHeight="1">
      <c r="A47" s="271" t="s">
        <v>258</v>
      </c>
      <c r="B47" s="257" t="s">
        <v>509</v>
      </c>
      <c r="C47" s="244"/>
    </row>
    <row r="48" spans="1:3" s="64" customFormat="1" ht="12" customHeight="1" thickBot="1">
      <c r="A48" s="271" t="s">
        <v>510</v>
      </c>
      <c r="B48" s="257" t="s">
        <v>268</v>
      </c>
      <c r="C48" s="244"/>
    </row>
    <row r="49" spans="1:3" s="64" customFormat="1" ht="12" customHeight="1" thickBot="1">
      <c r="A49" s="27" t="s">
        <v>48</v>
      </c>
      <c r="B49" s="20" t="s">
        <v>269</v>
      </c>
      <c r="C49" s="170">
        <f>SUM(C50:C54)</f>
        <v>0</v>
      </c>
    </row>
    <row r="50" spans="1:3" s="64" customFormat="1" ht="12" customHeight="1">
      <c r="A50" s="269" t="s">
        <v>118</v>
      </c>
      <c r="B50" s="255" t="s">
        <v>273</v>
      </c>
      <c r="C50" s="293"/>
    </row>
    <row r="51" spans="1:3" s="64" customFormat="1" ht="12" customHeight="1">
      <c r="A51" s="270" t="s">
        <v>119</v>
      </c>
      <c r="B51" s="256" t="s">
        <v>274</v>
      </c>
      <c r="C51" s="174"/>
    </row>
    <row r="52" spans="1:3" s="64" customFormat="1" ht="12" customHeight="1">
      <c r="A52" s="270" t="s">
        <v>270</v>
      </c>
      <c r="B52" s="256" t="s">
        <v>275</v>
      </c>
      <c r="C52" s="174"/>
    </row>
    <row r="53" spans="1:3" s="64" customFormat="1" ht="12" customHeight="1">
      <c r="A53" s="270" t="s">
        <v>271</v>
      </c>
      <c r="B53" s="256" t="s">
        <v>276</v>
      </c>
      <c r="C53" s="174"/>
    </row>
    <row r="54" spans="1:3" s="64" customFormat="1" ht="12" customHeight="1" thickBot="1">
      <c r="A54" s="271" t="s">
        <v>272</v>
      </c>
      <c r="B54" s="257" t="s">
        <v>277</v>
      </c>
      <c r="C54" s="244"/>
    </row>
    <row r="55" spans="1:3" s="64" customFormat="1" ht="12" customHeight="1" thickBot="1">
      <c r="A55" s="27" t="s">
        <v>181</v>
      </c>
      <c r="B55" s="20" t="s">
        <v>278</v>
      </c>
      <c r="C55" s="170">
        <f>SUM(C56:C58)</f>
        <v>1566000</v>
      </c>
    </row>
    <row r="56" spans="1:3" s="64" customFormat="1" ht="12" customHeight="1">
      <c r="A56" s="269" t="s">
        <v>120</v>
      </c>
      <c r="B56" s="255" t="s">
        <v>279</v>
      </c>
      <c r="C56" s="172"/>
    </row>
    <row r="57" spans="1:3" s="64" customFormat="1" ht="12" customHeight="1">
      <c r="A57" s="270" t="s">
        <v>121</v>
      </c>
      <c r="B57" s="256" t="s">
        <v>410</v>
      </c>
      <c r="C57" s="174">
        <v>1566000</v>
      </c>
    </row>
    <row r="58" spans="1:3" s="64" customFormat="1" ht="12" customHeight="1">
      <c r="A58" s="270" t="s">
        <v>282</v>
      </c>
      <c r="B58" s="256" t="s">
        <v>280</v>
      </c>
      <c r="C58" s="174"/>
    </row>
    <row r="59" spans="1:3" s="64" customFormat="1" ht="12" customHeight="1" thickBot="1">
      <c r="A59" s="271" t="s">
        <v>283</v>
      </c>
      <c r="B59" s="257" t="s">
        <v>281</v>
      </c>
      <c r="C59" s="173"/>
    </row>
    <row r="60" spans="1:3" s="64" customFormat="1" ht="12" customHeight="1" thickBot="1">
      <c r="A60" s="27" t="s">
        <v>50</v>
      </c>
      <c r="B60" s="165" t="s">
        <v>284</v>
      </c>
      <c r="C60" s="170">
        <f>SUM(C61:C63)</f>
        <v>0</v>
      </c>
    </row>
    <row r="61" spans="1:3" s="64" customFormat="1" ht="12" customHeight="1">
      <c r="A61" s="269" t="s">
        <v>182</v>
      </c>
      <c r="B61" s="255" t="s">
        <v>286</v>
      </c>
      <c r="C61" s="174"/>
    </row>
    <row r="62" spans="1:3" s="64" customFormat="1" ht="12" customHeight="1">
      <c r="A62" s="270" t="s">
        <v>183</v>
      </c>
      <c r="B62" s="256" t="s">
        <v>411</v>
      </c>
      <c r="C62" s="174"/>
    </row>
    <row r="63" spans="1:3" s="64" customFormat="1" ht="12" customHeight="1">
      <c r="A63" s="270" t="s">
        <v>209</v>
      </c>
      <c r="B63" s="256" t="s">
        <v>287</v>
      </c>
      <c r="C63" s="174"/>
    </row>
    <row r="64" spans="1:3" s="64" customFormat="1" ht="12" customHeight="1" thickBot="1">
      <c r="A64" s="271" t="s">
        <v>285</v>
      </c>
      <c r="B64" s="257" t="s">
        <v>288</v>
      </c>
      <c r="C64" s="174"/>
    </row>
    <row r="65" spans="1:3" s="64" customFormat="1" ht="12" customHeight="1" thickBot="1">
      <c r="A65" s="27" t="s">
        <v>51</v>
      </c>
      <c r="B65" s="20" t="s">
        <v>289</v>
      </c>
      <c r="C65" s="175">
        <f>+C8+C15+C22+C29+C37+C49+C55+C60</f>
        <v>273127069</v>
      </c>
    </row>
    <row r="66" spans="1:3" s="64" customFormat="1" ht="12" customHeight="1" thickBot="1">
      <c r="A66" s="272" t="s">
        <v>379</v>
      </c>
      <c r="B66" s="165" t="s">
        <v>291</v>
      </c>
      <c r="C66" s="170">
        <f>SUM(C67:C69)</f>
        <v>182000000</v>
      </c>
    </row>
    <row r="67" spans="1:3" s="64" customFormat="1" ht="12" customHeight="1">
      <c r="A67" s="269" t="s">
        <v>322</v>
      </c>
      <c r="B67" s="255" t="s">
        <v>292</v>
      </c>
      <c r="C67" s="784">
        <f>44100000+37900000</f>
        <v>82000000</v>
      </c>
    </row>
    <row r="68" spans="1:3" s="64" customFormat="1" ht="12" customHeight="1">
      <c r="A68" s="270" t="s">
        <v>331</v>
      </c>
      <c r="B68" s="256" t="s">
        <v>293</v>
      </c>
      <c r="C68" s="174">
        <v>100000000</v>
      </c>
    </row>
    <row r="69" spans="1:3" s="64" customFormat="1" ht="12" customHeight="1" thickBot="1">
      <c r="A69" s="271" t="s">
        <v>332</v>
      </c>
      <c r="B69" s="258" t="s">
        <v>294</v>
      </c>
      <c r="C69" s="174"/>
    </row>
    <row r="70" spans="1:3" s="64" customFormat="1" ht="12" customHeight="1" thickBot="1">
      <c r="A70" s="272" t="s">
        <v>295</v>
      </c>
      <c r="B70" s="165" t="s">
        <v>296</v>
      </c>
      <c r="C70" s="170">
        <f>SUM(C71:C74)</f>
        <v>0</v>
      </c>
    </row>
    <row r="71" spans="1:3" s="64" customFormat="1" ht="12" customHeight="1">
      <c r="A71" s="269" t="s">
        <v>161</v>
      </c>
      <c r="B71" s="255" t="s">
        <v>297</v>
      </c>
      <c r="C71" s="174"/>
    </row>
    <row r="72" spans="1:3" s="64" customFormat="1" ht="12" customHeight="1">
      <c r="A72" s="270" t="s">
        <v>162</v>
      </c>
      <c r="B72" s="256" t="s">
        <v>298</v>
      </c>
      <c r="C72" s="174"/>
    </row>
    <row r="73" spans="1:3" s="64" customFormat="1" ht="12" customHeight="1">
      <c r="A73" s="270" t="s">
        <v>323</v>
      </c>
      <c r="B73" s="256" t="s">
        <v>299</v>
      </c>
      <c r="C73" s="174"/>
    </row>
    <row r="74" spans="1:3" s="64" customFormat="1" ht="12" customHeight="1" thickBot="1">
      <c r="A74" s="271" t="s">
        <v>324</v>
      </c>
      <c r="B74" s="257" t="s">
        <v>300</v>
      </c>
      <c r="C74" s="174"/>
    </row>
    <row r="75" spans="1:3" s="64" customFormat="1" ht="12" customHeight="1" thickBot="1">
      <c r="A75" s="272" t="s">
        <v>301</v>
      </c>
      <c r="B75" s="165" t="s">
        <v>302</v>
      </c>
      <c r="C75" s="170">
        <f>SUM(C76:C77)</f>
        <v>0</v>
      </c>
    </row>
    <row r="76" spans="1:3" s="64" customFormat="1" ht="12" customHeight="1">
      <c r="A76" s="269" t="s">
        <v>325</v>
      </c>
      <c r="B76" s="255" t="s">
        <v>303</v>
      </c>
      <c r="C76" s="174"/>
    </row>
    <row r="77" spans="1:3" s="64" customFormat="1" ht="12" customHeight="1" thickBot="1">
      <c r="A77" s="271" t="s">
        <v>326</v>
      </c>
      <c r="B77" s="257" t="s">
        <v>304</v>
      </c>
      <c r="C77" s="174"/>
    </row>
    <row r="78" spans="1:3" s="63" customFormat="1" ht="12" customHeight="1" thickBot="1">
      <c r="A78" s="272" t="s">
        <v>305</v>
      </c>
      <c r="B78" s="165" t="s">
        <v>306</v>
      </c>
      <c r="C78" s="170">
        <f>SUM(C79:C81)</f>
        <v>0</v>
      </c>
    </row>
    <row r="79" spans="1:3" s="64" customFormat="1" ht="12" customHeight="1">
      <c r="A79" s="269" t="s">
        <v>327</v>
      </c>
      <c r="B79" s="255" t="s">
        <v>307</v>
      </c>
      <c r="C79" s="174"/>
    </row>
    <row r="80" spans="1:3" s="64" customFormat="1" ht="12" customHeight="1">
      <c r="A80" s="270" t="s">
        <v>328</v>
      </c>
      <c r="B80" s="256" t="s">
        <v>308</v>
      </c>
      <c r="C80" s="174"/>
    </row>
    <row r="81" spans="1:3" s="64" customFormat="1" ht="12" customHeight="1" thickBot="1">
      <c r="A81" s="271" t="s">
        <v>329</v>
      </c>
      <c r="B81" s="257" t="s">
        <v>309</v>
      </c>
      <c r="C81" s="174"/>
    </row>
    <row r="82" spans="1:3" s="64" customFormat="1" ht="12" customHeight="1" thickBot="1">
      <c r="A82" s="272" t="s">
        <v>310</v>
      </c>
      <c r="B82" s="165" t="s">
        <v>330</v>
      </c>
      <c r="C82" s="170">
        <f>SUM(C83:C86)</f>
        <v>0</v>
      </c>
    </row>
    <row r="83" spans="1:3" s="64" customFormat="1" ht="12" customHeight="1">
      <c r="A83" s="273" t="s">
        <v>311</v>
      </c>
      <c r="B83" s="255" t="s">
        <v>312</v>
      </c>
      <c r="C83" s="174"/>
    </row>
    <row r="84" spans="1:3" s="64" customFormat="1" ht="12" customHeight="1">
      <c r="A84" s="274" t="s">
        <v>313</v>
      </c>
      <c r="B84" s="256" t="s">
        <v>314</v>
      </c>
      <c r="C84" s="174"/>
    </row>
    <row r="85" spans="1:3" s="64" customFormat="1" ht="12" customHeight="1">
      <c r="A85" s="274" t="s">
        <v>315</v>
      </c>
      <c r="B85" s="256" t="s">
        <v>316</v>
      </c>
      <c r="C85" s="174"/>
    </row>
    <row r="86" spans="1:3" s="63" customFormat="1" ht="12" customHeight="1" thickBot="1">
      <c r="A86" s="275" t="s">
        <v>317</v>
      </c>
      <c r="B86" s="257" t="s">
        <v>318</v>
      </c>
      <c r="C86" s="174"/>
    </row>
    <row r="87" spans="1:3" s="63" customFormat="1" ht="12" customHeight="1" thickBot="1">
      <c r="A87" s="272" t="s">
        <v>319</v>
      </c>
      <c r="B87" s="165" t="s">
        <v>513</v>
      </c>
      <c r="C87" s="294"/>
    </row>
    <row r="88" spans="1:3" s="63" customFormat="1" ht="12" customHeight="1" thickBot="1">
      <c r="A88" s="272" t="s">
        <v>566</v>
      </c>
      <c r="B88" s="165" t="s">
        <v>320</v>
      </c>
      <c r="C88" s="294"/>
    </row>
    <row r="89" spans="1:3" s="63" customFormat="1" ht="12" customHeight="1" thickBot="1">
      <c r="A89" s="272" t="s">
        <v>567</v>
      </c>
      <c r="B89" s="262" t="s">
        <v>514</v>
      </c>
      <c r="C89" s="175">
        <f>+C66+C70+C75+C78+C82+C88+C87</f>
        <v>182000000</v>
      </c>
    </row>
    <row r="90" spans="1:3" s="63" customFormat="1" ht="12" customHeight="1" thickBot="1">
      <c r="A90" s="276" t="s">
        <v>568</v>
      </c>
      <c r="B90" s="263" t="s">
        <v>569</v>
      </c>
      <c r="C90" s="175">
        <f>+C65+C89</f>
        <v>455127069</v>
      </c>
    </row>
    <row r="91" spans="1:3" s="64" customFormat="1" ht="15" customHeight="1" thickBot="1">
      <c r="A91" s="140"/>
      <c r="B91" s="141"/>
      <c r="C91" s="232"/>
    </row>
    <row r="92" spans="1:3" s="48" customFormat="1" ht="16.5" customHeight="1" thickBot="1">
      <c r="A92" s="144"/>
      <c r="B92" s="145" t="s">
        <v>81</v>
      </c>
      <c r="C92" s="234"/>
    </row>
    <row r="93" spans="1:3" s="65" customFormat="1" ht="12" customHeight="1" thickBot="1">
      <c r="A93" s="247" t="s">
        <v>43</v>
      </c>
      <c r="B93" s="26" t="s">
        <v>580</v>
      </c>
      <c r="C93" s="169">
        <f>+C94+C95+C96+C97+C98+C111</f>
        <v>77007585</v>
      </c>
    </row>
    <row r="94" spans="1:3" ht="12" customHeight="1">
      <c r="A94" s="277" t="s">
        <v>122</v>
      </c>
      <c r="B94" s="9" t="s">
        <v>73</v>
      </c>
      <c r="C94" s="841">
        <f>310000+175000+172000+24000+3882000+3749000-282000+589000+24000+76000+2550000</f>
        <v>11269000</v>
      </c>
    </row>
    <row r="95" spans="1:3" ht="12" customHeight="1">
      <c r="A95" s="270" t="s">
        <v>123</v>
      </c>
      <c r="B95" s="7" t="s">
        <v>184</v>
      </c>
      <c r="C95" s="784">
        <f>62000+33000+48000+808000+1652000-63900+117000+10800+37984+561000</f>
        <v>3265884</v>
      </c>
    </row>
    <row r="96" spans="1:3" ht="12" customHeight="1">
      <c r="A96" s="270" t="s">
        <v>124</v>
      </c>
      <c r="B96" s="7" t="s">
        <v>153</v>
      </c>
      <c r="C96" s="840">
        <f>4801000+800001+376000+120000+386000+50000+18800+32000+22000+11212000+1682000+295900+401000+411000+1600000+26600000+7585000+80000</f>
        <v>56472701</v>
      </c>
    </row>
    <row r="97" spans="1:3" ht="12" customHeight="1">
      <c r="A97" s="270" t="s">
        <v>125</v>
      </c>
      <c r="B97" s="10" t="s">
        <v>185</v>
      </c>
      <c r="C97" s="244"/>
    </row>
    <row r="98" spans="1:3" ht="12" customHeight="1">
      <c r="A98" s="270" t="s">
        <v>136</v>
      </c>
      <c r="B98" s="18" t="s">
        <v>186</v>
      </c>
      <c r="C98" s="244">
        <f>SUM(C99:C110)</f>
        <v>6000000</v>
      </c>
    </row>
    <row r="99" spans="1:3" ht="12" customHeight="1">
      <c r="A99" s="270" t="s">
        <v>126</v>
      </c>
      <c r="B99" s="7" t="s">
        <v>570</v>
      </c>
      <c r="C99" s="244"/>
    </row>
    <row r="100" spans="1:3" ht="12" customHeight="1">
      <c r="A100" s="270" t="s">
        <v>127</v>
      </c>
      <c r="B100" s="92" t="s">
        <v>518</v>
      </c>
      <c r="C100" s="244"/>
    </row>
    <row r="101" spans="1:3" ht="12" customHeight="1">
      <c r="A101" s="270" t="s">
        <v>137</v>
      </c>
      <c r="B101" s="92" t="s">
        <v>519</v>
      </c>
      <c r="C101" s="244"/>
    </row>
    <row r="102" spans="1:3" ht="12" customHeight="1">
      <c r="A102" s="270" t="s">
        <v>138</v>
      </c>
      <c r="B102" s="92" t="s">
        <v>336</v>
      </c>
      <c r="C102" s="244"/>
    </row>
    <row r="103" spans="1:3" ht="12" customHeight="1">
      <c r="A103" s="270" t="s">
        <v>139</v>
      </c>
      <c r="B103" s="93" t="s">
        <v>337</v>
      </c>
      <c r="C103" s="244"/>
    </row>
    <row r="104" spans="1:3" ht="12" customHeight="1">
      <c r="A104" s="270" t="s">
        <v>140</v>
      </c>
      <c r="B104" s="93" t="s">
        <v>338</v>
      </c>
      <c r="C104" s="244"/>
    </row>
    <row r="105" spans="1:3" ht="12" customHeight="1">
      <c r="A105" s="270" t="s">
        <v>142</v>
      </c>
      <c r="B105" s="92" t="s">
        <v>339</v>
      </c>
      <c r="C105" s="244"/>
    </row>
    <row r="106" spans="1:3" ht="12" customHeight="1">
      <c r="A106" s="270" t="s">
        <v>187</v>
      </c>
      <c r="B106" s="92" t="s">
        <v>340</v>
      </c>
      <c r="C106" s="244"/>
    </row>
    <row r="107" spans="1:3" ht="12" customHeight="1">
      <c r="A107" s="270" t="s">
        <v>334</v>
      </c>
      <c r="B107" s="93" t="s">
        <v>341</v>
      </c>
      <c r="C107" s="244"/>
    </row>
    <row r="108" spans="1:3" ht="12" customHeight="1">
      <c r="A108" s="278" t="s">
        <v>335</v>
      </c>
      <c r="B108" s="94" t="s">
        <v>342</v>
      </c>
      <c r="C108" s="244"/>
    </row>
    <row r="109" spans="1:3" ht="12" customHeight="1">
      <c r="A109" s="270" t="s">
        <v>520</v>
      </c>
      <c r="B109" s="94" t="s">
        <v>343</v>
      </c>
      <c r="C109" s="244"/>
    </row>
    <row r="110" spans="1:3" ht="12" customHeight="1">
      <c r="A110" s="270" t="s">
        <v>521</v>
      </c>
      <c r="B110" s="93" t="s">
        <v>344</v>
      </c>
      <c r="C110" s="174">
        <f>5000000+800000+150000+50000</f>
        <v>6000000</v>
      </c>
    </row>
    <row r="111" spans="1:3" ht="12" customHeight="1">
      <c r="A111" s="270" t="s">
        <v>522</v>
      </c>
      <c r="B111" s="10" t="s">
        <v>74</v>
      </c>
      <c r="C111" s="171"/>
    </row>
    <row r="112" spans="1:3" ht="12" customHeight="1">
      <c r="A112" s="271" t="s">
        <v>523</v>
      </c>
      <c r="B112" s="7" t="s">
        <v>571</v>
      </c>
      <c r="C112" s="173"/>
    </row>
    <row r="113" spans="1:3" ht="12" customHeight="1" thickBot="1">
      <c r="A113" s="279" t="s">
        <v>525</v>
      </c>
      <c r="B113" s="95" t="s">
        <v>572</v>
      </c>
      <c r="C113" s="177"/>
    </row>
    <row r="114" spans="1:3" ht="12" customHeight="1" thickBot="1">
      <c r="A114" s="27" t="s">
        <v>44</v>
      </c>
      <c r="B114" s="25" t="s">
        <v>345</v>
      </c>
      <c r="C114" s="170">
        <f>+C115+C117+C119</f>
        <v>25254202</v>
      </c>
    </row>
    <row r="115" spans="1:3" ht="12" customHeight="1">
      <c r="A115" s="269" t="s">
        <v>128</v>
      </c>
      <c r="B115" s="7" t="s">
        <v>208</v>
      </c>
      <c r="C115" s="843">
        <f>2963001+300001+90200+301000-300001</f>
        <v>3354201</v>
      </c>
    </row>
    <row r="116" spans="1:3" ht="12" customHeight="1">
      <c r="A116" s="269" t="s">
        <v>129</v>
      </c>
      <c r="B116" s="11" t="s">
        <v>349</v>
      </c>
      <c r="C116" s="293"/>
    </row>
    <row r="117" spans="1:3" ht="12" customHeight="1">
      <c r="A117" s="269" t="s">
        <v>130</v>
      </c>
      <c r="B117" s="11" t="s">
        <v>188</v>
      </c>
      <c r="C117" s="784">
        <f>21000000+300001</f>
        <v>21300001</v>
      </c>
    </row>
    <row r="118" spans="1:3" ht="12" customHeight="1">
      <c r="A118" s="269" t="s">
        <v>131</v>
      </c>
      <c r="B118" s="11" t="s">
        <v>350</v>
      </c>
      <c r="C118" s="153"/>
    </row>
    <row r="119" spans="1:3" ht="12" customHeight="1">
      <c r="A119" s="269" t="s">
        <v>132</v>
      </c>
      <c r="B119" s="167" t="s">
        <v>210</v>
      </c>
      <c r="C119" s="509">
        <f>SUM(C120:C127)</f>
        <v>600000</v>
      </c>
    </row>
    <row r="120" spans="1:3" ht="12" customHeight="1">
      <c r="A120" s="269" t="s">
        <v>141</v>
      </c>
      <c r="B120" s="166" t="s">
        <v>412</v>
      </c>
      <c r="C120" s="509"/>
    </row>
    <row r="121" spans="1:3" ht="12" customHeight="1">
      <c r="A121" s="269" t="s">
        <v>143</v>
      </c>
      <c r="B121" s="251" t="s">
        <v>355</v>
      </c>
      <c r="C121" s="509"/>
    </row>
    <row r="122" spans="1:3" ht="12" customHeight="1">
      <c r="A122" s="269" t="s">
        <v>189</v>
      </c>
      <c r="B122" s="93" t="s">
        <v>338</v>
      </c>
      <c r="C122" s="509"/>
    </row>
    <row r="123" spans="1:3" ht="12" customHeight="1">
      <c r="A123" s="269" t="s">
        <v>190</v>
      </c>
      <c r="B123" s="93" t="s">
        <v>354</v>
      </c>
      <c r="C123" s="509"/>
    </row>
    <row r="124" spans="1:3" ht="12" customHeight="1">
      <c r="A124" s="269" t="s">
        <v>191</v>
      </c>
      <c r="B124" s="93" t="s">
        <v>353</v>
      </c>
      <c r="C124" s="509"/>
    </row>
    <row r="125" spans="1:3" ht="12" customHeight="1">
      <c r="A125" s="269" t="s">
        <v>346</v>
      </c>
      <c r="B125" s="93" t="s">
        <v>341</v>
      </c>
      <c r="C125" s="509"/>
    </row>
    <row r="126" spans="1:3" ht="12" customHeight="1">
      <c r="A126" s="269" t="s">
        <v>347</v>
      </c>
      <c r="B126" s="93" t="s">
        <v>352</v>
      </c>
      <c r="C126" s="509"/>
    </row>
    <row r="127" spans="1:3" ht="12" customHeight="1" thickBot="1">
      <c r="A127" s="278" t="s">
        <v>348</v>
      </c>
      <c r="B127" s="93" t="s">
        <v>351</v>
      </c>
      <c r="C127" s="508">
        <v>600000</v>
      </c>
    </row>
    <row r="128" spans="1:3" ht="12" customHeight="1" thickBot="1">
      <c r="A128" s="27" t="s">
        <v>45</v>
      </c>
      <c r="B128" s="88" t="s">
        <v>527</v>
      </c>
      <c r="C128" s="170">
        <f>+C93+C114</f>
        <v>102261787</v>
      </c>
    </row>
    <row r="129" spans="1:3" ht="12" customHeight="1" thickBot="1">
      <c r="A129" s="27" t="s">
        <v>46</v>
      </c>
      <c r="B129" s="88" t="s">
        <v>528</v>
      </c>
      <c r="C129" s="170">
        <f>+C130+C131+C132</f>
        <v>103161000</v>
      </c>
    </row>
    <row r="130" spans="1:3" s="65" customFormat="1" ht="12" customHeight="1">
      <c r="A130" s="269" t="s">
        <v>246</v>
      </c>
      <c r="B130" s="8" t="s">
        <v>573</v>
      </c>
      <c r="C130" s="498">
        <v>3161000</v>
      </c>
    </row>
    <row r="131" spans="1:3" ht="12" customHeight="1">
      <c r="A131" s="269" t="s">
        <v>249</v>
      </c>
      <c r="B131" s="8" t="s">
        <v>530</v>
      </c>
      <c r="C131" s="153">
        <v>100000000</v>
      </c>
    </row>
    <row r="132" spans="1:3" ht="12" customHeight="1" thickBot="1">
      <c r="A132" s="278" t="s">
        <v>250</v>
      </c>
      <c r="B132" s="6" t="s">
        <v>574</v>
      </c>
      <c r="C132" s="153"/>
    </row>
    <row r="133" spans="1:3" ht="12" customHeight="1" thickBot="1">
      <c r="A133" s="27" t="s">
        <v>47</v>
      </c>
      <c r="B133" s="88" t="s">
        <v>532</v>
      </c>
      <c r="C133" s="170">
        <f>+C134+C135+C136+C137+C138+C139</f>
        <v>0</v>
      </c>
    </row>
    <row r="134" spans="1:3" ht="12" customHeight="1">
      <c r="A134" s="269" t="s">
        <v>115</v>
      </c>
      <c r="B134" s="8" t="s">
        <v>533</v>
      </c>
      <c r="C134" s="153"/>
    </row>
    <row r="135" spans="1:3" ht="12" customHeight="1">
      <c r="A135" s="269" t="s">
        <v>116</v>
      </c>
      <c r="B135" s="8" t="s">
        <v>534</v>
      </c>
      <c r="C135" s="153"/>
    </row>
    <row r="136" spans="1:3" ht="12" customHeight="1">
      <c r="A136" s="269" t="s">
        <v>117</v>
      </c>
      <c r="B136" s="8" t="s">
        <v>535</v>
      </c>
      <c r="C136" s="153"/>
    </row>
    <row r="137" spans="1:3" ht="12" customHeight="1">
      <c r="A137" s="269" t="s">
        <v>176</v>
      </c>
      <c r="B137" s="8" t="s">
        <v>575</v>
      </c>
      <c r="C137" s="153"/>
    </row>
    <row r="138" spans="1:3" ht="12" customHeight="1">
      <c r="A138" s="269" t="s">
        <v>177</v>
      </c>
      <c r="B138" s="8" t="s">
        <v>537</v>
      </c>
      <c r="C138" s="153"/>
    </row>
    <row r="139" spans="1:3" s="65" customFormat="1" ht="12" customHeight="1" thickBot="1">
      <c r="A139" s="278" t="s">
        <v>178</v>
      </c>
      <c r="B139" s="6" t="s">
        <v>538</v>
      </c>
      <c r="C139" s="153"/>
    </row>
    <row r="140" spans="1:11" ht="12" customHeight="1" thickBot="1">
      <c r="A140" s="27" t="s">
        <v>48</v>
      </c>
      <c r="B140" s="88" t="s">
        <v>576</v>
      </c>
      <c r="C140" s="175">
        <f>+C141+C142+C144+C145+C143</f>
        <v>0</v>
      </c>
      <c r="K140" s="152"/>
    </row>
    <row r="141" spans="1:3" ht="12.75">
      <c r="A141" s="269" t="s">
        <v>118</v>
      </c>
      <c r="B141" s="8" t="s">
        <v>356</v>
      </c>
      <c r="C141" s="153"/>
    </row>
    <row r="142" spans="1:3" ht="12" customHeight="1">
      <c r="A142" s="269" t="s">
        <v>119</v>
      </c>
      <c r="B142" s="8" t="s">
        <v>357</v>
      </c>
      <c r="C142" s="153"/>
    </row>
    <row r="143" spans="1:3" s="65" customFormat="1" ht="12" customHeight="1">
      <c r="A143" s="269" t="s">
        <v>270</v>
      </c>
      <c r="B143" s="8" t="s">
        <v>577</v>
      </c>
      <c r="C143" s="153"/>
    </row>
    <row r="144" spans="1:3" s="65" customFormat="1" ht="12" customHeight="1">
      <c r="A144" s="269" t="s">
        <v>271</v>
      </c>
      <c r="B144" s="8" t="s">
        <v>540</v>
      </c>
      <c r="C144" s="153"/>
    </row>
    <row r="145" spans="1:3" s="65" customFormat="1" ht="12" customHeight="1" thickBot="1">
      <c r="A145" s="278" t="s">
        <v>272</v>
      </c>
      <c r="B145" s="6" t="s">
        <v>375</v>
      </c>
      <c r="C145" s="153"/>
    </row>
    <row r="146" spans="1:3" s="65" customFormat="1" ht="12" customHeight="1" thickBot="1">
      <c r="A146" s="27" t="s">
        <v>49</v>
      </c>
      <c r="B146" s="88" t="s">
        <v>541</v>
      </c>
      <c r="C146" s="178">
        <f>+C147+C148+C149+C150+C151</f>
        <v>0</v>
      </c>
    </row>
    <row r="147" spans="1:3" s="65" customFormat="1" ht="12" customHeight="1">
      <c r="A147" s="269" t="s">
        <v>120</v>
      </c>
      <c r="B147" s="8" t="s">
        <v>542</v>
      </c>
      <c r="C147" s="153"/>
    </row>
    <row r="148" spans="1:3" s="65" customFormat="1" ht="12" customHeight="1">
      <c r="A148" s="269" t="s">
        <v>121</v>
      </c>
      <c r="B148" s="8" t="s">
        <v>543</v>
      </c>
      <c r="C148" s="153"/>
    </row>
    <row r="149" spans="1:3" s="65" customFormat="1" ht="12" customHeight="1">
      <c r="A149" s="269" t="s">
        <v>282</v>
      </c>
      <c r="B149" s="8" t="s">
        <v>544</v>
      </c>
      <c r="C149" s="153"/>
    </row>
    <row r="150" spans="1:3" ht="12.75" customHeight="1">
      <c r="A150" s="269" t="s">
        <v>283</v>
      </c>
      <c r="B150" s="8" t="s">
        <v>578</v>
      </c>
      <c r="C150" s="153"/>
    </row>
    <row r="151" spans="1:3" ht="12.75" customHeight="1" thickBot="1">
      <c r="A151" s="278" t="s">
        <v>546</v>
      </c>
      <c r="B151" s="6" t="s">
        <v>547</v>
      </c>
      <c r="C151" s="154"/>
    </row>
    <row r="152" spans="1:3" ht="12.75" customHeight="1" thickBot="1">
      <c r="A152" s="489" t="s">
        <v>50</v>
      </c>
      <c r="B152" s="88" t="s">
        <v>548</v>
      </c>
      <c r="C152" s="178"/>
    </row>
    <row r="153" spans="1:3" ht="12" customHeight="1" thickBot="1">
      <c r="A153" s="489" t="s">
        <v>51</v>
      </c>
      <c r="B153" s="88" t="s">
        <v>549</v>
      </c>
      <c r="C153" s="178"/>
    </row>
    <row r="154" spans="1:3" ht="15" customHeight="1" thickBot="1">
      <c r="A154" s="27" t="s">
        <v>52</v>
      </c>
      <c r="B154" s="88" t="s">
        <v>550</v>
      </c>
      <c r="C154" s="265">
        <f>+C129+C133+C140+C146+C152+C153</f>
        <v>103161000</v>
      </c>
    </row>
    <row r="155" spans="1:3" ht="13.5" thickBot="1">
      <c r="A155" s="280" t="s">
        <v>53</v>
      </c>
      <c r="B155" s="240" t="s">
        <v>551</v>
      </c>
      <c r="C155" s="265">
        <f>+C128+C154</f>
        <v>205422787</v>
      </c>
    </row>
    <row r="156" ht="15" customHeight="1" thickBot="1"/>
    <row r="157" spans="1:3" ht="14.25" customHeight="1" thickBot="1">
      <c r="A157" s="149" t="s">
        <v>579</v>
      </c>
      <c r="B157" s="150"/>
      <c r="C157" s="87"/>
    </row>
    <row r="158" spans="1:3" ht="13.5" thickBot="1">
      <c r="A158" s="149" t="s">
        <v>202</v>
      </c>
      <c r="B158" s="150"/>
      <c r="C158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14. melléklet a 20/2017.(VI.29.) önkormányzati rendelethez</oddHeader>
  </headerFooter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C41" sqref="C4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299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/>
    </row>
    <row r="2" spans="1:3" s="288" customFormat="1" ht="36" customHeight="1">
      <c r="A2" s="245" t="s">
        <v>200</v>
      </c>
      <c r="B2" s="223" t="s">
        <v>498</v>
      </c>
      <c r="C2" s="237" t="s">
        <v>84</v>
      </c>
    </row>
    <row r="3" spans="1:3" s="288" customFormat="1" ht="24.75" thickBot="1">
      <c r="A3" s="281" t="s">
        <v>199</v>
      </c>
      <c r="B3" s="224" t="s">
        <v>383</v>
      </c>
      <c r="C3" s="238" t="s">
        <v>77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10334792</v>
      </c>
    </row>
    <row r="9" spans="1:3" s="239" customFormat="1" ht="12" customHeight="1">
      <c r="A9" s="282" t="s">
        <v>122</v>
      </c>
      <c r="B9" s="9" t="s">
        <v>259</v>
      </c>
      <c r="C9" s="228"/>
    </row>
    <row r="10" spans="1:3" s="239" customFormat="1" ht="12" customHeight="1">
      <c r="A10" s="283" t="s">
        <v>123</v>
      </c>
      <c r="B10" s="7" t="s">
        <v>260</v>
      </c>
      <c r="C10" s="778">
        <f>635000+2304000+444500+4150000+723064</f>
        <v>8256564</v>
      </c>
    </row>
    <row r="11" spans="1:3" s="239" customFormat="1" ht="12" customHeight="1">
      <c r="A11" s="283" t="s">
        <v>124</v>
      </c>
      <c r="B11" s="7" t="s">
        <v>261</v>
      </c>
      <c r="C11" s="184">
        <f>500000</f>
        <v>500000</v>
      </c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/>
    </row>
    <row r="14" spans="1:3" s="239" customFormat="1" ht="12" customHeight="1">
      <c r="A14" s="283" t="s">
        <v>126</v>
      </c>
      <c r="B14" s="7" t="s">
        <v>384</v>
      </c>
      <c r="C14" s="778">
        <f>1283000+195228</f>
        <v>1478228</v>
      </c>
    </row>
    <row r="15" spans="1:3" s="239" customFormat="1" ht="12" customHeight="1">
      <c r="A15" s="283" t="s">
        <v>127</v>
      </c>
      <c r="B15" s="6" t="s">
        <v>385</v>
      </c>
      <c r="C15" s="184"/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>
        <f>100000</f>
        <v>100000</v>
      </c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53"/>
    </row>
    <row r="24" spans="1:3" s="291" customFormat="1" ht="12" customHeight="1" thickBot="1">
      <c r="A24" s="283" t="s">
        <v>131</v>
      </c>
      <c r="B24" s="7" t="s">
        <v>583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584</v>
      </c>
      <c r="C26" s="186">
        <f>+C27+C28+C29</f>
        <v>0</v>
      </c>
    </row>
    <row r="27" spans="1:3" s="291" customFormat="1" ht="12" customHeight="1">
      <c r="A27" s="284" t="s">
        <v>246</v>
      </c>
      <c r="B27" s="285" t="s">
        <v>241</v>
      </c>
      <c r="C27" s="51"/>
    </row>
    <row r="28" spans="1:3" s="291" customFormat="1" ht="12" customHeight="1">
      <c r="A28" s="284" t="s">
        <v>249</v>
      </c>
      <c r="B28" s="285" t="s">
        <v>387</v>
      </c>
      <c r="C28" s="184"/>
    </row>
    <row r="29" spans="1:3" s="291" customFormat="1" ht="12" customHeight="1">
      <c r="A29" s="284" t="s">
        <v>250</v>
      </c>
      <c r="B29" s="286" t="s">
        <v>389</v>
      </c>
      <c r="C29" s="184"/>
    </row>
    <row r="30" spans="1:3" s="291" customFormat="1" ht="12" customHeight="1" thickBot="1">
      <c r="A30" s="283" t="s">
        <v>251</v>
      </c>
      <c r="B30" s="91" t="s">
        <v>585</v>
      </c>
      <c r="C30" s="54"/>
    </row>
    <row r="31" spans="1:3" s="291" customFormat="1" ht="12" customHeight="1" thickBot="1">
      <c r="A31" s="110" t="s">
        <v>47</v>
      </c>
      <c r="B31" s="88" t="s">
        <v>390</v>
      </c>
      <c r="C31" s="186">
        <f>+C32+C33+C34</f>
        <v>0</v>
      </c>
    </row>
    <row r="32" spans="1:3" s="291" customFormat="1" ht="12" customHeight="1">
      <c r="A32" s="284" t="s">
        <v>115</v>
      </c>
      <c r="B32" s="285" t="s">
        <v>273</v>
      </c>
      <c r="C32" s="51"/>
    </row>
    <row r="33" spans="1:3" s="291" customFormat="1" ht="12" customHeight="1">
      <c r="A33" s="284" t="s">
        <v>116</v>
      </c>
      <c r="B33" s="286" t="s">
        <v>274</v>
      </c>
      <c r="C33" s="187"/>
    </row>
    <row r="34" spans="1:3" s="291" customFormat="1" ht="12" customHeight="1" thickBot="1">
      <c r="A34" s="283" t="s">
        <v>117</v>
      </c>
      <c r="B34" s="91" t="s">
        <v>275</v>
      </c>
      <c r="C34" s="54"/>
    </row>
    <row r="35" spans="1:3" s="239" customFormat="1" ht="12" customHeight="1" thickBot="1">
      <c r="A35" s="110" t="s">
        <v>48</v>
      </c>
      <c r="B35" s="88" t="s">
        <v>361</v>
      </c>
      <c r="C35" s="213"/>
    </row>
    <row r="36" spans="1:3" s="239" customFormat="1" ht="12" customHeight="1" thickBot="1">
      <c r="A36" s="110" t="s">
        <v>49</v>
      </c>
      <c r="B36" s="88" t="s">
        <v>391</v>
      </c>
      <c r="C36" s="230"/>
    </row>
    <row r="37" spans="1:3" s="239" customFormat="1" ht="12" customHeight="1" thickBot="1">
      <c r="A37" s="107" t="s">
        <v>50</v>
      </c>
      <c r="B37" s="88" t="s">
        <v>392</v>
      </c>
      <c r="C37" s="231">
        <f>+C8+C20+C25+C26+C31+C35+C36</f>
        <v>10334792</v>
      </c>
    </row>
    <row r="38" spans="1:3" s="239" customFormat="1" ht="12" customHeight="1" thickBot="1">
      <c r="A38" s="138" t="s">
        <v>51</v>
      </c>
      <c r="B38" s="88" t="s">
        <v>393</v>
      </c>
      <c r="C38" s="231">
        <f>+C39+C40+C41</f>
        <v>216584180</v>
      </c>
    </row>
    <row r="39" spans="1:3" s="239" customFormat="1" ht="12" customHeight="1">
      <c r="A39" s="284" t="s">
        <v>394</v>
      </c>
      <c r="B39" s="285" t="s">
        <v>217</v>
      </c>
      <c r="C39" s="51">
        <v>447404</v>
      </c>
    </row>
    <row r="40" spans="1:3" s="239" customFormat="1" ht="12" customHeight="1">
      <c r="A40" s="284" t="s">
        <v>395</v>
      </c>
      <c r="B40" s="286" t="s">
        <v>32</v>
      </c>
      <c r="C40" s="187"/>
    </row>
    <row r="41" spans="1:3" s="291" customFormat="1" ht="12" customHeight="1" thickBot="1">
      <c r="A41" s="283" t="s">
        <v>396</v>
      </c>
      <c r="B41" s="91" t="s">
        <v>397</v>
      </c>
      <c r="C41" s="883">
        <f>215713146+55000+992592-623962</f>
        <v>216136776</v>
      </c>
    </row>
    <row r="42" spans="1:3" s="291" customFormat="1" ht="15" customHeight="1" thickBot="1">
      <c r="A42" s="138" t="s">
        <v>52</v>
      </c>
      <c r="B42" s="139" t="s">
        <v>398</v>
      </c>
      <c r="C42" s="234">
        <f>+C37+C38</f>
        <v>226918972</v>
      </c>
    </row>
    <row r="43" spans="1:3" s="291" customFormat="1" ht="15" customHeight="1">
      <c r="A43" s="140"/>
      <c r="B43" s="141"/>
      <c r="C43" s="232"/>
    </row>
    <row r="44" spans="1:3" ht="13.5" thickBot="1">
      <c r="A44" s="142"/>
      <c r="B44" s="143"/>
      <c r="C44" s="233"/>
    </row>
    <row r="45" spans="1:3" s="290" customFormat="1" ht="16.5" customHeight="1" thickBot="1">
      <c r="A45" s="144"/>
      <c r="B45" s="145" t="s">
        <v>81</v>
      </c>
      <c r="C45" s="234"/>
    </row>
    <row r="46" spans="1:3" s="292" customFormat="1" ht="12" customHeight="1" thickBot="1">
      <c r="A46" s="110" t="s">
        <v>43</v>
      </c>
      <c r="B46" s="88" t="s">
        <v>399</v>
      </c>
      <c r="C46" s="186">
        <f>SUM(C47:C51)</f>
        <v>225017972</v>
      </c>
    </row>
    <row r="47" spans="1:3" ht="12" customHeight="1">
      <c r="A47" s="283" t="s">
        <v>122</v>
      </c>
      <c r="B47" s="8" t="s">
        <v>73</v>
      </c>
      <c r="C47" s="777">
        <f>525000+118633000+54000-24000+813600+45000-250000+250000+50000</f>
        <v>120096600</v>
      </c>
    </row>
    <row r="48" spans="1:3" ht="12" customHeight="1">
      <c r="A48" s="283" t="s">
        <v>123</v>
      </c>
      <c r="B48" s="7" t="s">
        <v>184</v>
      </c>
      <c r="C48" s="778">
        <f>134000+28092500+97000-10800+178992+10000+21830</f>
        <v>28523522</v>
      </c>
    </row>
    <row r="49" spans="1:3" ht="12" customHeight="1">
      <c r="A49" s="283" t="s">
        <v>124</v>
      </c>
      <c r="B49" s="7" t="s">
        <v>153</v>
      </c>
      <c r="C49" s="778">
        <f>4419000+490000+327500+46477000+323850-171000+59000+5000-5000+13500+209000</f>
        <v>52147850</v>
      </c>
    </row>
    <row r="50" spans="1:3" ht="12" customHeight="1">
      <c r="A50" s="283" t="s">
        <v>125</v>
      </c>
      <c r="B50" s="7" t="s">
        <v>185</v>
      </c>
      <c r="C50" s="53">
        <f>24250000</f>
        <v>24250000</v>
      </c>
    </row>
    <row r="51" spans="1:3" ht="12" customHeight="1" thickBot="1">
      <c r="A51" s="283" t="s">
        <v>160</v>
      </c>
      <c r="B51" s="7" t="s">
        <v>186</v>
      </c>
      <c r="C51" s="53"/>
    </row>
    <row r="52" spans="1:3" ht="12" customHeight="1" thickBot="1">
      <c r="A52" s="110" t="s">
        <v>44</v>
      </c>
      <c r="B52" s="88" t="s">
        <v>400</v>
      </c>
      <c r="C52" s="186">
        <f>SUM(C53:C55)</f>
        <v>1901000</v>
      </c>
    </row>
    <row r="53" spans="1:3" s="292" customFormat="1" ht="12" customHeight="1">
      <c r="A53" s="283" t="s">
        <v>128</v>
      </c>
      <c r="B53" s="8" t="s">
        <v>208</v>
      </c>
      <c r="C53" s="51">
        <f>1901000</f>
        <v>1901000</v>
      </c>
    </row>
    <row r="54" spans="1:3" ht="12" customHeight="1">
      <c r="A54" s="283" t="s">
        <v>129</v>
      </c>
      <c r="B54" s="7" t="s">
        <v>188</v>
      </c>
      <c r="C54" s="53"/>
    </row>
    <row r="55" spans="1:3" ht="12" customHeight="1">
      <c r="A55" s="283" t="s">
        <v>130</v>
      </c>
      <c r="B55" s="7" t="s">
        <v>82</v>
      </c>
      <c r="C55" s="53"/>
    </row>
    <row r="56" spans="1:3" ht="12" customHeight="1" thickBot="1">
      <c r="A56" s="283" t="s">
        <v>131</v>
      </c>
      <c r="B56" s="7" t="s">
        <v>586</v>
      </c>
      <c r="C56" s="53"/>
    </row>
    <row r="57" spans="1:3" ht="12" customHeight="1" thickBot="1">
      <c r="A57" s="110" t="s">
        <v>45</v>
      </c>
      <c r="B57" s="88" t="s">
        <v>39</v>
      </c>
      <c r="C57" s="213"/>
    </row>
    <row r="58" spans="1:3" ht="15" customHeight="1" thickBot="1">
      <c r="A58" s="110" t="s">
        <v>46</v>
      </c>
      <c r="B58" s="146" t="s">
        <v>587</v>
      </c>
      <c r="C58" s="235">
        <f>+C46+C52+C57</f>
        <v>226918972</v>
      </c>
    </row>
    <row r="59" ht="13.5" thickBot="1">
      <c r="C59" s="300"/>
    </row>
    <row r="60" spans="1:3" ht="15" customHeight="1" thickBot="1">
      <c r="A60" s="149" t="s">
        <v>579</v>
      </c>
      <c r="B60" s="150"/>
      <c r="C60" s="87">
        <v>44</v>
      </c>
    </row>
    <row r="61" spans="1:3" ht="14.25" customHeight="1" thickBot="1">
      <c r="A61" s="149" t="s">
        <v>202</v>
      </c>
      <c r="B61" s="150"/>
      <c r="C61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15. melléklet a  20/2017.(VI.29.)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B1">
      <selection activeCell="G59" sqref="G5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/>
    </row>
    <row r="2" spans="1:3" s="288" customFormat="1" ht="35.25" customHeight="1">
      <c r="A2" s="245" t="s">
        <v>200</v>
      </c>
      <c r="B2" s="223" t="s">
        <v>581</v>
      </c>
      <c r="C2" s="237" t="s">
        <v>84</v>
      </c>
    </row>
    <row r="3" spans="1:3" s="288" customFormat="1" ht="24.75" thickBot="1">
      <c r="A3" s="281" t="s">
        <v>199</v>
      </c>
      <c r="B3" s="224" t="s">
        <v>401</v>
      </c>
      <c r="C3" s="238" t="s">
        <v>84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2748500</v>
      </c>
    </row>
    <row r="9" spans="1:3" s="239" customFormat="1" ht="12" customHeight="1">
      <c r="A9" s="282" t="s">
        <v>122</v>
      </c>
      <c r="B9" s="9" t="s">
        <v>259</v>
      </c>
      <c r="C9" s="228"/>
    </row>
    <row r="10" spans="1:3" s="239" customFormat="1" ht="12" customHeight="1">
      <c r="A10" s="283" t="s">
        <v>123</v>
      </c>
      <c r="B10" s="7" t="s">
        <v>260</v>
      </c>
      <c r="C10" s="184">
        <f>1814000+350000</f>
        <v>2164000</v>
      </c>
    </row>
    <row r="11" spans="1:3" s="239" customFormat="1" ht="12" customHeight="1">
      <c r="A11" s="283" t="s">
        <v>124</v>
      </c>
      <c r="B11" s="7" t="s">
        <v>261</v>
      </c>
      <c r="C11" s="184"/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/>
    </row>
    <row r="14" spans="1:3" s="239" customFormat="1" ht="12" customHeight="1">
      <c r="A14" s="283" t="s">
        <v>126</v>
      </c>
      <c r="B14" s="7" t="s">
        <v>384</v>
      </c>
      <c r="C14" s="184">
        <f>490000+94500</f>
        <v>584500</v>
      </c>
    </row>
    <row r="15" spans="1:3" s="239" customFormat="1" ht="12" customHeight="1">
      <c r="A15" s="283" t="s">
        <v>127</v>
      </c>
      <c r="B15" s="6" t="s">
        <v>385</v>
      </c>
      <c r="C15" s="184"/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/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497"/>
    </row>
    <row r="24" spans="1:3" s="291" customFormat="1" ht="12" customHeight="1" thickBot="1">
      <c r="A24" s="283" t="s">
        <v>131</v>
      </c>
      <c r="B24" s="7" t="s">
        <v>583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584</v>
      </c>
      <c r="C26" s="186">
        <f>+C27+C28+C29</f>
        <v>0</v>
      </c>
    </row>
    <row r="27" spans="1:3" s="291" customFormat="1" ht="12" customHeight="1">
      <c r="A27" s="284" t="s">
        <v>246</v>
      </c>
      <c r="B27" s="285" t="s">
        <v>241</v>
      </c>
      <c r="C27" s="51"/>
    </row>
    <row r="28" spans="1:3" s="291" customFormat="1" ht="12" customHeight="1">
      <c r="A28" s="284" t="s">
        <v>249</v>
      </c>
      <c r="B28" s="285" t="s">
        <v>387</v>
      </c>
      <c r="C28" s="184"/>
    </row>
    <row r="29" spans="1:3" s="291" customFormat="1" ht="12" customHeight="1">
      <c r="A29" s="284" t="s">
        <v>250</v>
      </c>
      <c r="B29" s="286" t="s">
        <v>389</v>
      </c>
      <c r="C29" s="184"/>
    </row>
    <row r="30" spans="1:3" s="291" customFormat="1" ht="12" customHeight="1" thickBot="1">
      <c r="A30" s="283" t="s">
        <v>251</v>
      </c>
      <c r="B30" s="91" t="s">
        <v>585</v>
      </c>
      <c r="C30" s="54"/>
    </row>
    <row r="31" spans="1:3" s="291" customFormat="1" ht="12" customHeight="1" thickBot="1">
      <c r="A31" s="110" t="s">
        <v>47</v>
      </c>
      <c r="B31" s="88" t="s">
        <v>390</v>
      </c>
      <c r="C31" s="186">
        <f>+C32+C33+C34</f>
        <v>0</v>
      </c>
    </row>
    <row r="32" spans="1:3" s="291" customFormat="1" ht="12" customHeight="1">
      <c r="A32" s="284" t="s">
        <v>115</v>
      </c>
      <c r="B32" s="285" t="s">
        <v>273</v>
      </c>
      <c r="C32" s="51"/>
    </row>
    <row r="33" spans="1:3" s="291" customFormat="1" ht="12" customHeight="1">
      <c r="A33" s="284" t="s">
        <v>116</v>
      </c>
      <c r="B33" s="286" t="s">
        <v>274</v>
      </c>
      <c r="C33" s="187"/>
    </row>
    <row r="34" spans="1:3" s="291" customFormat="1" ht="12" customHeight="1" thickBot="1">
      <c r="A34" s="283" t="s">
        <v>117</v>
      </c>
      <c r="B34" s="91" t="s">
        <v>275</v>
      </c>
      <c r="C34" s="54"/>
    </row>
    <row r="35" spans="1:3" s="239" customFormat="1" ht="12" customHeight="1" thickBot="1">
      <c r="A35" s="110" t="s">
        <v>48</v>
      </c>
      <c r="B35" s="88" t="s">
        <v>361</v>
      </c>
      <c r="C35" s="213"/>
    </row>
    <row r="36" spans="1:3" s="239" customFormat="1" ht="12" customHeight="1" thickBot="1">
      <c r="A36" s="110" t="s">
        <v>49</v>
      </c>
      <c r="B36" s="88" t="s">
        <v>391</v>
      </c>
      <c r="C36" s="230"/>
    </row>
    <row r="37" spans="1:3" s="239" customFormat="1" ht="12" customHeight="1" thickBot="1">
      <c r="A37" s="107" t="s">
        <v>50</v>
      </c>
      <c r="B37" s="88" t="s">
        <v>392</v>
      </c>
      <c r="C37" s="231">
        <f>+C8+C20+C25+C26+C31+C35+C36</f>
        <v>2748500</v>
      </c>
    </row>
    <row r="38" spans="1:3" s="239" customFormat="1" ht="12" customHeight="1" thickBot="1">
      <c r="A38" s="138" t="s">
        <v>51</v>
      </c>
      <c r="B38" s="88" t="s">
        <v>393</v>
      </c>
      <c r="C38" s="231">
        <f>+C39+C40+C41</f>
        <v>23511850</v>
      </c>
    </row>
    <row r="39" spans="1:3" s="239" customFormat="1" ht="12" customHeight="1">
      <c r="A39" s="284" t="s">
        <v>394</v>
      </c>
      <c r="B39" s="285" t="s">
        <v>217</v>
      </c>
      <c r="C39" s="51"/>
    </row>
    <row r="40" spans="1:3" s="239" customFormat="1" ht="12" customHeight="1">
      <c r="A40" s="284" t="s">
        <v>395</v>
      </c>
      <c r="B40" s="286" t="s">
        <v>32</v>
      </c>
      <c r="C40" s="187"/>
    </row>
    <row r="41" spans="1:3" s="291" customFormat="1" ht="12" customHeight="1" thickBot="1">
      <c r="A41" s="283" t="s">
        <v>396</v>
      </c>
      <c r="B41" s="91" t="s">
        <v>397</v>
      </c>
      <c r="C41" s="54">
        <f>23452850+59000</f>
        <v>23511850</v>
      </c>
    </row>
    <row r="42" spans="1:3" s="291" customFormat="1" ht="15" customHeight="1" thickBot="1">
      <c r="A42" s="138" t="s">
        <v>52</v>
      </c>
      <c r="B42" s="139" t="s">
        <v>398</v>
      </c>
      <c r="C42" s="234">
        <f>+C37+C38</f>
        <v>26260350</v>
      </c>
    </row>
    <row r="43" spans="1:3" s="291" customFormat="1" ht="15" customHeight="1">
      <c r="A43" s="140"/>
      <c r="B43" s="141"/>
      <c r="C43" s="232"/>
    </row>
    <row r="44" spans="1:3" ht="13.5" thickBot="1">
      <c r="A44" s="142"/>
      <c r="B44" s="143"/>
      <c r="C44" s="233"/>
    </row>
    <row r="45" spans="1:3" s="290" customFormat="1" ht="16.5" customHeight="1" thickBot="1">
      <c r="A45" s="144"/>
      <c r="B45" s="145" t="s">
        <v>81</v>
      </c>
      <c r="C45" s="234"/>
    </row>
    <row r="46" spans="1:3" s="292" customFormat="1" ht="12" customHeight="1" thickBot="1">
      <c r="A46" s="110" t="s">
        <v>43</v>
      </c>
      <c r="B46" s="88" t="s">
        <v>399</v>
      </c>
      <c r="C46" s="186">
        <f>SUM(C47:C51)</f>
        <v>26554680</v>
      </c>
    </row>
    <row r="47" spans="1:3" ht="12" customHeight="1">
      <c r="A47" s="283" t="s">
        <v>122</v>
      </c>
      <c r="B47" s="8" t="s">
        <v>73</v>
      </c>
      <c r="C47" s="777">
        <f>525000+54000+50000</f>
        <v>629000</v>
      </c>
    </row>
    <row r="48" spans="1:3" ht="12" customHeight="1">
      <c r="A48" s="283" t="s">
        <v>123</v>
      </c>
      <c r="B48" s="7" t="s">
        <v>184</v>
      </c>
      <c r="C48" s="778">
        <f>134000+97000+21830</f>
        <v>252830</v>
      </c>
    </row>
    <row r="49" spans="1:3" ht="12" customHeight="1">
      <c r="A49" s="283" t="s">
        <v>124</v>
      </c>
      <c r="B49" s="7" t="s">
        <v>153</v>
      </c>
      <c r="C49" s="778">
        <f>490000+327500+323850+59000+13500+209000</f>
        <v>1422850</v>
      </c>
    </row>
    <row r="50" spans="1:3" ht="12" customHeight="1">
      <c r="A50" s="283" t="s">
        <v>125</v>
      </c>
      <c r="B50" s="7" t="s">
        <v>185</v>
      </c>
      <c r="C50" s="53">
        <v>24250000</v>
      </c>
    </row>
    <row r="51" spans="1:3" ht="12" customHeight="1" thickBot="1">
      <c r="A51" s="283" t="s">
        <v>160</v>
      </c>
      <c r="B51" s="7" t="s">
        <v>186</v>
      </c>
      <c r="C51" s="53"/>
    </row>
    <row r="52" spans="1:3" ht="12" customHeight="1" thickBot="1">
      <c r="A52" s="110" t="s">
        <v>44</v>
      </c>
      <c r="B52" s="88" t="s">
        <v>400</v>
      </c>
      <c r="C52" s="186">
        <f>SUM(C53:C55)</f>
        <v>0</v>
      </c>
    </row>
    <row r="53" spans="1:3" s="292" customFormat="1" ht="12" customHeight="1">
      <c r="A53" s="283" t="s">
        <v>128</v>
      </c>
      <c r="B53" s="8" t="s">
        <v>208</v>
      </c>
      <c r="C53" s="51"/>
    </row>
    <row r="54" spans="1:3" ht="12" customHeight="1">
      <c r="A54" s="283" t="s">
        <v>129</v>
      </c>
      <c r="B54" s="7" t="s">
        <v>188</v>
      </c>
      <c r="C54" s="53"/>
    </row>
    <row r="55" spans="1:3" ht="12" customHeight="1">
      <c r="A55" s="283" t="s">
        <v>130</v>
      </c>
      <c r="B55" s="7" t="s">
        <v>82</v>
      </c>
      <c r="C55" s="53"/>
    </row>
    <row r="56" spans="1:3" ht="12" customHeight="1" thickBot="1">
      <c r="A56" s="283" t="s">
        <v>131</v>
      </c>
      <c r="B56" s="7" t="s">
        <v>586</v>
      </c>
      <c r="C56" s="53"/>
    </row>
    <row r="57" spans="1:3" ht="15" customHeight="1" thickBot="1">
      <c r="A57" s="110" t="s">
        <v>45</v>
      </c>
      <c r="B57" s="88" t="s">
        <v>39</v>
      </c>
      <c r="C57" s="213"/>
    </row>
    <row r="58" spans="1:3" ht="13.5" thickBot="1">
      <c r="A58" s="110" t="s">
        <v>46</v>
      </c>
      <c r="B58" s="146" t="s">
        <v>587</v>
      </c>
      <c r="C58" s="235">
        <f>+C46+C52+C57</f>
        <v>26554680</v>
      </c>
    </row>
    <row r="59" ht="15" customHeight="1" thickBot="1">
      <c r="C59" s="236"/>
    </row>
    <row r="60" spans="1:3" ht="14.25" customHeight="1" thickBot="1">
      <c r="A60" s="149" t="s">
        <v>579</v>
      </c>
      <c r="B60" s="150"/>
      <c r="C60" s="87">
        <v>0</v>
      </c>
    </row>
    <row r="61" spans="1:3" ht="13.5" thickBot="1">
      <c r="A61" s="149" t="s">
        <v>202</v>
      </c>
      <c r="B61" s="150"/>
      <c r="C61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20/2017.(VI.29.)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view="pageLayout" zoomScaleNormal="130" workbookViewId="0" topLeftCell="B1">
      <selection activeCell="G16" sqref="G16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/>
    </row>
    <row r="2" spans="1:3" s="288" customFormat="1" ht="33.75" customHeight="1">
      <c r="A2" s="245" t="s">
        <v>200</v>
      </c>
      <c r="B2" s="223" t="s">
        <v>581</v>
      </c>
      <c r="C2" s="237" t="s">
        <v>84</v>
      </c>
    </row>
    <row r="3" spans="1:3" s="288" customFormat="1" ht="24.75" thickBot="1">
      <c r="A3" s="281" t="s">
        <v>199</v>
      </c>
      <c r="B3" s="224" t="s">
        <v>588</v>
      </c>
      <c r="C3" s="238" t="s">
        <v>415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6951292</v>
      </c>
    </row>
    <row r="9" spans="1:3" s="239" customFormat="1" ht="12" customHeight="1">
      <c r="A9" s="282" t="s">
        <v>122</v>
      </c>
      <c r="B9" s="9" t="s">
        <v>259</v>
      </c>
      <c r="C9" s="228"/>
    </row>
    <row r="10" spans="1:3" s="239" customFormat="1" ht="12" customHeight="1">
      <c r="A10" s="283" t="s">
        <v>123</v>
      </c>
      <c r="B10" s="7" t="s">
        <v>260</v>
      </c>
      <c r="C10" s="778">
        <f>4150000+723064</f>
        <v>4873064</v>
      </c>
    </row>
    <row r="11" spans="1:3" s="239" customFormat="1" ht="12" customHeight="1">
      <c r="A11" s="283" t="s">
        <v>124</v>
      </c>
      <c r="B11" s="7" t="s">
        <v>261</v>
      </c>
      <c r="C11" s="184">
        <v>500000</v>
      </c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/>
    </row>
    <row r="14" spans="1:3" s="239" customFormat="1" ht="12" customHeight="1">
      <c r="A14" s="283" t="s">
        <v>126</v>
      </c>
      <c r="B14" s="7" t="s">
        <v>384</v>
      </c>
      <c r="C14" s="778">
        <f>1283000+195228</f>
        <v>1478228</v>
      </c>
    </row>
    <row r="15" spans="1:3" s="239" customFormat="1" ht="12" customHeight="1">
      <c r="A15" s="283" t="s">
        <v>127</v>
      </c>
      <c r="B15" s="6" t="s">
        <v>385</v>
      </c>
      <c r="C15" s="184"/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>
        <v>100000</v>
      </c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184"/>
    </row>
    <row r="24" spans="1:3" s="291" customFormat="1" ht="12" customHeight="1" thickBot="1">
      <c r="A24" s="283" t="s">
        <v>131</v>
      </c>
      <c r="B24" s="7" t="s">
        <v>583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584</v>
      </c>
      <c r="C26" s="186">
        <f>+C27+C28+C29</f>
        <v>0</v>
      </c>
    </row>
    <row r="27" spans="1:3" s="291" customFormat="1" ht="12" customHeight="1">
      <c r="A27" s="284" t="s">
        <v>246</v>
      </c>
      <c r="B27" s="285" t="s">
        <v>241</v>
      </c>
      <c r="C27" s="51"/>
    </row>
    <row r="28" spans="1:3" s="291" customFormat="1" ht="12" customHeight="1">
      <c r="A28" s="284" t="s">
        <v>249</v>
      </c>
      <c r="B28" s="285" t="s">
        <v>387</v>
      </c>
      <c r="C28" s="184"/>
    </row>
    <row r="29" spans="1:3" s="291" customFormat="1" ht="12" customHeight="1">
      <c r="A29" s="284" t="s">
        <v>250</v>
      </c>
      <c r="B29" s="286" t="s">
        <v>389</v>
      </c>
      <c r="C29" s="184"/>
    </row>
    <row r="30" spans="1:3" s="291" customFormat="1" ht="12" customHeight="1" thickBot="1">
      <c r="A30" s="283" t="s">
        <v>251</v>
      </c>
      <c r="B30" s="91" t="s">
        <v>585</v>
      </c>
      <c r="C30" s="54"/>
    </row>
    <row r="31" spans="1:3" s="291" customFormat="1" ht="12" customHeight="1" thickBot="1">
      <c r="A31" s="110" t="s">
        <v>47</v>
      </c>
      <c r="B31" s="88" t="s">
        <v>390</v>
      </c>
      <c r="C31" s="186">
        <f>+C32+C33+C34</f>
        <v>0</v>
      </c>
    </row>
    <row r="32" spans="1:3" s="291" customFormat="1" ht="12" customHeight="1">
      <c r="A32" s="284" t="s">
        <v>115</v>
      </c>
      <c r="B32" s="285" t="s">
        <v>273</v>
      </c>
      <c r="C32" s="51"/>
    </row>
    <row r="33" spans="1:3" s="291" customFormat="1" ht="12" customHeight="1">
      <c r="A33" s="284" t="s">
        <v>116</v>
      </c>
      <c r="B33" s="286" t="s">
        <v>274</v>
      </c>
      <c r="C33" s="187"/>
    </row>
    <row r="34" spans="1:3" s="291" customFormat="1" ht="12" customHeight="1" thickBot="1">
      <c r="A34" s="283" t="s">
        <v>117</v>
      </c>
      <c r="B34" s="91" t="s">
        <v>275</v>
      </c>
      <c r="C34" s="54"/>
    </row>
    <row r="35" spans="1:3" s="239" customFormat="1" ht="12" customHeight="1" thickBot="1">
      <c r="A35" s="110" t="s">
        <v>48</v>
      </c>
      <c r="B35" s="88" t="s">
        <v>361</v>
      </c>
      <c r="C35" s="213"/>
    </row>
    <row r="36" spans="1:3" s="239" customFormat="1" ht="12" customHeight="1" thickBot="1">
      <c r="A36" s="110" t="s">
        <v>49</v>
      </c>
      <c r="B36" s="88" t="s">
        <v>391</v>
      </c>
      <c r="C36" s="230"/>
    </row>
    <row r="37" spans="1:3" s="239" customFormat="1" ht="12" customHeight="1" thickBot="1">
      <c r="A37" s="107" t="s">
        <v>50</v>
      </c>
      <c r="B37" s="88" t="s">
        <v>392</v>
      </c>
      <c r="C37" s="231">
        <f>+C8+C20+C25+C26+C31+C35+C36</f>
        <v>6951292</v>
      </c>
    </row>
    <row r="38" spans="1:3" s="239" customFormat="1" ht="12" customHeight="1" thickBot="1">
      <c r="A38" s="138" t="s">
        <v>51</v>
      </c>
      <c r="B38" s="88" t="s">
        <v>393</v>
      </c>
      <c r="C38" s="231">
        <f>+C39+C40+C41</f>
        <v>189912292</v>
      </c>
    </row>
    <row r="39" spans="1:4" s="239" customFormat="1" ht="12" customHeight="1">
      <c r="A39" s="284" t="s">
        <v>394</v>
      </c>
      <c r="B39" s="285" t="s">
        <v>217</v>
      </c>
      <c r="C39" s="512">
        <v>447404</v>
      </c>
      <c r="D39" s="519"/>
    </row>
    <row r="40" spans="1:3" s="239" customFormat="1" ht="12" customHeight="1">
      <c r="A40" s="284" t="s">
        <v>395</v>
      </c>
      <c r="B40" s="286" t="s">
        <v>32</v>
      </c>
      <c r="C40" s="187"/>
    </row>
    <row r="41" spans="1:3" s="291" customFormat="1" ht="12" customHeight="1" thickBot="1">
      <c r="A41" s="283" t="s">
        <v>396</v>
      </c>
      <c r="B41" s="91" t="s">
        <v>397</v>
      </c>
      <c r="C41" s="54">
        <f>188623096-24000-10800-171000+55000+992592</f>
        <v>189464888</v>
      </c>
    </row>
    <row r="42" spans="1:3" s="291" customFormat="1" ht="15" customHeight="1" thickBot="1">
      <c r="A42" s="138" t="s">
        <v>52</v>
      </c>
      <c r="B42" s="139" t="s">
        <v>398</v>
      </c>
      <c r="C42" s="234">
        <f>+C37+C38</f>
        <v>196863584</v>
      </c>
    </row>
    <row r="43" spans="1:3" s="291" customFormat="1" ht="15" customHeight="1">
      <c r="A43" s="140"/>
      <c r="B43" s="141"/>
      <c r="C43" s="232"/>
    </row>
    <row r="44" spans="1:3" ht="13.5" thickBot="1">
      <c r="A44" s="142"/>
      <c r="B44" s="143"/>
      <c r="C44" s="233"/>
    </row>
    <row r="45" spans="1:3" s="290" customFormat="1" ht="16.5" customHeight="1" thickBot="1">
      <c r="A45" s="144"/>
      <c r="B45" s="145" t="s">
        <v>81</v>
      </c>
      <c r="C45" s="234"/>
    </row>
    <row r="46" spans="1:3" s="292" customFormat="1" ht="12" customHeight="1" thickBot="1">
      <c r="A46" s="110" t="s">
        <v>43</v>
      </c>
      <c r="B46" s="88" t="s">
        <v>399</v>
      </c>
      <c r="C46" s="186">
        <f>SUM(C47:C51)</f>
        <v>194044292</v>
      </c>
    </row>
    <row r="47" spans="1:3" ht="12" customHeight="1">
      <c r="A47" s="283" t="s">
        <v>122</v>
      </c>
      <c r="B47" s="8" t="s">
        <v>73</v>
      </c>
      <c r="C47" s="51">
        <f>118633000-24000+813600+45000+250000-250000</f>
        <v>119467600</v>
      </c>
    </row>
    <row r="48" spans="1:3" ht="12" customHeight="1">
      <c r="A48" s="283" t="s">
        <v>123</v>
      </c>
      <c r="B48" s="7" t="s">
        <v>184</v>
      </c>
      <c r="C48" s="53">
        <f>28092500-10800+178992+10000</f>
        <v>28270692</v>
      </c>
    </row>
    <row r="49" spans="1:3" ht="12" customHeight="1">
      <c r="A49" s="283" t="s">
        <v>124</v>
      </c>
      <c r="B49" s="7" t="s">
        <v>153</v>
      </c>
      <c r="C49" s="53">
        <f>46477000-171000+5000-5000</f>
        <v>46306000</v>
      </c>
    </row>
    <row r="50" spans="1:3" ht="12" customHeight="1">
      <c r="A50" s="283" t="s">
        <v>125</v>
      </c>
      <c r="B50" s="7" t="s">
        <v>185</v>
      </c>
      <c r="C50" s="53"/>
    </row>
    <row r="51" spans="1:3" ht="12" customHeight="1" thickBot="1">
      <c r="A51" s="283" t="s">
        <v>160</v>
      </c>
      <c r="B51" s="7" t="s">
        <v>186</v>
      </c>
      <c r="C51" s="53"/>
    </row>
    <row r="52" spans="1:3" ht="12" customHeight="1" thickBot="1">
      <c r="A52" s="110" t="s">
        <v>44</v>
      </c>
      <c r="B52" s="88" t="s">
        <v>400</v>
      </c>
      <c r="C52" s="186">
        <f>SUM(C53:C55)</f>
        <v>1901000</v>
      </c>
    </row>
    <row r="53" spans="1:3" s="292" customFormat="1" ht="12" customHeight="1">
      <c r="A53" s="283" t="s">
        <v>128</v>
      </c>
      <c r="B53" s="8" t="s">
        <v>208</v>
      </c>
      <c r="C53" s="512">
        <v>1901000</v>
      </c>
    </row>
    <row r="54" spans="1:3" ht="12" customHeight="1">
      <c r="A54" s="283" t="s">
        <v>129</v>
      </c>
      <c r="B54" s="7" t="s">
        <v>188</v>
      </c>
      <c r="C54" s="53"/>
    </row>
    <row r="55" spans="1:3" ht="12" customHeight="1">
      <c r="A55" s="283" t="s">
        <v>130</v>
      </c>
      <c r="B55" s="7" t="s">
        <v>82</v>
      </c>
      <c r="C55" s="53"/>
    </row>
    <row r="56" spans="1:3" ht="12" customHeight="1" thickBot="1">
      <c r="A56" s="283" t="s">
        <v>131</v>
      </c>
      <c r="B56" s="7" t="s">
        <v>586</v>
      </c>
      <c r="C56" s="53"/>
    </row>
    <row r="57" spans="1:3" ht="15" customHeight="1" thickBot="1">
      <c r="A57" s="110" t="s">
        <v>45</v>
      </c>
      <c r="B57" s="88" t="s">
        <v>39</v>
      </c>
      <c r="C57" s="213"/>
    </row>
    <row r="58" spans="1:3" ht="13.5" thickBot="1">
      <c r="A58" s="110" t="s">
        <v>46</v>
      </c>
      <c r="B58" s="146" t="s">
        <v>587</v>
      </c>
      <c r="C58" s="235">
        <f>+C46+C52+C57</f>
        <v>195945292</v>
      </c>
    </row>
    <row r="59" ht="15" customHeight="1" thickBot="1">
      <c r="C59" s="236"/>
    </row>
    <row r="60" spans="1:3" ht="14.25" customHeight="1" thickBot="1">
      <c r="A60" s="149" t="s">
        <v>579</v>
      </c>
      <c r="B60" s="150"/>
      <c r="C60" s="87">
        <v>44</v>
      </c>
    </row>
    <row r="61" spans="1:3" ht="13.5" thickBot="1">
      <c r="A61" s="149" t="s">
        <v>202</v>
      </c>
      <c r="B61" s="150"/>
      <c r="C61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17. melléklet a 20/2017.(VI.29.)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48" sqref="C48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 melléklet a ……/",LEFT(#REF!,4),". (….) önkormányzati rendelethez")</f>
        <v>#REF!</v>
      </c>
    </row>
    <row r="2" spans="1:3" s="288" customFormat="1" ht="33" customHeight="1">
      <c r="A2" s="245" t="s">
        <v>200</v>
      </c>
      <c r="B2" s="223" t="s">
        <v>452</v>
      </c>
      <c r="C2" s="845" t="s">
        <v>85</v>
      </c>
    </row>
    <row r="3" spans="1:3" s="288" customFormat="1" ht="24.75" thickBot="1">
      <c r="A3" s="281" t="s">
        <v>199</v>
      </c>
      <c r="B3" s="224" t="s">
        <v>383</v>
      </c>
      <c r="C3" s="846" t="s">
        <v>77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11960854</v>
      </c>
    </row>
    <row r="9" spans="1:3" s="239" customFormat="1" ht="12" customHeight="1">
      <c r="A9" s="282" t="s">
        <v>122</v>
      </c>
      <c r="B9" s="9" t="s">
        <v>259</v>
      </c>
      <c r="C9" s="852"/>
    </row>
    <row r="10" spans="1:3" s="239" customFormat="1" ht="12" customHeight="1">
      <c r="A10" s="283" t="s">
        <v>123</v>
      </c>
      <c r="B10" s="7" t="s">
        <v>260</v>
      </c>
      <c r="C10" s="853">
        <v>600000</v>
      </c>
    </row>
    <row r="11" spans="1:3" s="239" customFormat="1" ht="12" customHeight="1">
      <c r="A11" s="283" t="s">
        <v>124</v>
      </c>
      <c r="B11" s="7" t="s">
        <v>261</v>
      </c>
      <c r="C11" s="853">
        <v>4100000</v>
      </c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>
        <v>1409334</v>
      </c>
    </row>
    <row r="14" spans="1:3" s="239" customFormat="1" ht="12" customHeight="1">
      <c r="A14" s="283" t="s">
        <v>126</v>
      </c>
      <c r="B14" s="7" t="s">
        <v>384</v>
      </c>
      <c r="C14" s="853">
        <v>1649520</v>
      </c>
    </row>
    <row r="15" spans="1:3" s="239" customFormat="1" ht="12" customHeight="1">
      <c r="A15" s="283" t="s">
        <v>127</v>
      </c>
      <c r="B15" s="6" t="s">
        <v>385</v>
      </c>
      <c r="C15" s="853">
        <v>4192000</v>
      </c>
    </row>
    <row r="16" spans="1:3" s="239" customFormat="1" ht="12" customHeight="1">
      <c r="A16" s="283" t="s">
        <v>137</v>
      </c>
      <c r="B16" s="7" t="s">
        <v>266</v>
      </c>
      <c r="C16" s="854">
        <v>10000</v>
      </c>
    </row>
    <row r="17" spans="1:3" s="291" customFormat="1" ht="12" customHeight="1">
      <c r="A17" s="283" t="s">
        <v>138</v>
      </c>
      <c r="B17" s="7" t="s">
        <v>267</v>
      </c>
      <c r="C17" s="853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/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/>
    </row>
    <row r="24" spans="1:3" s="291" customFormat="1" ht="12" customHeight="1" thickBot="1">
      <c r="A24" s="283" t="s">
        <v>131</v>
      </c>
      <c r="B24" s="7" t="s">
        <v>593</v>
      </c>
      <c r="C24" s="853"/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/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11960854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277835888</v>
      </c>
    </row>
    <row r="38" spans="1:3" s="239" customFormat="1" ht="12" customHeight="1">
      <c r="A38" s="284" t="s">
        <v>394</v>
      </c>
      <c r="B38" s="285" t="s">
        <v>217</v>
      </c>
      <c r="C38" s="857">
        <v>291569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275320023+18952+840344+578000+157000+30000+600000</f>
        <v>277544319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289796742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287181667</v>
      </c>
    </row>
    <row r="46" spans="1:3" ht="12" customHeight="1">
      <c r="A46" s="283" t="s">
        <v>122</v>
      </c>
      <c r="B46" s="8" t="s">
        <v>73</v>
      </c>
      <c r="C46" s="857">
        <f>175696049+14952+155200</f>
        <v>175866201</v>
      </c>
    </row>
    <row r="47" spans="1:3" ht="12" customHeight="1">
      <c r="A47" s="283" t="s">
        <v>123</v>
      </c>
      <c r="B47" s="7" t="s">
        <v>184</v>
      </c>
      <c r="C47" s="865">
        <f>41986053+4000+34144</f>
        <v>42024197</v>
      </c>
    </row>
    <row r="48" spans="1:3" ht="12" customHeight="1">
      <c r="A48" s="283" t="s">
        <v>124</v>
      </c>
      <c r="B48" s="7" t="s">
        <v>153</v>
      </c>
      <c r="C48" s="865">
        <f>68610269+651000+30000</f>
        <v>69291269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2615075</v>
      </c>
    </row>
    <row r="52" spans="1:3" s="292" customFormat="1" ht="12" customHeight="1">
      <c r="A52" s="283" t="s">
        <v>128</v>
      </c>
      <c r="B52" s="8" t="s">
        <v>208</v>
      </c>
      <c r="C52" s="866">
        <f>1280075</f>
        <v>1280075</v>
      </c>
    </row>
    <row r="53" spans="1:3" ht="12" customHeight="1">
      <c r="A53" s="283" t="s">
        <v>129</v>
      </c>
      <c r="B53" s="7" t="s">
        <v>188</v>
      </c>
      <c r="C53" s="865">
        <f>578000+157000+600000</f>
        <v>1335000</v>
      </c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289796742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69">
        <v>55</v>
      </c>
    </row>
    <row r="60" spans="1:3" ht="13.5" thickBot="1">
      <c r="A60" s="149" t="s">
        <v>202</v>
      </c>
      <c r="B60" s="150"/>
      <c r="C60" s="86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20/2017.(VI.29.)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48" sqref="C48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+CONCATENATE("9.3.1. melléklet a ……/",LEFT(#REF!,4),". (….) önkormányzati rendelethez")</f>
        <v>#REF!</v>
      </c>
    </row>
    <row r="2" spans="1:3" s="288" customFormat="1" ht="33.75" customHeight="1">
      <c r="A2" s="245" t="s">
        <v>200</v>
      </c>
      <c r="B2" s="223" t="s">
        <v>452</v>
      </c>
      <c r="C2" s="845" t="s">
        <v>85</v>
      </c>
    </row>
    <row r="3" spans="1:3" s="288" customFormat="1" ht="24.75" thickBot="1">
      <c r="A3" s="281" t="s">
        <v>199</v>
      </c>
      <c r="B3" s="224" t="s">
        <v>401</v>
      </c>
      <c r="C3" s="846" t="s">
        <v>84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11960854</v>
      </c>
    </row>
    <row r="9" spans="1:3" s="239" customFormat="1" ht="12" customHeight="1">
      <c r="A9" s="282" t="s">
        <v>122</v>
      </c>
      <c r="B9" s="9" t="s">
        <v>259</v>
      </c>
      <c r="C9" s="852"/>
    </row>
    <row r="10" spans="1:3" s="239" customFormat="1" ht="12" customHeight="1">
      <c r="A10" s="283" t="s">
        <v>123</v>
      </c>
      <c r="B10" s="7" t="s">
        <v>260</v>
      </c>
      <c r="C10" s="853">
        <v>600000</v>
      </c>
    </row>
    <row r="11" spans="1:3" s="239" customFormat="1" ht="12" customHeight="1">
      <c r="A11" s="283" t="s">
        <v>124</v>
      </c>
      <c r="B11" s="7" t="s">
        <v>261</v>
      </c>
      <c r="C11" s="853">
        <v>4100000</v>
      </c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>
        <v>1409334</v>
      </c>
    </row>
    <row r="14" spans="1:3" s="239" customFormat="1" ht="12" customHeight="1">
      <c r="A14" s="283" t="s">
        <v>126</v>
      </c>
      <c r="B14" s="7" t="s">
        <v>384</v>
      </c>
      <c r="C14" s="853">
        <v>1649520</v>
      </c>
    </row>
    <row r="15" spans="1:3" s="239" customFormat="1" ht="12" customHeight="1">
      <c r="A15" s="283" t="s">
        <v>127</v>
      </c>
      <c r="B15" s="6" t="s">
        <v>385</v>
      </c>
      <c r="C15" s="853">
        <v>4192000</v>
      </c>
    </row>
    <row r="16" spans="1:3" s="239" customFormat="1" ht="12" customHeight="1">
      <c r="A16" s="283" t="s">
        <v>137</v>
      </c>
      <c r="B16" s="7" t="s">
        <v>266</v>
      </c>
      <c r="C16" s="854">
        <v>10000</v>
      </c>
    </row>
    <row r="17" spans="1:3" s="291" customFormat="1" ht="12" customHeight="1">
      <c r="A17" s="283" t="s">
        <v>138</v>
      </c>
      <c r="B17" s="7" t="s">
        <v>267</v>
      </c>
      <c r="C17" s="853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/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/>
    </row>
    <row r="24" spans="1:3" s="291" customFormat="1" ht="12" customHeight="1" thickBot="1">
      <c r="A24" s="283" t="s">
        <v>131</v>
      </c>
      <c r="B24" s="7" t="s">
        <v>593</v>
      </c>
      <c r="C24" s="853"/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/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11960854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277835888</v>
      </c>
    </row>
    <row r="38" spans="1:3" s="239" customFormat="1" ht="12" customHeight="1">
      <c r="A38" s="284" t="s">
        <v>394</v>
      </c>
      <c r="B38" s="285" t="s">
        <v>217</v>
      </c>
      <c r="C38" s="857">
        <v>291569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275320023+18952+840344+578000+157000+30000+600000</f>
        <v>277544319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289796742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287181667</v>
      </c>
    </row>
    <row r="46" spans="1:3" ht="12" customHeight="1">
      <c r="A46" s="283" t="s">
        <v>122</v>
      </c>
      <c r="B46" s="8" t="s">
        <v>73</v>
      </c>
      <c r="C46" s="857">
        <f>175696049+14952+155200</f>
        <v>175866201</v>
      </c>
    </row>
    <row r="47" spans="1:3" ht="12" customHeight="1">
      <c r="A47" s="283" t="s">
        <v>123</v>
      </c>
      <c r="B47" s="7" t="s">
        <v>184</v>
      </c>
      <c r="C47" s="865">
        <f>41986053+4000+34144</f>
        <v>42024197</v>
      </c>
    </row>
    <row r="48" spans="1:3" ht="12" customHeight="1">
      <c r="A48" s="283" t="s">
        <v>124</v>
      </c>
      <c r="B48" s="7" t="s">
        <v>153</v>
      </c>
      <c r="C48" s="865">
        <f>68610269+651000+30000</f>
        <v>69291269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2615075</v>
      </c>
    </row>
    <row r="52" spans="1:3" s="292" customFormat="1" ht="12" customHeight="1">
      <c r="A52" s="283" t="s">
        <v>128</v>
      </c>
      <c r="B52" s="8" t="s">
        <v>208</v>
      </c>
      <c r="C52" s="866">
        <f>1280075</f>
        <v>1280075</v>
      </c>
    </row>
    <row r="53" spans="1:3" ht="12" customHeight="1">
      <c r="A53" s="283" t="s">
        <v>129</v>
      </c>
      <c r="B53" s="7" t="s">
        <v>188</v>
      </c>
      <c r="C53" s="865">
        <f>578000+157000+600000</f>
        <v>1335000</v>
      </c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289796742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69">
        <v>55</v>
      </c>
    </row>
    <row r="60" spans="1:3" ht="13.5" thickBot="1">
      <c r="A60" s="149" t="s">
        <v>202</v>
      </c>
      <c r="B60" s="150"/>
      <c r="C60" s="86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19. melléklet a 20/2017.(VI.29.)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view="pageLayout" zoomScaleNormal="130" zoomScaleSheetLayoutView="100" workbookViewId="0" topLeftCell="A1">
      <selection activeCell="D19" sqref="D1:F16384"/>
    </sheetView>
  </sheetViews>
  <sheetFormatPr defaultColWidth="9.00390625" defaultRowHeight="12.75"/>
  <cols>
    <col min="1" max="1" width="9.50390625" style="241" customWidth="1"/>
    <col min="2" max="2" width="79.00390625" style="241" customWidth="1"/>
    <col min="3" max="3" width="21.625" style="242" customWidth="1"/>
    <col min="4" max="4" width="19.375" style="252" hidden="1" customWidth="1"/>
    <col min="5" max="5" width="15.875" style="252" hidden="1" customWidth="1"/>
    <col min="6" max="6" width="21.875" style="252" hidden="1" customWidth="1"/>
    <col min="7" max="16384" width="9.375" style="252" customWidth="1"/>
  </cols>
  <sheetData>
    <row r="1" spans="1:3" ht="15.75" customHeight="1">
      <c r="A1" s="902" t="s">
        <v>40</v>
      </c>
      <c r="B1" s="902"/>
      <c r="C1" s="902"/>
    </row>
    <row r="2" spans="1:3" ht="15.75" customHeight="1" thickBot="1">
      <c r="A2" s="901" t="s">
        <v>163</v>
      </c>
      <c r="B2" s="901"/>
      <c r="C2" s="179" t="s">
        <v>651</v>
      </c>
    </row>
    <row r="3" spans="1:6" ht="37.5" customHeight="1" thickBot="1">
      <c r="A3" s="22" t="s">
        <v>94</v>
      </c>
      <c r="B3" s="23" t="s">
        <v>42</v>
      </c>
      <c r="C3" s="31" t="s">
        <v>638</v>
      </c>
      <c r="D3" s="241" t="s">
        <v>673</v>
      </c>
      <c r="E3" s="241" t="s">
        <v>674</v>
      </c>
      <c r="F3" s="241" t="s">
        <v>675</v>
      </c>
    </row>
    <row r="4" spans="1:3" s="253" customFormat="1" ht="12" customHeight="1" thickBot="1">
      <c r="A4" s="247" t="s">
        <v>500</v>
      </c>
      <c r="B4" s="248" t="s">
        <v>501</v>
      </c>
      <c r="C4" s="249" t="s">
        <v>502</v>
      </c>
    </row>
    <row r="5" spans="1:6" s="254" customFormat="1" ht="12" customHeight="1" thickBot="1">
      <c r="A5" s="19" t="s">
        <v>43</v>
      </c>
      <c r="B5" s="20" t="s">
        <v>230</v>
      </c>
      <c r="C5" s="175">
        <f aca="true" t="shared" si="0" ref="C5:C36">SUM(D5:F5)</f>
        <v>1095518126</v>
      </c>
      <c r="D5" s="552">
        <f>+D6+D7+D8+D9+D10+D11</f>
        <v>1095518126</v>
      </c>
      <c r="E5" s="170">
        <f>+E6+E7+E8+E9+E10+E11</f>
        <v>0</v>
      </c>
      <c r="F5" s="170">
        <f>+F6+F7+F8+F9+F10+F11</f>
        <v>0</v>
      </c>
    </row>
    <row r="6" spans="1:6" s="254" customFormat="1" ht="12" customHeight="1">
      <c r="A6" s="14" t="s">
        <v>122</v>
      </c>
      <c r="B6" s="255" t="s">
        <v>231</v>
      </c>
      <c r="C6" s="700">
        <f t="shared" si="0"/>
        <v>228418282</v>
      </c>
      <c r="D6" s="559">
        <f>227512539+905743</f>
        <v>228418282</v>
      </c>
      <c r="E6" s="293"/>
      <c r="F6" s="293"/>
    </row>
    <row r="7" spans="1:6" s="254" customFormat="1" ht="12" customHeight="1">
      <c r="A7" s="13" t="s">
        <v>123</v>
      </c>
      <c r="B7" s="256" t="s">
        <v>232</v>
      </c>
      <c r="C7" s="701">
        <f t="shared" si="0"/>
        <v>228569062</v>
      </c>
      <c r="D7" s="498">
        <f>218107294+10461768</f>
        <v>228569062</v>
      </c>
      <c r="E7" s="174"/>
      <c r="F7" s="174"/>
    </row>
    <row r="8" spans="1:6" s="254" customFormat="1" ht="12" customHeight="1">
      <c r="A8" s="13" t="s">
        <v>124</v>
      </c>
      <c r="B8" s="256" t="s">
        <v>621</v>
      </c>
      <c r="C8" s="701">
        <f t="shared" si="0"/>
        <v>371167705</v>
      </c>
      <c r="D8" s="498">
        <f>121200000+67844165+177597260+4526280+11511000+24250000-35761000</f>
        <v>371167705</v>
      </c>
      <c r="E8" s="174"/>
      <c r="F8" s="174"/>
    </row>
    <row r="9" spans="1:6" s="254" customFormat="1" ht="12" customHeight="1">
      <c r="A9" s="13" t="s">
        <v>125</v>
      </c>
      <c r="B9" s="256" t="s">
        <v>234</v>
      </c>
      <c r="C9" s="768">
        <f t="shared" si="0"/>
        <v>30304060</v>
      </c>
      <c r="D9" s="498">
        <f>4412740+15262320+10629000-4412740+4412740</f>
        <v>30304060</v>
      </c>
      <c r="E9" s="174"/>
      <c r="F9" s="174"/>
    </row>
    <row r="10" spans="1:6" s="254" customFormat="1" ht="12" customHeight="1">
      <c r="A10" s="13" t="s">
        <v>160</v>
      </c>
      <c r="B10" s="166" t="s">
        <v>503</v>
      </c>
      <c r="C10" s="768">
        <f t="shared" si="0"/>
        <v>237059017</v>
      </c>
      <c r="D10" s="498">
        <f>1060845+3551000+168707597+128000+58000+13957152+413944+49094027+4501192-4412740</f>
        <v>237059017</v>
      </c>
      <c r="E10" s="174"/>
      <c r="F10" s="174"/>
    </row>
    <row r="11" spans="1:6" s="254" customFormat="1" ht="12" customHeight="1" thickBot="1">
      <c r="A11" s="15" t="s">
        <v>126</v>
      </c>
      <c r="B11" s="167" t="s">
        <v>504</v>
      </c>
      <c r="C11" s="702">
        <f t="shared" si="0"/>
        <v>0</v>
      </c>
      <c r="D11" s="153"/>
      <c r="E11" s="171"/>
      <c r="F11" s="171"/>
    </row>
    <row r="12" spans="1:6" s="254" customFormat="1" ht="12" customHeight="1" thickBot="1">
      <c r="A12" s="19" t="s">
        <v>44</v>
      </c>
      <c r="B12" s="165" t="s">
        <v>235</v>
      </c>
      <c r="C12" s="175">
        <f t="shared" si="0"/>
        <v>493451092</v>
      </c>
      <c r="D12" s="552">
        <f>+D13+D14+D15+D16+D17</f>
        <v>493451092</v>
      </c>
      <c r="E12" s="170">
        <f>+E13+E14+E15+E16+E17</f>
        <v>0</v>
      </c>
      <c r="F12" s="170">
        <f>+F13+F14+F15+F16+F17</f>
        <v>0</v>
      </c>
    </row>
    <row r="13" spans="1:6" s="254" customFormat="1" ht="12" customHeight="1">
      <c r="A13" s="14" t="s">
        <v>128</v>
      </c>
      <c r="B13" s="255" t="s">
        <v>236</v>
      </c>
      <c r="C13" s="700">
        <f t="shared" si="0"/>
        <v>0</v>
      </c>
      <c r="D13" s="554"/>
      <c r="E13" s="172"/>
      <c r="F13" s="172"/>
    </row>
    <row r="14" spans="1:6" s="254" customFormat="1" ht="12" customHeight="1">
      <c r="A14" s="13" t="s">
        <v>129</v>
      </c>
      <c r="B14" s="256" t="s">
        <v>237</v>
      </c>
      <c r="C14" s="701">
        <f t="shared" si="0"/>
        <v>0</v>
      </c>
      <c r="D14" s="153"/>
      <c r="E14" s="171"/>
      <c r="F14" s="171"/>
    </row>
    <row r="15" spans="1:6" s="254" customFormat="1" ht="12" customHeight="1">
      <c r="A15" s="13" t="s">
        <v>130</v>
      </c>
      <c r="B15" s="256" t="s">
        <v>406</v>
      </c>
      <c r="C15" s="701">
        <f t="shared" si="0"/>
        <v>0</v>
      </c>
      <c r="D15" s="153"/>
      <c r="E15" s="171"/>
      <c r="F15" s="171"/>
    </row>
    <row r="16" spans="1:6" s="254" customFormat="1" ht="12" customHeight="1">
      <c r="A16" s="13" t="s">
        <v>131</v>
      </c>
      <c r="B16" s="256" t="s">
        <v>407</v>
      </c>
      <c r="C16" s="701">
        <f t="shared" si="0"/>
        <v>0</v>
      </c>
      <c r="D16" s="153"/>
      <c r="E16" s="171"/>
      <c r="F16" s="171"/>
    </row>
    <row r="17" spans="1:6" s="254" customFormat="1" ht="12" customHeight="1">
      <c r="A17" s="13" t="s">
        <v>132</v>
      </c>
      <c r="B17" s="256" t="s">
        <v>238</v>
      </c>
      <c r="C17" s="768">
        <f t="shared" si="0"/>
        <v>493451092</v>
      </c>
      <c r="D17" s="498">
        <f>210000+65342000+25310845+9303887+291175856+362000+94906504+6840000</f>
        <v>493451092</v>
      </c>
      <c r="E17" s="502"/>
      <c r="F17" s="174"/>
    </row>
    <row r="18" spans="1:6" s="254" customFormat="1" ht="12" customHeight="1" thickBot="1">
      <c r="A18" s="15" t="s">
        <v>141</v>
      </c>
      <c r="B18" s="167" t="s">
        <v>239</v>
      </c>
      <c r="C18" s="702">
        <f t="shared" si="0"/>
        <v>0</v>
      </c>
      <c r="D18" s="154"/>
      <c r="E18" s="244"/>
      <c r="F18" s="244"/>
    </row>
    <row r="19" spans="1:6" s="254" customFormat="1" ht="12" customHeight="1" thickBot="1">
      <c r="A19" s="19" t="s">
        <v>45</v>
      </c>
      <c r="B19" s="20" t="s">
        <v>240</v>
      </c>
      <c r="C19" s="175">
        <f t="shared" si="0"/>
        <v>112681605</v>
      </c>
      <c r="D19" s="552">
        <f>+D20+D21+D22+D23+D24</f>
        <v>112681605</v>
      </c>
      <c r="E19" s="170">
        <f>+E20+E21+E22+E23+E24</f>
        <v>0</v>
      </c>
      <c r="F19" s="170">
        <f>+F20+F21+F22+F23+F24</f>
        <v>0</v>
      </c>
    </row>
    <row r="20" spans="1:6" s="254" customFormat="1" ht="12" customHeight="1">
      <c r="A20" s="14" t="s">
        <v>111</v>
      </c>
      <c r="B20" s="255" t="s">
        <v>241</v>
      </c>
      <c r="C20" s="700">
        <f t="shared" si="0"/>
        <v>0</v>
      </c>
      <c r="D20" s="657"/>
      <c r="E20" s="496"/>
      <c r="F20" s="496"/>
    </row>
    <row r="21" spans="1:6" s="254" customFormat="1" ht="12" customHeight="1">
      <c r="A21" s="13" t="s">
        <v>112</v>
      </c>
      <c r="B21" s="256" t="s">
        <v>242</v>
      </c>
      <c r="C21" s="701">
        <f t="shared" si="0"/>
        <v>0</v>
      </c>
      <c r="D21" s="498"/>
      <c r="E21" s="174"/>
      <c r="F21" s="174"/>
    </row>
    <row r="22" spans="1:6" s="254" customFormat="1" ht="12" customHeight="1">
      <c r="A22" s="13" t="s">
        <v>113</v>
      </c>
      <c r="B22" s="256" t="s">
        <v>408</v>
      </c>
      <c r="C22" s="701">
        <f t="shared" si="0"/>
        <v>0</v>
      </c>
      <c r="D22" s="498"/>
      <c r="E22" s="174"/>
      <c r="F22" s="174"/>
    </row>
    <row r="23" spans="1:6" s="254" customFormat="1" ht="12" customHeight="1">
      <c r="A23" s="13" t="s">
        <v>114</v>
      </c>
      <c r="B23" s="256" t="s">
        <v>409</v>
      </c>
      <c r="C23" s="701">
        <f t="shared" si="0"/>
        <v>0</v>
      </c>
      <c r="D23" s="498"/>
      <c r="E23" s="174"/>
      <c r="F23" s="174"/>
    </row>
    <row r="24" spans="1:6" s="254" customFormat="1" ht="12" customHeight="1">
      <c r="A24" s="13" t="s">
        <v>172</v>
      </c>
      <c r="B24" s="256" t="s">
        <v>243</v>
      </c>
      <c r="C24" s="768">
        <f t="shared" si="0"/>
        <v>112681605</v>
      </c>
      <c r="D24" s="498">
        <f>3797300+15179276+2160000+75588869+15956160</f>
        <v>112681605</v>
      </c>
      <c r="E24" s="174"/>
      <c r="F24" s="174"/>
    </row>
    <row r="25" spans="1:6" s="254" customFormat="1" ht="12" customHeight="1" thickBot="1">
      <c r="A25" s="15" t="s">
        <v>173</v>
      </c>
      <c r="B25" s="257" t="s">
        <v>244</v>
      </c>
      <c r="C25" s="769">
        <f t="shared" si="0"/>
        <v>95342329</v>
      </c>
      <c r="D25" s="508">
        <f>3797300+75588869+15956160</f>
        <v>95342329</v>
      </c>
      <c r="E25" s="244"/>
      <c r="F25" s="173"/>
    </row>
    <row r="26" spans="1:6" s="254" customFormat="1" ht="12" customHeight="1" thickBot="1">
      <c r="A26" s="19" t="s">
        <v>174</v>
      </c>
      <c r="B26" s="20" t="s">
        <v>245</v>
      </c>
      <c r="C26" s="175">
        <f t="shared" si="0"/>
        <v>319390000</v>
      </c>
      <c r="D26" s="556">
        <f>+D27+D31+D32+D33</f>
        <v>319390000</v>
      </c>
      <c r="E26" s="175">
        <f>+E27+E31+E32+E33</f>
        <v>0</v>
      </c>
      <c r="F26" s="175">
        <f>+F27+F31+F32+F33</f>
        <v>0</v>
      </c>
    </row>
    <row r="27" spans="1:6" s="254" customFormat="1" ht="12" customHeight="1">
      <c r="A27" s="14" t="s">
        <v>246</v>
      </c>
      <c r="B27" s="255" t="s">
        <v>505</v>
      </c>
      <c r="C27" s="700">
        <f t="shared" si="0"/>
        <v>282830000</v>
      </c>
      <c r="D27" s="658">
        <f>SUM(D28:D30)</f>
        <v>282830000</v>
      </c>
      <c r="E27" s="250"/>
      <c r="F27" s="250"/>
    </row>
    <row r="28" spans="1:6" s="254" customFormat="1" ht="12" customHeight="1">
      <c r="A28" s="13" t="s">
        <v>247</v>
      </c>
      <c r="B28" s="256" t="s">
        <v>252</v>
      </c>
      <c r="C28" s="701">
        <f t="shared" si="0"/>
        <v>78990000</v>
      </c>
      <c r="D28" s="153">
        <f>8990000+70000000</f>
        <v>78990000</v>
      </c>
      <c r="E28" s="171"/>
      <c r="F28" s="171"/>
    </row>
    <row r="29" spans="1:6" s="254" customFormat="1" ht="12" customHeight="1">
      <c r="A29" s="13" t="s">
        <v>248</v>
      </c>
      <c r="B29" s="256" t="s">
        <v>608</v>
      </c>
      <c r="C29" s="701">
        <f t="shared" si="0"/>
        <v>203840000</v>
      </c>
      <c r="D29" s="153">
        <v>203840000</v>
      </c>
      <c r="E29" s="171"/>
      <c r="F29" s="171"/>
    </row>
    <row r="30" spans="1:6" s="254" customFormat="1" ht="12" customHeight="1">
      <c r="A30" s="13" t="s">
        <v>506</v>
      </c>
      <c r="B30" s="256" t="s">
        <v>605</v>
      </c>
      <c r="C30" s="701">
        <f t="shared" si="0"/>
        <v>0</v>
      </c>
      <c r="D30" s="498"/>
      <c r="E30" s="174"/>
      <c r="F30" s="174"/>
    </row>
    <row r="31" spans="1:6" s="254" customFormat="1" ht="12" customHeight="1">
      <c r="A31" s="13" t="s">
        <v>249</v>
      </c>
      <c r="B31" s="256" t="s">
        <v>254</v>
      </c>
      <c r="C31" s="701">
        <f t="shared" si="0"/>
        <v>27000000</v>
      </c>
      <c r="D31" s="153">
        <f>27000000</f>
        <v>27000000</v>
      </c>
      <c r="E31" s="171"/>
      <c r="F31" s="174"/>
    </row>
    <row r="32" spans="1:6" s="254" customFormat="1" ht="12" customHeight="1">
      <c r="A32" s="13" t="s">
        <v>250</v>
      </c>
      <c r="B32" s="256" t="s">
        <v>255</v>
      </c>
      <c r="C32" s="701">
        <f t="shared" si="0"/>
        <v>60000</v>
      </c>
      <c r="D32" s="153">
        <f>4060000-4000000</f>
        <v>60000</v>
      </c>
      <c r="E32" s="171"/>
      <c r="F32" s="174"/>
    </row>
    <row r="33" spans="1:6" s="254" customFormat="1" ht="12" customHeight="1" thickBot="1">
      <c r="A33" s="15" t="s">
        <v>251</v>
      </c>
      <c r="B33" s="257" t="s">
        <v>256</v>
      </c>
      <c r="C33" s="702">
        <f t="shared" si="0"/>
        <v>9500000</v>
      </c>
      <c r="D33" s="508">
        <f>5500000+4000000</f>
        <v>9500000</v>
      </c>
      <c r="E33" s="244"/>
      <c r="F33" s="244"/>
    </row>
    <row r="34" spans="1:6" s="254" customFormat="1" ht="12" customHeight="1" thickBot="1">
      <c r="A34" s="19" t="s">
        <v>47</v>
      </c>
      <c r="B34" s="20" t="s">
        <v>508</v>
      </c>
      <c r="C34" s="175">
        <f t="shared" si="0"/>
        <v>226463580</v>
      </c>
      <c r="D34" s="552">
        <f>SUM(D35:D45)</f>
        <v>46083304</v>
      </c>
      <c r="E34" s="170">
        <f>SUM(E35:E45)</f>
        <v>2748500</v>
      </c>
      <c r="F34" s="170">
        <f>SUM(F35:F45)</f>
        <v>177631776</v>
      </c>
    </row>
    <row r="35" spans="1:6" s="254" customFormat="1" ht="12" customHeight="1">
      <c r="A35" s="14" t="s">
        <v>115</v>
      </c>
      <c r="B35" s="255" t="s">
        <v>259</v>
      </c>
      <c r="C35" s="770">
        <f t="shared" si="0"/>
        <v>9372694</v>
      </c>
      <c r="D35" s="559">
        <f>4000000+5000000+222694</f>
        <v>9222694</v>
      </c>
      <c r="E35" s="293"/>
      <c r="F35" s="293">
        <v>150000</v>
      </c>
    </row>
    <row r="36" spans="1:6" s="254" customFormat="1" ht="12" customHeight="1">
      <c r="A36" s="13" t="s">
        <v>116</v>
      </c>
      <c r="B36" s="256" t="s">
        <v>260</v>
      </c>
      <c r="C36" s="768">
        <f t="shared" si="0"/>
        <v>42646977</v>
      </c>
      <c r="D36" s="498">
        <f>100000+12004000+33071</f>
        <v>12137071</v>
      </c>
      <c r="E36" s="174">
        <v>2164000</v>
      </c>
      <c r="F36" s="293">
        <v>28345906</v>
      </c>
    </row>
    <row r="37" spans="1:6" s="254" customFormat="1" ht="12" customHeight="1">
      <c r="A37" s="13" t="s">
        <v>117</v>
      </c>
      <c r="B37" s="256" t="s">
        <v>261</v>
      </c>
      <c r="C37" s="768">
        <f aca="true" t="shared" si="1" ref="C37:C68">SUM(D37:F37)</f>
        <v>85464711</v>
      </c>
      <c r="D37" s="498">
        <f>8458000+947000+918292+143307-195228</f>
        <v>10271371</v>
      </c>
      <c r="E37" s="174"/>
      <c r="F37" s="293">
        <v>75193340</v>
      </c>
    </row>
    <row r="38" spans="1:6" s="254" customFormat="1" ht="12" customHeight="1">
      <c r="A38" s="13" t="s">
        <v>176</v>
      </c>
      <c r="B38" s="256" t="s">
        <v>262</v>
      </c>
      <c r="C38" s="701">
        <f t="shared" si="1"/>
        <v>430000</v>
      </c>
      <c r="D38" s="498">
        <f>430000</f>
        <v>430000</v>
      </c>
      <c r="E38" s="174"/>
      <c r="F38" s="293"/>
    </row>
    <row r="39" spans="1:6" s="254" customFormat="1" ht="12" customHeight="1">
      <c r="A39" s="13" t="s">
        <v>177</v>
      </c>
      <c r="B39" s="256" t="s">
        <v>263</v>
      </c>
      <c r="C39" s="701">
        <f t="shared" si="1"/>
        <v>23819682</v>
      </c>
      <c r="D39" s="498"/>
      <c r="E39" s="174"/>
      <c r="F39" s="293">
        <v>23819682</v>
      </c>
    </row>
    <row r="40" spans="1:6" s="254" customFormat="1" ht="12" customHeight="1">
      <c r="A40" s="13" t="s">
        <v>178</v>
      </c>
      <c r="B40" s="256" t="s">
        <v>264</v>
      </c>
      <c r="C40" s="768">
        <f t="shared" si="1"/>
        <v>42281198</v>
      </c>
      <c r="D40" s="498">
        <f>3242000+5853000+378000+600000+1350000+270000+682000+47622+195228</f>
        <v>12617850</v>
      </c>
      <c r="E40" s="174">
        <v>584500</v>
      </c>
      <c r="F40" s="293">
        <v>29078848</v>
      </c>
    </row>
    <row r="41" spans="1:6" s="254" customFormat="1" ht="12" customHeight="1">
      <c r="A41" s="13" t="s">
        <v>179</v>
      </c>
      <c r="B41" s="256" t="s">
        <v>265</v>
      </c>
      <c r="C41" s="701">
        <f t="shared" si="1"/>
        <v>21034000</v>
      </c>
      <c r="D41" s="498"/>
      <c r="E41" s="174"/>
      <c r="F41" s="293">
        <v>21034000</v>
      </c>
    </row>
    <row r="42" spans="1:6" s="254" customFormat="1" ht="12" customHeight="1">
      <c r="A42" s="13" t="s">
        <v>180</v>
      </c>
      <c r="B42" s="256" t="s">
        <v>622</v>
      </c>
      <c r="C42" s="701">
        <f t="shared" si="1"/>
        <v>10000</v>
      </c>
      <c r="D42" s="498"/>
      <c r="E42" s="174"/>
      <c r="F42" s="293">
        <v>10000</v>
      </c>
    </row>
    <row r="43" spans="1:6" s="254" customFormat="1" ht="12" customHeight="1">
      <c r="A43" s="13" t="s">
        <v>257</v>
      </c>
      <c r="B43" s="256" t="s">
        <v>267</v>
      </c>
      <c r="C43" s="701">
        <f t="shared" si="1"/>
        <v>0</v>
      </c>
      <c r="D43" s="498"/>
      <c r="E43" s="174"/>
      <c r="F43" s="293"/>
    </row>
    <row r="44" spans="1:6" s="254" customFormat="1" ht="12" customHeight="1">
      <c r="A44" s="15" t="s">
        <v>258</v>
      </c>
      <c r="B44" s="257" t="s">
        <v>509</v>
      </c>
      <c r="C44" s="701">
        <f t="shared" si="1"/>
        <v>500000</v>
      </c>
      <c r="D44" s="508">
        <f>500000</f>
        <v>500000</v>
      </c>
      <c r="E44" s="244"/>
      <c r="F44" s="244"/>
    </row>
    <row r="45" spans="1:6" s="254" customFormat="1" ht="12" customHeight="1" thickBot="1">
      <c r="A45" s="15" t="s">
        <v>510</v>
      </c>
      <c r="B45" s="167" t="s">
        <v>268</v>
      </c>
      <c r="C45" s="769">
        <f t="shared" si="1"/>
        <v>904318</v>
      </c>
      <c r="D45" s="508">
        <f>704000+200318</f>
        <v>904318</v>
      </c>
      <c r="E45" s="244"/>
      <c r="F45" s="525"/>
    </row>
    <row r="46" spans="1:6" s="254" customFormat="1" ht="12" customHeight="1" thickBot="1">
      <c r="A46" s="19" t="s">
        <v>48</v>
      </c>
      <c r="B46" s="20" t="s">
        <v>269</v>
      </c>
      <c r="C46" s="175">
        <f t="shared" si="1"/>
        <v>47179000</v>
      </c>
      <c r="D46" s="552">
        <f>SUM(D47:D51)</f>
        <v>47179000</v>
      </c>
      <c r="E46" s="170">
        <f>SUM(E47:E51)</f>
        <v>0</v>
      </c>
      <c r="F46" s="170">
        <f>SUM(F47:F51)</f>
        <v>0</v>
      </c>
    </row>
    <row r="47" spans="1:6" s="254" customFormat="1" ht="12" customHeight="1">
      <c r="A47" s="14" t="s">
        <v>118</v>
      </c>
      <c r="B47" s="255" t="s">
        <v>273</v>
      </c>
      <c r="C47" s="700">
        <f t="shared" si="1"/>
        <v>0</v>
      </c>
      <c r="D47" s="559"/>
      <c r="E47" s="293"/>
      <c r="F47" s="293"/>
    </row>
    <row r="48" spans="1:6" s="254" customFormat="1" ht="12" customHeight="1">
      <c r="A48" s="13" t="s">
        <v>119</v>
      </c>
      <c r="B48" s="256" t="s">
        <v>274</v>
      </c>
      <c r="C48" s="701">
        <f t="shared" si="1"/>
        <v>47179000</v>
      </c>
      <c r="D48" s="498">
        <f>25179000+22000000</f>
        <v>47179000</v>
      </c>
      <c r="E48" s="174"/>
      <c r="F48" s="174"/>
    </row>
    <row r="49" spans="1:6" s="254" customFormat="1" ht="12" customHeight="1">
      <c r="A49" s="13" t="s">
        <v>270</v>
      </c>
      <c r="B49" s="256" t="s">
        <v>275</v>
      </c>
      <c r="C49" s="701">
        <f t="shared" si="1"/>
        <v>0</v>
      </c>
      <c r="D49" s="498"/>
      <c r="E49" s="174"/>
      <c r="F49" s="174"/>
    </row>
    <row r="50" spans="1:6" s="254" customFormat="1" ht="12" customHeight="1">
      <c r="A50" s="13" t="s">
        <v>271</v>
      </c>
      <c r="B50" s="256" t="s">
        <v>276</v>
      </c>
      <c r="C50" s="701">
        <f t="shared" si="1"/>
        <v>0</v>
      </c>
      <c r="D50" s="498"/>
      <c r="E50" s="174"/>
      <c r="F50" s="174"/>
    </row>
    <row r="51" spans="1:6" s="254" customFormat="1" ht="12" customHeight="1" thickBot="1">
      <c r="A51" s="15" t="s">
        <v>272</v>
      </c>
      <c r="B51" s="167" t="s">
        <v>277</v>
      </c>
      <c r="C51" s="702">
        <f t="shared" si="1"/>
        <v>0</v>
      </c>
      <c r="D51" s="508"/>
      <c r="E51" s="244"/>
      <c r="F51" s="244"/>
    </row>
    <row r="52" spans="1:6" s="254" customFormat="1" ht="12" customHeight="1" thickBot="1">
      <c r="A52" s="19" t="s">
        <v>181</v>
      </c>
      <c r="B52" s="20" t="s">
        <v>278</v>
      </c>
      <c r="C52" s="175">
        <f t="shared" si="1"/>
        <v>4458000</v>
      </c>
      <c r="D52" s="552">
        <f>SUM(D53:D55)</f>
        <v>4458000</v>
      </c>
      <c r="E52" s="170">
        <f>SUM(E53:E55)</f>
        <v>0</v>
      </c>
      <c r="F52" s="170">
        <f>SUM(F53:F55)</f>
        <v>0</v>
      </c>
    </row>
    <row r="53" spans="1:6" s="254" customFormat="1" ht="12" customHeight="1">
      <c r="A53" s="14" t="s">
        <v>120</v>
      </c>
      <c r="B53" s="255" t="s">
        <v>279</v>
      </c>
      <c r="C53" s="700">
        <f t="shared" si="1"/>
        <v>0</v>
      </c>
      <c r="D53" s="554"/>
      <c r="E53" s="172"/>
      <c r="F53" s="172"/>
    </row>
    <row r="54" spans="1:6" s="254" customFormat="1" ht="12" customHeight="1">
      <c r="A54" s="13" t="s">
        <v>121</v>
      </c>
      <c r="B54" s="256" t="s">
        <v>410</v>
      </c>
      <c r="C54" s="701">
        <f t="shared" si="1"/>
        <v>383000</v>
      </c>
      <c r="D54" s="498">
        <v>383000</v>
      </c>
      <c r="E54" s="174"/>
      <c r="F54" s="174"/>
    </row>
    <row r="55" spans="1:6" s="254" customFormat="1" ht="12" customHeight="1">
      <c r="A55" s="13" t="s">
        <v>282</v>
      </c>
      <c r="B55" s="256" t="s">
        <v>280</v>
      </c>
      <c r="C55" s="701">
        <f t="shared" si="1"/>
        <v>4075000</v>
      </c>
      <c r="D55" s="498">
        <v>4075000</v>
      </c>
      <c r="E55" s="174"/>
      <c r="F55" s="174"/>
    </row>
    <row r="56" spans="1:6" s="254" customFormat="1" ht="12" customHeight="1" thickBot="1">
      <c r="A56" s="15" t="s">
        <v>283</v>
      </c>
      <c r="B56" s="167" t="s">
        <v>281</v>
      </c>
      <c r="C56" s="702">
        <f t="shared" si="1"/>
        <v>0</v>
      </c>
      <c r="D56" s="154"/>
      <c r="E56" s="173"/>
      <c r="F56" s="173"/>
    </row>
    <row r="57" spans="1:6" s="254" customFormat="1" ht="12" customHeight="1" thickBot="1">
      <c r="A57" s="19" t="s">
        <v>50</v>
      </c>
      <c r="B57" s="165" t="s">
        <v>284</v>
      </c>
      <c r="C57" s="501">
        <f t="shared" si="1"/>
        <v>0</v>
      </c>
      <c r="D57" s="552">
        <f>SUM(D58:D60)</f>
        <v>0</v>
      </c>
      <c r="E57" s="170">
        <f>SUM(E58:E60)</f>
        <v>0</v>
      </c>
      <c r="F57" s="170">
        <f>SUM(F58:F60)</f>
        <v>0</v>
      </c>
    </row>
    <row r="58" spans="1:6" s="254" customFormat="1" ht="12" customHeight="1">
      <c r="A58" s="14" t="s">
        <v>182</v>
      </c>
      <c r="B58" s="255" t="s">
        <v>286</v>
      </c>
      <c r="C58" s="700">
        <f t="shared" si="1"/>
        <v>0</v>
      </c>
      <c r="D58" s="498"/>
      <c r="E58" s="174"/>
      <c r="F58" s="174"/>
    </row>
    <row r="59" spans="1:6" s="254" customFormat="1" ht="12" customHeight="1">
      <c r="A59" s="13" t="s">
        <v>183</v>
      </c>
      <c r="B59" s="256" t="s">
        <v>411</v>
      </c>
      <c r="C59" s="701">
        <f t="shared" si="1"/>
        <v>0</v>
      </c>
      <c r="D59" s="498"/>
      <c r="E59" s="174"/>
      <c r="F59" s="174"/>
    </row>
    <row r="60" spans="1:6" s="254" customFormat="1" ht="12" customHeight="1">
      <c r="A60" s="13" t="s">
        <v>209</v>
      </c>
      <c r="B60" s="256" t="s">
        <v>287</v>
      </c>
      <c r="C60" s="701">
        <f t="shared" si="1"/>
        <v>0</v>
      </c>
      <c r="D60" s="498"/>
      <c r="E60" s="174"/>
      <c r="F60" s="174"/>
    </row>
    <row r="61" spans="1:6" s="254" customFormat="1" ht="12" customHeight="1" thickBot="1">
      <c r="A61" s="15" t="s">
        <v>285</v>
      </c>
      <c r="B61" s="167" t="s">
        <v>288</v>
      </c>
      <c r="C61" s="702">
        <f t="shared" si="1"/>
        <v>0</v>
      </c>
      <c r="D61" s="498"/>
      <c r="E61" s="174"/>
      <c r="F61" s="174"/>
    </row>
    <row r="62" spans="1:6" s="254" customFormat="1" ht="12" customHeight="1" thickBot="1">
      <c r="A62" s="477" t="s">
        <v>511</v>
      </c>
      <c r="B62" s="20" t="s">
        <v>289</v>
      </c>
      <c r="C62" s="175">
        <f t="shared" si="1"/>
        <v>2299141403</v>
      </c>
      <c r="D62" s="556">
        <f>+D5+D12+D19+D26+D34+D46+D52+D57</f>
        <v>2118761127</v>
      </c>
      <c r="E62" s="175">
        <f>+E5+E12+E19+E26+E34+E46+E52+E57</f>
        <v>2748500</v>
      </c>
      <c r="F62" s="175">
        <f>+F5+F12+F19+F26+F34+F46+F52+F57</f>
        <v>177631776</v>
      </c>
    </row>
    <row r="63" spans="1:6" s="254" customFormat="1" ht="12" customHeight="1" thickBot="1">
      <c r="A63" s="478" t="s">
        <v>290</v>
      </c>
      <c r="B63" s="165" t="s">
        <v>291</v>
      </c>
      <c r="C63" s="501">
        <f t="shared" si="1"/>
        <v>0</v>
      </c>
      <c r="D63" s="552">
        <f>SUM(D64:D66)</f>
        <v>0</v>
      </c>
      <c r="E63" s="170">
        <f>SUM(E64:E66)</f>
        <v>0</v>
      </c>
      <c r="F63" s="170">
        <f>SUM(F64:F66)</f>
        <v>0</v>
      </c>
    </row>
    <row r="64" spans="1:6" s="254" customFormat="1" ht="12" customHeight="1">
      <c r="A64" s="14" t="s">
        <v>322</v>
      </c>
      <c r="B64" s="255" t="s">
        <v>292</v>
      </c>
      <c r="C64" s="700">
        <f t="shared" si="1"/>
        <v>0</v>
      </c>
      <c r="D64" s="498"/>
      <c r="E64" s="174"/>
      <c r="F64" s="174"/>
    </row>
    <row r="65" spans="1:6" s="254" customFormat="1" ht="12" customHeight="1">
      <c r="A65" s="13" t="s">
        <v>331</v>
      </c>
      <c r="B65" s="256" t="s">
        <v>293</v>
      </c>
      <c r="C65" s="701">
        <f t="shared" si="1"/>
        <v>0</v>
      </c>
      <c r="D65" s="498"/>
      <c r="E65" s="174"/>
      <c r="F65" s="174"/>
    </row>
    <row r="66" spans="1:6" s="254" customFormat="1" ht="12" customHeight="1" thickBot="1">
      <c r="A66" s="15" t="s">
        <v>332</v>
      </c>
      <c r="B66" s="479" t="s">
        <v>512</v>
      </c>
      <c r="C66" s="702">
        <f t="shared" si="1"/>
        <v>0</v>
      </c>
      <c r="D66" s="498"/>
      <c r="E66" s="174"/>
      <c r="F66" s="174"/>
    </row>
    <row r="67" spans="1:6" s="254" customFormat="1" ht="12" customHeight="1" thickBot="1">
      <c r="A67" s="478" t="s">
        <v>295</v>
      </c>
      <c r="B67" s="165" t="s">
        <v>296</v>
      </c>
      <c r="C67" s="501">
        <f t="shared" si="1"/>
        <v>0</v>
      </c>
      <c r="D67" s="552">
        <f>SUM(D68:D71)</f>
        <v>0</v>
      </c>
      <c r="E67" s="170">
        <f>SUM(E68:E71)</f>
        <v>0</v>
      </c>
      <c r="F67" s="170">
        <f>SUM(F68:F71)</f>
        <v>0</v>
      </c>
    </row>
    <row r="68" spans="1:6" s="254" customFormat="1" ht="12" customHeight="1">
      <c r="A68" s="14" t="s">
        <v>161</v>
      </c>
      <c r="B68" s="255" t="s">
        <v>297</v>
      </c>
      <c r="C68" s="700">
        <f t="shared" si="1"/>
        <v>0</v>
      </c>
      <c r="D68" s="498"/>
      <c r="E68" s="174"/>
      <c r="F68" s="174"/>
    </row>
    <row r="69" spans="1:6" s="254" customFormat="1" ht="12" customHeight="1">
      <c r="A69" s="13" t="s">
        <v>162</v>
      </c>
      <c r="B69" s="256" t="s">
        <v>298</v>
      </c>
      <c r="C69" s="701">
        <f aca="true" t="shared" si="2" ref="C69:C87">SUM(D69:F69)</f>
        <v>0</v>
      </c>
      <c r="D69" s="498"/>
      <c r="E69" s="174"/>
      <c r="F69" s="174"/>
    </row>
    <row r="70" spans="1:6" s="254" customFormat="1" ht="12" customHeight="1">
      <c r="A70" s="13" t="s">
        <v>323</v>
      </c>
      <c r="B70" s="256" t="s">
        <v>299</v>
      </c>
      <c r="C70" s="701">
        <f t="shared" si="2"/>
        <v>0</v>
      </c>
      <c r="D70" s="498"/>
      <c r="E70" s="174"/>
      <c r="F70" s="174"/>
    </row>
    <row r="71" spans="1:6" s="254" customFormat="1" ht="12" customHeight="1" thickBot="1">
      <c r="A71" s="15" t="s">
        <v>324</v>
      </c>
      <c r="B71" s="167" t="s">
        <v>300</v>
      </c>
      <c r="C71" s="702">
        <f t="shared" si="2"/>
        <v>0</v>
      </c>
      <c r="D71" s="498"/>
      <c r="E71" s="174"/>
      <c r="F71" s="174"/>
    </row>
    <row r="72" spans="1:6" s="254" customFormat="1" ht="12" customHeight="1" thickBot="1">
      <c r="A72" s="478" t="s">
        <v>301</v>
      </c>
      <c r="B72" s="165" t="s">
        <v>302</v>
      </c>
      <c r="C72" s="175">
        <f t="shared" si="2"/>
        <v>292133965</v>
      </c>
      <c r="D72" s="552">
        <f>SUM(D73:D74)</f>
        <v>289331423</v>
      </c>
      <c r="E72" s="170">
        <f>SUM(E73:E74)</f>
        <v>0</v>
      </c>
      <c r="F72" s="170">
        <f>SUM(F73:F74)</f>
        <v>2802542</v>
      </c>
    </row>
    <row r="73" spans="1:6" s="254" customFormat="1" ht="12" customHeight="1">
      <c r="A73" s="14" t="s">
        <v>325</v>
      </c>
      <c r="B73" s="255" t="s">
        <v>303</v>
      </c>
      <c r="C73" s="700">
        <f t="shared" si="2"/>
        <v>292133965</v>
      </c>
      <c r="D73" s="498">
        <v>289331423</v>
      </c>
      <c r="E73" s="174"/>
      <c r="F73" s="174">
        <v>2802542</v>
      </c>
    </row>
    <row r="74" spans="1:6" s="254" customFormat="1" ht="12" customHeight="1" thickBot="1">
      <c r="A74" s="15" t="s">
        <v>326</v>
      </c>
      <c r="B74" s="167" t="s">
        <v>304</v>
      </c>
      <c r="C74" s="702">
        <f t="shared" si="2"/>
        <v>0</v>
      </c>
      <c r="D74" s="498"/>
      <c r="E74" s="174"/>
      <c r="F74" s="174"/>
    </row>
    <row r="75" spans="1:6" s="254" customFormat="1" ht="12" customHeight="1" thickBot="1">
      <c r="A75" s="478" t="s">
        <v>305</v>
      </c>
      <c r="B75" s="165" t="s">
        <v>306</v>
      </c>
      <c r="C75" s="501">
        <f t="shared" si="2"/>
        <v>0</v>
      </c>
      <c r="D75" s="552">
        <f>SUM(D76:D78)</f>
        <v>0</v>
      </c>
      <c r="E75" s="170">
        <f>SUM(E76:E78)</f>
        <v>0</v>
      </c>
      <c r="F75" s="170">
        <f>SUM(F76:F78)</f>
        <v>0</v>
      </c>
    </row>
    <row r="76" spans="1:6" s="254" customFormat="1" ht="12" customHeight="1">
      <c r="A76" s="14" t="s">
        <v>327</v>
      </c>
      <c r="B76" s="255" t="s">
        <v>307</v>
      </c>
      <c r="C76" s="700">
        <f t="shared" si="2"/>
        <v>0</v>
      </c>
      <c r="D76" s="498"/>
      <c r="E76" s="174"/>
      <c r="F76" s="174"/>
    </row>
    <row r="77" spans="1:6" s="254" customFormat="1" ht="12" customHeight="1">
      <c r="A77" s="13" t="s">
        <v>328</v>
      </c>
      <c r="B77" s="256" t="s">
        <v>308</v>
      </c>
      <c r="C77" s="701">
        <f t="shared" si="2"/>
        <v>0</v>
      </c>
      <c r="D77" s="498"/>
      <c r="E77" s="174"/>
      <c r="F77" s="174"/>
    </row>
    <row r="78" spans="1:6" s="254" customFormat="1" ht="12" customHeight="1" thickBot="1">
      <c r="A78" s="15" t="s">
        <v>329</v>
      </c>
      <c r="B78" s="167" t="s">
        <v>309</v>
      </c>
      <c r="C78" s="702">
        <f t="shared" si="2"/>
        <v>0</v>
      </c>
      <c r="D78" s="498"/>
      <c r="E78" s="174"/>
      <c r="F78" s="174"/>
    </row>
    <row r="79" spans="1:6" s="254" customFormat="1" ht="12" customHeight="1" thickBot="1">
      <c r="A79" s="478" t="s">
        <v>310</v>
      </c>
      <c r="B79" s="165" t="s">
        <v>330</v>
      </c>
      <c r="C79" s="501">
        <f t="shared" si="2"/>
        <v>0</v>
      </c>
      <c r="D79" s="552">
        <f>SUM(D80:D83)</f>
        <v>0</v>
      </c>
      <c r="E79" s="170">
        <f>SUM(E80:E83)</f>
        <v>0</v>
      </c>
      <c r="F79" s="170">
        <f>SUM(F80:F83)</f>
        <v>0</v>
      </c>
    </row>
    <row r="80" spans="1:6" s="254" customFormat="1" ht="12" customHeight="1">
      <c r="A80" s="259" t="s">
        <v>311</v>
      </c>
      <c r="B80" s="255" t="s">
        <v>312</v>
      </c>
      <c r="C80" s="700">
        <f t="shared" si="2"/>
        <v>0</v>
      </c>
      <c r="D80" s="498"/>
      <c r="E80" s="174"/>
      <c r="F80" s="174"/>
    </row>
    <row r="81" spans="1:6" s="254" customFormat="1" ht="12" customHeight="1">
      <c r="A81" s="260" t="s">
        <v>313</v>
      </c>
      <c r="B81" s="256" t="s">
        <v>314</v>
      </c>
      <c r="C81" s="701">
        <f t="shared" si="2"/>
        <v>0</v>
      </c>
      <c r="D81" s="498"/>
      <c r="E81" s="174"/>
      <c r="F81" s="174"/>
    </row>
    <row r="82" spans="1:6" s="254" customFormat="1" ht="12" customHeight="1">
      <c r="A82" s="260" t="s">
        <v>315</v>
      </c>
      <c r="B82" s="256" t="s">
        <v>316</v>
      </c>
      <c r="C82" s="701">
        <f t="shared" si="2"/>
        <v>0</v>
      </c>
      <c r="D82" s="498"/>
      <c r="E82" s="174"/>
      <c r="F82" s="174"/>
    </row>
    <row r="83" spans="1:6" s="254" customFormat="1" ht="12" customHeight="1" thickBot="1">
      <c r="A83" s="261" t="s">
        <v>317</v>
      </c>
      <c r="B83" s="167" t="s">
        <v>318</v>
      </c>
      <c r="C83" s="702">
        <f t="shared" si="2"/>
        <v>0</v>
      </c>
      <c r="D83" s="498"/>
      <c r="E83" s="174"/>
      <c r="F83" s="174"/>
    </row>
    <row r="84" spans="1:6" s="254" customFormat="1" ht="12" customHeight="1" thickBot="1">
      <c r="A84" s="478" t="s">
        <v>319</v>
      </c>
      <c r="B84" s="165" t="s">
        <v>513</v>
      </c>
      <c r="C84" s="697">
        <f t="shared" si="2"/>
        <v>0</v>
      </c>
      <c r="D84" s="560"/>
      <c r="E84" s="294"/>
      <c r="F84" s="294"/>
    </row>
    <row r="85" spans="1:6" s="254" customFormat="1" ht="13.5" customHeight="1" thickBot="1">
      <c r="A85" s="478" t="s">
        <v>321</v>
      </c>
      <c r="B85" s="165" t="s">
        <v>320</v>
      </c>
      <c r="C85" s="501">
        <f t="shared" si="2"/>
        <v>0</v>
      </c>
      <c r="D85" s="560"/>
      <c r="E85" s="294"/>
      <c r="F85" s="294"/>
    </row>
    <row r="86" spans="1:6" s="254" customFormat="1" ht="15.75" customHeight="1" thickBot="1">
      <c r="A86" s="478" t="s">
        <v>333</v>
      </c>
      <c r="B86" s="262" t="s">
        <v>514</v>
      </c>
      <c r="C86" s="175">
        <f t="shared" si="2"/>
        <v>292133965</v>
      </c>
      <c r="D86" s="556">
        <f>+D63+D67+D72+D75+D79+D85+D84</f>
        <v>289331423</v>
      </c>
      <c r="E86" s="175">
        <f>+E63+E67+E72+E75+E79+E85+E84</f>
        <v>0</v>
      </c>
      <c r="F86" s="175">
        <f>+F63+F67+F72+F75+F79+F85+F84</f>
        <v>2802542</v>
      </c>
    </row>
    <row r="87" spans="1:6" s="254" customFormat="1" ht="16.5" customHeight="1" thickBot="1">
      <c r="A87" s="480" t="s">
        <v>515</v>
      </c>
      <c r="B87" s="263" t="s">
        <v>516</v>
      </c>
      <c r="C87" s="699">
        <f t="shared" si="2"/>
        <v>2591275368</v>
      </c>
      <c r="D87" s="556">
        <f>+D62+D86</f>
        <v>2408092550</v>
      </c>
      <c r="E87" s="175">
        <f>+E62+E86</f>
        <v>2748500</v>
      </c>
      <c r="F87" s="175">
        <f>+F62+F86</f>
        <v>180434318</v>
      </c>
    </row>
    <row r="88" spans="1:3" s="254" customFormat="1" ht="83.25" customHeight="1">
      <c r="A88" s="4"/>
      <c r="B88" s="5"/>
      <c r="C88" s="176"/>
    </row>
    <row r="89" spans="1:3" ht="16.5" customHeight="1">
      <c r="A89" s="902" t="s">
        <v>71</v>
      </c>
      <c r="B89" s="902"/>
      <c r="C89" s="902"/>
    </row>
    <row r="90" spans="1:3" s="264" customFormat="1" ht="16.5" customHeight="1" thickBot="1">
      <c r="A90" s="903" t="s">
        <v>164</v>
      </c>
      <c r="B90" s="903"/>
      <c r="C90" s="90" t="s">
        <v>651</v>
      </c>
    </row>
    <row r="91" spans="1:3" ht="37.5" customHeight="1" thickBot="1">
      <c r="A91" s="22" t="s">
        <v>94</v>
      </c>
      <c r="B91" s="23" t="s">
        <v>72</v>
      </c>
      <c r="C91" s="31" t="str">
        <f>+C3</f>
        <v>2017. évi előirányzat</v>
      </c>
    </row>
    <row r="92" spans="1:3" s="253" customFormat="1" ht="12" customHeight="1" thickBot="1">
      <c r="A92" s="27" t="s">
        <v>500</v>
      </c>
      <c r="B92" s="28" t="s">
        <v>501</v>
      </c>
      <c r="C92" s="249" t="s">
        <v>502</v>
      </c>
    </row>
    <row r="93" spans="1:6" ht="12" customHeight="1" thickBot="1">
      <c r="A93" s="21" t="s">
        <v>43</v>
      </c>
      <c r="B93" s="26" t="s">
        <v>554</v>
      </c>
      <c r="C93" s="175">
        <f aca="true" t="shared" si="3" ref="C93:C124">SUM(D93:F93)</f>
        <v>2002229101</v>
      </c>
      <c r="D93" s="564">
        <f>+D94+D95+D96+D97+D98+D111</f>
        <v>1118053937</v>
      </c>
      <c r="E93" s="169">
        <f>+E94+E95+E96+E97+E98+E111</f>
        <v>26260350</v>
      </c>
      <c r="F93" s="656">
        <f>F94+F95+F96+F97+F98+F111</f>
        <v>857914814</v>
      </c>
    </row>
    <row r="94" spans="1:6" ht="12" customHeight="1">
      <c r="A94" s="16" t="s">
        <v>122</v>
      </c>
      <c r="B94" s="9" t="s">
        <v>73</v>
      </c>
      <c r="C94" s="770">
        <f t="shared" si="3"/>
        <v>921999488</v>
      </c>
      <c r="D94" s="659">
        <f>25364000+1932000+165142000+105000+48000+8381882+232903371+281000+326126+85501355+54000-231000-1302308+140000+50000+124089+1643675</f>
        <v>520463190</v>
      </c>
      <c r="E94" s="517">
        <v>579000</v>
      </c>
      <c r="F94" s="558">
        <f>400743120+112360+2034476-1932658</f>
        <v>400957298</v>
      </c>
    </row>
    <row r="95" spans="1:6" ht="12" customHeight="1">
      <c r="A95" s="13" t="s">
        <v>123</v>
      </c>
      <c r="B95" s="7" t="s">
        <v>184</v>
      </c>
      <c r="C95" s="768">
        <f t="shared" si="3"/>
        <v>155934238</v>
      </c>
      <c r="D95" s="498">
        <f>5239000+425000+14000+19299000+23000+10000+922005+25618911+31000+35874+9405149+12000-45738-286508+51864+21830+69499+315700</f>
        <v>61161586</v>
      </c>
      <c r="E95" s="174">
        <v>231000</v>
      </c>
      <c r="F95" s="557">
        <f>94550329+22247+440742-471666</f>
        <v>94541652</v>
      </c>
    </row>
    <row r="96" spans="1:6" ht="12" customHeight="1">
      <c r="A96" s="13" t="s">
        <v>124</v>
      </c>
      <c r="B96" s="7" t="s">
        <v>153</v>
      </c>
      <c r="C96" s="768">
        <f t="shared" si="3"/>
        <v>661857970</v>
      </c>
      <c r="D96" s="508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+706000+361225+6840000+918292+13500+137360+2710661+209000-133428+570939</f>
        <v>298241756</v>
      </c>
      <c r="E96" s="244">
        <f>1141350+59000</f>
        <v>1200350</v>
      </c>
      <c r="F96" s="557">
        <f>377214048+80000-14878184</f>
        <v>362415864</v>
      </c>
    </row>
    <row r="97" spans="1:6" ht="12" customHeight="1">
      <c r="A97" s="13" t="s">
        <v>125</v>
      </c>
      <c r="B97" s="7" t="s">
        <v>185</v>
      </c>
      <c r="C97" s="701">
        <f t="shared" si="3"/>
        <v>95230000</v>
      </c>
      <c r="D97" s="508">
        <f>70980000</f>
        <v>70980000</v>
      </c>
      <c r="E97" s="244">
        <v>24250000</v>
      </c>
      <c r="F97" s="557"/>
    </row>
    <row r="98" spans="1:6" ht="12" customHeight="1">
      <c r="A98" s="13" t="s">
        <v>136</v>
      </c>
      <c r="B98" s="6" t="s">
        <v>186</v>
      </c>
      <c r="C98" s="701">
        <f t="shared" si="3"/>
        <v>50569298</v>
      </c>
      <c r="D98" s="508">
        <f>SUM(D99:D110)</f>
        <v>50569298</v>
      </c>
      <c r="E98" s="244">
        <f>SUM(E99:E110)</f>
        <v>0</v>
      </c>
      <c r="F98" s="244"/>
    </row>
    <row r="99" spans="1:6" ht="12" customHeight="1">
      <c r="A99" s="13" t="s">
        <v>126</v>
      </c>
      <c r="B99" s="7" t="s">
        <v>517</v>
      </c>
      <c r="C99" s="701">
        <f t="shared" si="3"/>
        <v>7243544</v>
      </c>
      <c r="D99" s="508">
        <f>1500+6098534+1143510</f>
        <v>7243544</v>
      </c>
      <c r="E99" s="244"/>
      <c r="F99" s="244"/>
    </row>
    <row r="100" spans="1:6" ht="12" customHeight="1">
      <c r="A100" s="13" t="s">
        <v>127</v>
      </c>
      <c r="B100" s="94" t="s">
        <v>518</v>
      </c>
      <c r="C100" s="701">
        <f t="shared" si="3"/>
        <v>0</v>
      </c>
      <c r="D100" s="508"/>
      <c r="E100" s="244"/>
      <c r="F100" s="244"/>
    </row>
    <row r="101" spans="1:6" ht="12" customHeight="1">
      <c r="A101" s="13" t="s">
        <v>137</v>
      </c>
      <c r="B101" s="94" t="s">
        <v>519</v>
      </c>
      <c r="C101" s="701">
        <f t="shared" si="3"/>
        <v>0</v>
      </c>
      <c r="D101" s="508"/>
      <c r="E101" s="244"/>
      <c r="F101" s="244"/>
    </row>
    <row r="102" spans="1:6" ht="12" customHeight="1">
      <c r="A102" s="13" t="s">
        <v>138</v>
      </c>
      <c r="B102" s="92" t="s">
        <v>336</v>
      </c>
      <c r="C102" s="701">
        <f t="shared" si="3"/>
        <v>0</v>
      </c>
      <c r="D102" s="508"/>
      <c r="E102" s="244"/>
      <c r="F102" s="244"/>
    </row>
    <row r="103" spans="1:6" ht="12" customHeight="1">
      <c r="A103" s="13" t="s">
        <v>139</v>
      </c>
      <c r="B103" s="93" t="s">
        <v>337</v>
      </c>
      <c r="C103" s="701">
        <f t="shared" si="3"/>
        <v>0</v>
      </c>
      <c r="D103" s="508"/>
      <c r="E103" s="244"/>
      <c r="F103" s="244"/>
    </row>
    <row r="104" spans="1:6" ht="12" customHeight="1">
      <c r="A104" s="13" t="s">
        <v>140</v>
      </c>
      <c r="B104" s="93" t="s">
        <v>338</v>
      </c>
      <c r="C104" s="701">
        <f t="shared" si="3"/>
        <v>0</v>
      </c>
      <c r="D104" s="508"/>
      <c r="E104" s="244"/>
      <c r="F104" s="244"/>
    </row>
    <row r="105" spans="1:6" ht="12" customHeight="1">
      <c r="A105" s="13" t="s">
        <v>142</v>
      </c>
      <c r="B105" s="92" t="s">
        <v>339</v>
      </c>
      <c r="C105" s="701">
        <f t="shared" si="3"/>
        <v>60754</v>
      </c>
      <c r="D105" s="508">
        <v>60754</v>
      </c>
      <c r="E105" s="244"/>
      <c r="F105" s="244"/>
    </row>
    <row r="106" spans="1:6" ht="12" customHeight="1">
      <c r="A106" s="13" t="s">
        <v>187</v>
      </c>
      <c r="B106" s="92" t="s">
        <v>340</v>
      </c>
      <c r="C106" s="701">
        <f t="shared" si="3"/>
        <v>0</v>
      </c>
      <c r="D106" s="698"/>
      <c r="E106" s="244"/>
      <c r="F106" s="244"/>
    </row>
    <row r="107" spans="1:6" ht="12" customHeight="1">
      <c r="A107" s="13" t="s">
        <v>334</v>
      </c>
      <c r="B107" s="93" t="s">
        <v>341</v>
      </c>
      <c r="C107" s="701">
        <f t="shared" si="3"/>
        <v>0</v>
      </c>
      <c r="D107" s="508"/>
      <c r="E107" s="244"/>
      <c r="F107" s="244"/>
    </row>
    <row r="108" spans="1:6" ht="12" customHeight="1">
      <c r="A108" s="12" t="s">
        <v>335</v>
      </c>
      <c r="B108" s="94" t="s">
        <v>342</v>
      </c>
      <c r="C108" s="701">
        <f t="shared" si="3"/>
        <v>0</v>
      </c>
      <c r="D108" s="508"/>
      <c r="E108" s="244"/>
      <c r="F108" s="244"/>
    </row>
    <row r="109" spans="1:6" ht="12" customHeight="1">
      <c r="A109" s="13" t="s">
        <v>520</v>
      </c>
      <c r="B109" s="94" t="s">
        <v>343</v>
      </c>
      <c r="C109" s="701">
        <f t="shared" si="3"/>
        <v>0</v>
      </c>
      <c r="D109" s="508"/>
      <c r="E109" s="244"/>
      <c r="F109" s="244"/>
    </row>
    <row r="110" spans="1:6" ht="12" customHeight="1">
      <c r="A110" s="15" t="s">
        <v>521</v>
      </c>
      <c r="B110" s="94" t="s">
        <v>344</v>
      </c>
      <c r="C110" s="701">
        <f t="shared" si="3"/>
        <v>43265000</v>
      </c>
      <c r="D110" s="498">
        <f>536000+1500000+500000+4000000+200000+189000+7562000+16678000+3500000+6600000+2000000</f>
        <v>43265000</v>
      </c>
      <c r="E110" s="174"/>
      <c r="F110" s="244"/>
    </row>
    <row r="111" spans="1:6" ht="12" customHeight="1">
      <c r="A111" s="13" t="s">
        <v>522</v>
      </c>
      <c r="B111" s="7" t="s">
        <v>74</v>
      </c>
      <c r="C111" s="701">
        <f t="shared" si="3"/>
        <v>116638107</v>
      </c>
      <c r="D111" s="498">
        <f>SUM(D112:D113)</f>
        <v>116638107</v>
      </c>
      <c r="E111" s="174"/>
      <c r="F111" s="174">
        <f>SUM(F112:F113)</f>
        <v>0</v>
      </c>
    </row>
    <row r="112" spans="1:6" ht="12" customHeight="1">
      <c r="A112" s="13" t="s">
        <v>523</v>
      </c>
      <c r="B112" s="7" t="s">
        <v>524</v>
      </c>
      <c r="C112" s="768">
        <f t="shared" si="3"/>
        <v>14493851</v>
      </c>
      <c r="D112" s="508">
        <f>20000000-9172313+8719388-4010722-1042502</f>
        <v>14493851</v>
      </c>
      <c r="E112" s="244"/>
      <c r="F112" s="174"/>
    </row>
    <row r="113" spans="1:6" ht="12" customHeight="1" thickBot="1">
      <c r="A113" s="17" t="s">
        <v>525</v>
      </c>
      <c r="B113" s="481" t="s">
        <v>526</v>
      </c>
      <c r="C113" s="769">
        <f t="shared" si="3"/>
        <v>102144256</v>
      </c>
      <c r="D113" s="660">
        <f>111113300-8373330-1600000-8539600-6323156-7948000-7343244+31158286</f>
        <v>102144256</v>
      </c>
      <c r="E113" s="529"/>
      <c r="F113" s="529"/>
    </row>
    <row r="114" spans="1:6" ht="12" customHeight="1" thickBot="1">
      <c r="A114" s="482" t="s">
        <v>44</v>
      </c>
      <c r="B114" s="483" t="s">
        <v>345</v>
      </c>
      <c r="C114" s="175">
        <f t="shared" si="3"/>
        <v>262209541</v>
      </c>
      <c r="D114" s="552">
        <f>+D115+D117+D119</f>
        <v>255757121</v>
      </c>
      <c r="E114" s="170">
        <f>+E115+E117+E119</f>
        <v>0</v>
      </c>
      <c r="F114" s="484">
        <f>+F115+F117+F119</f>
        <v>6452420</v>
      </c>
    </row>
    <row r="115" spans="1:6" ht="18.75" customHeight="1">
      <c r="A115" s="14" t="s">
        <v>128</v>
      </c>
      <c r="B115" s="7" t="s">
        <v>208</v>
      </c>
      <c r="C115" s="770">
        <f t="shared" si="3"/>
        <v>147581798</v>
      </c>
      <c r="D115" s="559">
        <f>6621000+787402+10624171+3081125+529000+1654000+447000+2237000+6604000+204000+15179276+979170-1000000+90000+2160000+4226991+40000+71809476+15956160</f>
        <v>142229771</v>
      </c>
      <c r="E115" s="293"/>
      <c r="F115" s="293">
        <f>5617027-265000</f>
        <v>5352027</v>
      </c>
    </row>
    <row r="116" spans="1:6" ht="12" customHeight="1">
      <c r="A116" s="14" t="s">
        <v>129</v>
      </c>
      <c r="B116" s="11" t="s">
        <v>349</v>
      </c>
      <c r="C116" s="768">
        <f t="shared" si="3"/>
        <v>101258334</v>
      </c>
      <c r="D116" s="559">
        <f>14492698-1000000+71809476+15956160</f>
        <v>101258334</v>
      </c>
      <c r="E116" s="293"/>
      <c r="F116" s="293"/>
    </row>
    <row r="117" spans="1:6" ht="12" customHeight="1">
      <c r="A117" s="14" t="s">
        <v>130</v>
      </c>
      <c r="B117" s="11" t="s">
        <v>188</v>
      </c>
      <c r="C117" s="768">
        <f t="shared" si="3"/>
        <v>68807743</v>
      </c>
      <c r="D117" s="498">
        <f>53340000+1513000+2996000+809000+7509510+1000000-60160+600000</f>
        <v>67707350</v>
      </c>
      <c r="E117" s="174"/>
      <c r="F117" s="174">
        <f>500000-134607+578000+157000</f>
        <v>1100393</v>
      </c>
    </row>
    <row r="118" spans="1:6" ht="12" customHeight="1">
      <c r="A118" s="14" t="s">
        <v>131</v>
      </c>
      <c r="B118" s="11" t="s">
        <v>350</v>
      </c>
      <c r="C118" s="701">
        <f t="shared" si="3"/>
        <v>54340000</v>
      </c>
      <c r="D118" s="498">
        <f>53340000+1000000</f>
        <v>54340000</v>
      </c>
      <c r="E118" s="521"/>
      <c r="F118" s="521"/>
    </row>
    <row r="119" spans="1:6" ht="12" customHeight="1">
      <c r="A119" s="14" t="s">
        <v>132</v>
      </c>
      <c r="B119" s="167" t="s">
        <v>210</v>
      </c>
      <c r="C119" s="701">
        <f t="shared" si="3"/>
        <v>45820000</v>
      </c>
      <c r="D119" s="508">
        <f>SUM(D120:D127)</f>
        <v>45820000</v>
      </c>
      <c r="E119" s="498"/>
      <c r="F119" s="498"/>
    </row>
    <row r="120" spans="1:6" ht="12" customHeight="1">
      <c r="A120" s="14" t="s">
        <v>141</v>
      </c>
      <c r="B120" s="166" t="s">
        <v>412</v>
      </c>
      <c r="C120" s="701">
        <f t="shared" si="3"/>
        <v>0</v>
      </c>
      <c r="D120" s="153"/>
      <c r="E120" s="153"/>
      <c r="F120" s="153"/>
    </row>
    <row r="121" spans="1:6" ht="12" customHeight="1">
      <c r="A121" s="14" t="s">
        <v>143</v>
      </c>
      <c r="B121" s="251" t="s">
        <v>355</v>
      </c>
      <c r="C121" s="701">
        <f t="shared" si="3"/>
        <v>0</v>
      </c>
      <c r="D121" s="153"/>
      <c r="E121" s="153"/>
      <c r="F121" s="153"/>
    </row>
    <row r="122" spans="1:6" ht="15.75">
      <c r="A122" s="14" t="s">
        <v>189</v>
      </c>
      <c r="B122" s="93" t="s">
        <v>338</v>
      </c>
      <c r="C122" s="701">
        <f t="shared" si="3"/>
        <v>0</v>
      </c>
      <c r="D122" s="153"/>
      <c r="E122" s="153"/>
      <c r="F122" s="153"/>
    </row>
    <row r="123" spans="1:6" ht="12" customHeight="1">
      <c r="A123" s="14" t="s">
        <v>190</v>
      </c>
      <c r="B123" s="93" t="s">
        <v>354</v>
      </c>
      <c r="C123" s="701">
        <f t="shared" si="3"/>
        <v>0</v>
      </c>
      <c r="D123" s="153"/>
      <c r="E123" s="153"/>
      <c r="F123" s="153"/>
    </row>
    <row r="124" spans="1:6" ht="12" customHeight="1">
      <c r="A124" s="14" t="s">
        <v>191</v>
      </c>
      <c r="B124" s="93" t="s">
        <v>353</v>
      </c>
      <c r="C124" s="701">
        <f t="shared" si="3"/>
        <v>0</v>
      </c>
      <c r="D124" s="153"/>
      <c r="E124" s="153"/>
      <c r="F124" s="153"/>
    </row>
    <row r="125" spans="1:6" ht="12" customHeight="1">
      <c r="A125" s="14" t="s">
        <v>346</v>
      </c>
      <c r="B125" s="93" t="s">
        <v>341</v>
      </c>
      <c r="C125" s="701">
        <f aca="true" t="shared" si="4" ref="C125:C154">SUM(D125:F125)</f>
        <v>0</v>
      </c>
      <c r="D125" s="153"/>
      <c r="E125" s="153"/>
      <c r="F125" s="153"/>
    </row>
    <row r="126" spans="1:6" ht="12" customHeight="1">
      <c r="A126" s="14" t="s">
        <v>347</v>
      </c>
      <c r="B126" s="93" t="s">
        <v>352</v>
      </c>
      <c r="C126" s="701">
        <f t="shared" si="4"/>
        <v>0</v>
      </c>
      <c r="D126" s="153"/>
      <c r="E126" s="153"/>
      <c r="F126" s="153"/>
    </row>
    <row r="127" spans="1:6" ht="16.5" thickBot="1">
      <c r="A127" s="12" t="s">
        <v>348</v>
      </c>
      <c r="B127" s="93" t="s">
        <v>351</v>
      </c>
      <c r="C127" s="702">
        <f t="shared" si="4"/>
        <v>45820000</v>
      </c>
      <c r="D127" s="154">
        <f>42072000+2400000+1348000</f>
        <v>45820000</v>
      </c>
      <c r="E127" s="508"/>
      <c r="F127" s="154"/>
    </row>
    <row r="128" spans="1:6" ht="12" customHeight="1" thickBot="1">
      <c r="A128" s="19" t="s">
        <v>45</v>
      </c>
      <c r="B128" s="88" t="s">
        <v>527</v>
      </c>
      <c r="C128" s="175">
        <f t="shared" si="4"/>
        <v>2264438642</v>
      </c>
      <c r="D128" s="552">
        <f>+D93+D114</f>
        <v>1373811058</v>
      </c>
      <c r="E128" s="170">
        <f>+E93+E114</f>
        <v>26260350</v>
      </c>
      <c r="F128" s="170">
        <f>+F93+F114</f>
        <v>864367234</v>
      </c>
    </row>
    <row r="129" spans="1:6" ht="12" customHeight="1" thickBot="1">
      <c r="A129" s="19" t="s">
        <v>46</v>
      </c>
      <c r="B129" s="88" t="s">
        <v>528</v>
      </c>
      <c r="C129" s="501">
        <f t="shared" si="4"/>
        <v>0</v>
      </c>
      <c r="D129" s="552">
        <f>+D130+D131+D132</f>
        <v>0</v>
      </c>
      <c r="E129" s="170">
        <f>+E130+E131+E132</f>
        <v>0</v>
      </c>
      <c r="F129" s="170">
        <f>+F130+F131+F132</f>
        <v>0</v>
      </c>
    </row>
    <row r="130" spans="1:6" ht="12" customHeight="1">
      <c r="A130" s="14" t="s">
        <v>246</v>
      </c>
      <c r="B130" s="11" t="s">
        <v>529</v>
      </c>
      <c r="C130" s="700">
        <f t="shared" si="4"/>
        <v>0</v>
      </c>
      <c r="D130" s="498"/>
      <c r="E130" s="498"/>
      <c r="F130" s="498"/>
    </row>
    <row r="131" spans="1:6" ht="12" customHeight="1">
      <c r="A131" s="14" t="s">
        <v>249</v>
      </c>
      <c r="B131" s="11" t="s">
        <v>530</v>
      </c>
      <c r="C131" s="701">
        <f t="shared" si="4"/>
        <v>0</v>
      </c>
      <c r="D131" s="153"/>
      <c r="E131" s="153"/>
      <c r="F131" s="153"/>
    </row>
    <row r="132" spans="1:6" ht="12" customHeight="1" thickBot="1">
      <c r="A132" s="12" t="s">
        <v>250</v>
      </c>
      <c r="B132" s="11" t="s">
        <v>531</v>
      </c>
      <c r="C132" s="702">
        <f t="shared" si="4"/>
        <v>0</v>
      </c>
      <c r="D132" s="153"/>
      <c r="E132" s="153"/>
      <c r="F132" s="153"/>
    </row>
    <row r="133" spans="1:6" ht="12" customHeight="1" thickBot="1">
      <c r="A133" s="19" t="s">
        <v>47</v>
      </c>
      <c r="B133" s="88" t="s">
        <v>532</v>
      </c>
      <c r="C133" s="501">
        <f t="shared" si="4"/>
        <v>0</v>
      </c>
      <c r="D133" s="552">
        <f>+D134+D135+D136+D137+D138+D139</f>
        <v>0</v>
      </c>
      <c r="E133" s="170">
        <f>+E134+E135+E136+E137+E138+E139</f>
        <v>0</v>
      </c>
      <c r="F133" s="170">
        <f>SUM(F134:F139)</f>
        <v>0</v>
      </c>
    </row>
    <row r="134" spans="1:6" ht="12" customHeight="1">
      <c r="A134" s="14" t="s">
        <v>115</v>
      </c>
      <c r="B134" s="8" t="s">
        <v>533</v>
      </c>
      <c r="C134" s="700">
        <f t="shared" si="4"/>
        <v>0</v>
      </c>
      <c r="D134" s="153"/>
      <c r="E134" s="153"/>
      <c r="F134" s="153"/>
    </row>
    <row r="135" spans="1:6" ht="12" customHeight="1">
      <c r="A135" s="14" t="s">
        <v>116</v>
      </c>
      <c r="B135" s="8" t="s">
        <v>534</v>
      </c>
      <c r="C135" s="701">
        <f t="shared" si="4"/>
        <v>0</v>
      </c>
      <c r="D135" s="153"/>
      <c r="E135" s="153"/>
      <c r="F135" s="153"/>
    </row>
    <row r="136" spans="1:6" ht="12" customHeight="1">
      <c r="A136" s="14" t="s">
        <v>117</v>
      </c>
      <c r="B136" s="8" t="s">
        <v>535</v>
      </c>
      <c r="C136" s="701">
        <f t="shared" si="4"/>
        <v>0</v>
      </c>
      <c r="D136" s="153"/>
      <c r="E136" s="153"/>
      <c r="F136" s="153"/>
    </row>
    <row r="137" spans="1:6" ht="12" customHeight="1">
      <c r="A137" s="14" t="s">
        <v>176</v>
      </c>
      <c r="B137" s="8" t="s">
        <v>536</v>
      </c>
      <c r="C137" s="701">
        <f t="shared" si="4"/>
        <v>0</v>
      </c>
      <c r="D137" s="153"/>
      <c r="E137" s="153"/>
      <c r="F137" s="153"/>
    </row>
    <row r="138" spans="1:6" ht="12" customHeight="1">
      <c r="A138" s="14" t="s">
        <v>177</v>
      </c>
      <c r="B138" s="8" t="s">
        <v>537</v>
      </c>
      <c r="C138" s="701">
        <f t="shared" si="4"/>
        <v>0</v>
      </c>
      <c r="D138" s="153"/>
      <c r="E138" s="153"/>
      <c r="F138" s="153"/>
    </row>
    <row r="139" spans="1:6" ht="12" customHeight="1" thickBot="1">
      <c r="A139" s="12" t="s">
        <v>178</v>
      </c>
      <c r="B139" s="8" t="s">
        <v>538</v>
      </c>
      <c r="C139" s="702">
        <f t="shared" si="4"/>
        <v>0</v>
      </c>
      <c r="D139" s="153"/>
      <c r="E139" s="153"/>
      <c r="F139" s="153"/>
    </row>
    <row r="140" spans="1:6" ht="12" customHeight="1" thickBot="1">
      <c r="A140" s="19" t="s">
        <v>48</v>
      </c>
      <c r="B140" s="88" t="s">
        <v>539</v>
      </c>
      <c r="C140" s="175">
        <f t="shared" si="4"/>
        <v>35164932</v>
      </c>
      <c r="D140" s="556">
        <f>+D141+D142+D143+D144</f>
        <v>35164932</v>
      </c>
      <c r="E140" s="175">
        <f>+E141+E142+E143+E144</f>
        <v>0</v>
      </c>
      <c r="F140" s="175">
        <f>+F141+F142+F143+F144</f>
        <v>0</v>
      </c>
    </row>
    <row r="141" spans="1:6" ht="12" customHeight="1">
      <c r="A141" s="14" t="s">
        <v>118</v>
      </c>
      <c r="B141" s="8" t="s">
        <v>356</v>
      </c>
      <c r="C141" s="700">
        <f t="shared" si="4"/>
        <v>0</v>
      </c>
      <c r="D141" s="153"/>
      <c r="E141" s="153"/>
      <c r="F141" s="153"/>
    </row>
    <row r="142" spans="1:6" ht="12" customHeight="1">
      <c r="A142" s="14" t="s">
        <v>119</v>
      </c>
      <c r="B142" s="8" t="s">
        <v>357</v>
      </c>
      <c r="C142" s="701">
        <f t="shared" si="4"/>
        <v>35164932</v>
      </c>
      <c r="D142" s="153">
        <v>35164932</v>
      </c>
      <c r="E142" s="153"/>
      <c r="F142" s="153"/>
    </row>
    <row r="143" spans="1:6" ht="12" customHeight="1">
      <c r="A143" s="14" t="s">
        <v>270</v>
      </c>
      <c r="B143" s="8" t="s">
        <v>540</v>
      </c>
      <c r="C143" s="701">
        <f t="shared" si="4"/>
        <v>0</v>
      </c>
      <c r="D143" s="153"/>
      <c r="E143" s="153"/>
      <c r="F143" s="153"/>
    </row>
    <row r="144" spans="1:6" ht="12" customHeight="1" thickBot="1">
      <c r="A144" s="12" t="s">
        <v>271</v>
      </c>
      <c r="B144" s="6" t="s">
        <v>375</v>
      </c>
      <c r="C144" s="702">
        <f t="shared" si="4"/>
        <v>0</v>
      </c>
      <c r="D144" s="153"/>
      <c r="E144" s="153"/>
      <c r="F144" s="153"/>
    </row>
    <row r="145" spans="1:6" ht="12" customHeight="1" thickBot="1">
      <c r="A145" s="19" t="s">
        <v>49</v>
      </c>
      <c r="B145" s="88" t="s">
        <v>541</v>
      </c>
      <c r="C145" s="501">
        <f t="shared" si="4"/>
        <v>0</v>
      </c>
      <c r="D145" s="567">
        <f>+D146+D147+D148+D149+D150</f>
        <v>0</v>
      </c>
      <c r="E145" s="178">
        <f>+E146+E147+E148+E149+E150</f>
        <v>0</v>
      </c>
      <c r="F145" s="178">
        <f>SUM(F146:F150)</f>
        <v>0</v>
      </c>
    </row>
    <row r="146" spans="1:6" ht="12" customHeight="1">
      <c r="A146" s="14" t="s">
        <v>120</v>
      </c>
      <c r="B146" s="8" t="s">
        <v>542</v>
      </c>
      <c r="C146" s="700">
        <f t="shared" si="4"/>
        <v>0</v>
      </c>
      <c r="D146" s="153"/>
      <c r="E146" s="153"/>
      <c r="F146" s="153"/>
    </row>
    <row r="147" spans="1:6" ht="12" customHeight="1">
      <c r="A147" s="14" t="s">
        <v>121</v>
      </c>
      <c r="B147" s="8" t="s">
        <v>543</v>
      </c>
      <c r="C147" s="701">
        <f t="shared" si="4"/>
        <v>0</v>
      </c>
      <c r="D147" s="153"/>
      <c r="E147" s="153"/>
      <c r="F147" s="153"/>
    </row>
    <row r="148" spans="1:6" ht="12" customHeight="1">
      <c r="A148" s="14" t="s">
        <v>282</v>
      </c>
      <c r="B148" s="8" t="s">
        <v>544</v>
      </c>
      <c r="C148" s="701">
        <f t="shared" si="4"/>
        <v>0</v>
      </c>
      <c r="D148" s="153"/>
      <c r="E148" s="153"/>
      <c r="F148" s="153"/>
    </row>
    <row r="149" spans="1:6" ht="12" customHeight="1">
      <c r="A149" s="14" t="s">
        <v>283</v>
      </c>
      <c r="B149" s="8" t="s">
        <v>545</v>
      </c>
      <c r="C149" s="701">
        <f t="shared" si="4"/>
        <v>0</v>
      </c>
      <c r="D149" s="153"/>
      <c r="E149" s="153"/>
      <c r="F149" s="153"/>
    </row>
    <row r="150" spans="1:6" ht="12" customHeight="1" thickBot="1">
      <c r="A150" s="14" t="s">
        <v>546</v>
      </c>
      <c r="B150" s="8" t="s">
        <v>547</v>
      </c>
      <c r="C150" s="702">
        <f t="shared" si="4"/>
        <v>0</v>
      </c>
      <c r="D150" s="154"/>
      <c r="E150" s="154"/>
      <c r="F150" s="153"/>
    </row>
    <row r="151" spans="1:6" ht="12" customHeight="1" thickBot="1">
      <c r="A151" s="19" t="s">
        <v>50</v>
      </c>
      <c r="B151" s="88" t="s">
        <v>548</v>
      </c>
      <c r="C151" s="170">
        <f t="shared" si="4"/>
        <v>0</v>
      </c>
      <c r="D151" s="567"/>
      <c r="E151" s="178"/>
      <c r="F151" s="485"/>
    </row>
    <row r="152" spans="1:6" ht="12" customHeight="1" thickBot="1">
      <c r="A152" s="19" t="s">
        <v>51</v>
      </c>
      <c r="B152" s="88" t="s">
        <v>549</v>
      </c>
      <c r="C152" s="169">
        <f t="shared" si="4"/>
        <v>0</v>
      </c>
      <c r="D152" s="567"/>
      <c r="E152" s="178"/>
      <c r="F152" s="485"/>
    </row>
    <row r="153" spans="1:9" ht="15" customHeight="1" thickBot="1">
      <c r="A153" s="19" t="s">
        <v>52</v>
      </c>
      <c r="B153" s="88" t="s">
        <v>550</v>
      </c>
      <c r="C153" s="169">
        <f t="shared" si="4"/>
        <v>35164932</v>
      </c>
      <c r="D153" s="570">
        <f>+D129+D133+D140+D145+D151+D152</f>
        <v>35164932</v>
      </c>
      <c r="E153" s="265">
        <f>+E129+E133+E140+E145+E151+E152</f>
        <v>0</v>
      </c>
      <c r="F153" s="265">
        <f>+F129+F133+F140+F145+F151+F152</f>
        <v>0</v>
      </c>
      <c r="G153" s="266"/>
      <c r="H153" s="266"/>
      <c r="I153" s="266"/>
    </row>
    <row r="154" spans="1:6" s="254" customFormat="1" ht="12.75" customHeight="1" thickBot="1">
      <c r="A154" s="168" t="s">
        <v>53</v>
      </c>
      <c r="B154" s="240" t="s">
        <v>551</v>
      </c>
      <c r="C154" s="170">
        <f t="shared" si="4"/>
        <v>2299603574</v>
      </c>
      <c r="D154" s="570">
        <f>+D128+D153</f>
        <v>1408975990</v>
      </c>
      <c r="E154" s="265">
        <f>+E128+E153</f>
        <v>26260350</v>
      </c>
      <c r="F154" s="265">
        <f>+F128+F153</f>
        <v>864367234</v>
      </c>
    </row>
    <row r="155" ht="7.5" customHeight="1"/>
    <row r="156" spans="1:3" ht="15.75">
      <c r="A156" s="904" t="s">
        <v>358</v>
      </c>
      <c r="B156" s="904"/>
      <c r="C156" s="904"/>
    </row>
    <row r="157" spans="1:3" ht="15" customHeight="1" thickBot="1">
      <c r="A157" s="901" t="s">
        <v>165</v>
      </c>
      <c r="B157" s="901"/>
      <c r="C157" s="179" t="s">
        <v>651</v>
      </c>
    </row>
    <row r="158" spans="1:3" ht="13.5" customHeight="1" thickBot="1">
      <c r="A158" s="19">
        <v>1</v>
      </c>
      <c r="B158" s="25" t="s">
        <v>552</v>
      </c>
      <c r="C158" s="170">
        <f>+C62-C128</f>
        <v>34702761</v>
      </c>
    </row>
    <row r="159" spans="1:3" ht="27.75" customHeight="1" thickBot="1">
      <c r="A159" s="19" t="s">
        <v>44</v>
      </c>
      <c r="B159" s="25" t="s">
        <v>553</v>
      </c>
      <c r="C159" s="170">
        <f>+C86-C153</f>
        <v>256969033</v>
      </c>
    </row>
    <row r="160" ht="15.75">
      <c r="F160" s="783"/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 20/2017.(VI.29.)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41" sqref="C4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 melléklet a ……/",LEFT(#REF!,4),". (….) önkormányzati rendelethez")</f>
        <v>#REF!</v>
      </c>
    </row>
    <row r="2" spans="1:3" s="288" customFormat="1" ht="36" customHeight="1">
      <c r="A2" s="245" t="s">
        <v>200</v>
      </c>
      <c r="B2" s="223" t="s">
        <v>648</v>
      </c>
      <c r="C2" s="845" t="s">
        <v>85</v>
      </c>
    </row>
    <row r="3" spans="1:3" s="288" customFormat="1" ht="24.75" thickBot="1">
      <c r="A3" s="281" t="s">
        <v>199</v>
      </c>
      <c r="B3" s="224" t="s">
        <v>383</v>
      </c>
      <c r="C3" s="846" t="s">
        <v>77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16740250</v>
      </c>
    </row>
    <row r="9" spans="1:3" s="239" customFormat="1" ht="12" customHeight="1">
      <c r="A9" s="282" t="s">
        <v>122</v>
      </c>
      <c r="B9" s="9" t="s">
        <v>259</v>
      </c>
      <c r="C9" s="852">
        <v>150000</v>
      </c>
    </row>
    <row r="10" spans="1:3" s="239" customFormat="1" ht="12" customHeight="1">
      <c r="A10" s="283" t="s">
        <v>123</v>
      </c>
      <c r="B10" s="7" t="s">
        <v>260</v>
      </c>
      <c r="C10" s="853">
        <f>10400000+862205</f>
        <v>11262205</v>
      </c>
    </row>
    <row r="11" spans="1:3" s="239" customFormat="1" ht="12" customHeight="1">
      <c r="A11" s="283" t="s">
        <v>124</v>
      </c>
      <c r="B11" s="7" t="s">
        <v>261</v>
      </c>
      <c r="C11" s="853">
        <v>900000</v>
      </c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/>
    </row>
    <row r="14" spans="1:3" s="239" customFormat="1" ht="12" customHeight="1">
      <c r="A14" s="283" t="s">
        <v>126</v>
      </c>
      <c r="B14" s="7" t="s">
        <v>384</v>
      </c>
      <c r="C14" s="853">
        <f>1661250+232795</f>
        <v>1894045</v>
      </c>
    </row>
    <row r="15" spans="1:3" s="239" customFormat="1" ht="12" customHeight="1">
      <c r="A15" s="283" t="s">
        <v>127</v>
      </c>
      <c r="B15" s="6" t="s">
        <v>385</v>
      </c>
      <c r="C15" s="853">
        <v>2534000</v>
      </c>
    </row>
    <row r="16" spans="1:3" s="239" customFormat="1" ht="12" customHeight="1">
      <c r="A16" s="283" t="s">
        <v>137</v>
      </c>
      <c r="B16" s="7" t="s">
        <v>266</v>
      </c>
      <c r="C16" s="854"/>
    </row>
    <row r="17" spans="1:3" s="291" customFormat="1" ht="12" customHeight="1">
      <c r="A17" s="283" t="s">
        <v>138</v>
      </c>
      <c r="B17" s="7" t="s">
        <v>267</v>
      </c>
      <c r="C17" s="853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/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/>
    </row>
    <row r="24" spans="1:3" s="291" customFormat="1" ht="12" customHeight="1" thickBot="1">
      <c r="A24" s="283" t="s">
        <v>131</v>
      </c>
      <c r="B24" s="7" t="s">
        <v>593</v>
      </c>
      <c r="C24" s="853"/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/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16740250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78491828</v>
      </c>
    </row>
    <row r="38" spans="1:3" s="239" customFormat="1" ht="12" customHeight="1">
      <c r="A38" s="284" t="s">
        <v>394</v>
      </c>
      <c r="B38" s="285" t="s">
        <v>217</v>
      </c>
      <c r="C38" s="857">
        <v>178326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78947681+800303-184544+80000-1588816+258878</f>
        <v>78313502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95232078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92586424</v>
      </c>
    </row>
    <row r="46" spans="1:3" ht="12" customHeight="1">
      <c r="A46" s="283" t="s">
        <v>122</v>
      </c>
      <c r="B46" s="8" t="s">
        <v>73</v>
      </c>
      <c r="C46" s="857">
        <f>41027225+658050-382364-1132008-170300+60000+80000+900040</f>
        <v>41040643</v>
      </c>
    </row>
    <row r="47" spans="1:3" ht="12" customHeight="1">
      <c r="A47" s="283" t="s">
        <v>123</v>
      </c>
      <c r="B47" s="7" t="s">
        <v>184</v>
      </c>
      <c r="C47" s="865">
        <f>9482677+142253-84120-249042-37466+11880+39984+177100</f>
        <v>9483266</v>
      </c>
    </row>
    <row r="48" spans="1:3" ht="12" customHeight="1">
      <c r="A48" s="283" t="s">
        <v>124</v>
      </c>
      <c r="B48" s="7" t="s">
        <v>153</v>
      </c>
      <c r="C48" s="865">
        <f>41615701+281940+80000-71880-119984+276738</f>
        <v>42062515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2645654</v>
      </c>
    </row>
    <row r="52" spans="1:3" s="292" customFormat="1" ht="12" customHeight="1">
      <c r="A52" s="283" t="s">
        <v>128</v>
      </c>
      <c r="B52" s="8" t="s">
        <v>208</v>
      </c>
      <c r="C52" s="866">
        <v>2645654</v>
      </c>
    </row>
    <row r="53" spans="1:3" ht="12" customHeight="1">
      <c r="A53" s="283" t="s">
        <v>129</v>
      </c>
      <c r="B53" s="7" t="s">
        <v>188</v>
      </c>
      <c r="C53" s="865"/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95232078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71">
        <v>17.75</v>
      </c>
    </row>
    <row r="60" spans="1:3" ht="13.5" thickBot="1">
      <c r="A60" s="149" t="s">
        <v>202</v>
      </c>
      <c r="B60" s="150"/>
      <c r="C60" s="8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20. melléklet a 20/2017.(VI.29.)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B1">
      <selection activeCell="F66" sqref="F66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+CONCATENATE("9.3.1. melléklet a ……/",LEFT(#REF!,4),". (….) önkormányzati rendelethez")</f>
        <v>#REF!</v>
      </c>
    </row>
    <row r="2" spans="1:3" s="288" customFormat="1" ht="33" customHeight="1">
      <c r="A2" s="245" t="s">
        <v>200</v>
      </c>
      <c r="B2" s="223" t="s">
        <v>648</v>
      </c>
      <c r="C2" s="845" t="s">
        <v>85</v>
      </c>
    </row>
    <row r="3" spans="1:3" s="288" customFormat="1" ht="24.75" thickBot="1">
      <c r="A3" s="281" t="s">
        <v>199</v>
      </c>
      <c r="B3" s="224" t="s">
        <v>401</v>
      </c>
      <c r="C3" s="846" t="s">
        <v>84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15645250</v>
      </c>
    </row>
    <row r="9" spans="1:3" s="239" customFormat="1" ht="12" customHeight="1">
      <c r="A9" s="282" t="s">
        <v>122</v>
      </c>
      <c r="B9" s="9" t="s">
        <v>259</v>
      </c>
      <c r="C9" s="852">
        <v>150000</v>
      </c>
    </row>
    <row r="10" spans="1:3" s="239" customFormat="1" ht="12" customHeight="1">
      <c r="A10" s="283" t="s">
        <v>123</v>
      </c>
      <c r="B10" s="7" t="s">
        <v>260</v>
      </c>
      <c r="C10" s="853">
        <v>10400000</v>
      </c>
    </row>
    <row r="11" spans="1:3" s="239" customFormat="1" ht="12" customHeight="1">
      <c r="A11" s="283" t="s">
        <v>124</v>
      </c>
      <c r="B11" s="7" t="s">
        <v>261</v>
      </c>
      <c r="C11" s="853">
        <v>900000</v>
      </c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/>
    </row>
    <row r="14" spans="1:3" s="239" customFormat="1" ht="12" customHeight="1">
      <c r="A14" s="283" t="s">
        <v>126</v>
      </c>
      <c r="B14" s="7" t="s">
        <v>384</v>
      </c>
      <c r="C14" s="853">
        <v>1661250</v>
      </c>
    </row>
    <row r="15" spans="1:3" s="239" customFormat="1" ht="12" customHeight="1">
      <c r="A15" s="283" t="s">
        <v>127</v>
      </c>
      <c r="B15" s="6" t="s">
        <v>385</v>
      </c>
      <c r="C15" s="853">
        <v>2534000</v>
      </c>
    </row>
    <row r="16" spans="1:3" s="239" customFormat="1" ht="12" customHeight="1">
      <c r="A16" s="283" t="s">
        <v>137</v>
      </c>
      <c r="B16" s="7" t="s">
        <v>266</v>
      </c>
      <c r="C16" s="854"/>
    </row>
    <row r="17" spans="1:3" s="291" customFormat="1" ht="12" customHeight="1">
      <c r="A17" s="283" t="s">
        <v>138</v>
      </c>
      <c r="B17" s="7" t="s">
        <v>267</v>
      </c>
      <c r="C17" s="853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/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/>
    </row>
    <row r="24" spans="1:3" s="291" customFormat="1" ht="12" customHeight="1" thickBot="1">
      <c r="A24" s="283" t="s">
        <v>131</v>
      </c>
      <c r="B24" s="7" t="s">
        <v>593</v>
      </c>
      <c r="C24" s="853"/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/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15645250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79586828</v>
      </c>
    </row>
    <row r="38" spans="1:3" s="239" customFormat="1" ht="12" customHeight="1">
      <c r="A38" s="284" t="s">
        <v>394</v>
      </c>
      <c r="B38" s="285" t="s">
        <v>217</v>
      </c>
      <c r="C38" s="857">
        <v>178326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78947681+800303-184544+80000-1588816+1353878</f>
        <v>79408502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95232078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92586424</v>
      </c>
    </row>
    <row r="46" spans="1:3" ht="12" customHeight="1">
      <c r="A46" s="283" t="s">
        <v>122</v>
      </c>
      <c r="B46" s="8" t="s">
        <v>73</v>
      </c>
      <c r="C46" s="857">
        <f>41027225+658050-382364-1132008-170300+60000+80000+900040</f>
        <v>41040643</v>
      </c>
    </row>
    <row r="47" spans="1:3" ht="12" customHeight="1">
      <c r="A47" s="283" t="s">
        <v>123</v>
      </c>
      <c r="B47" s="7" t="s">
        <v>184</v>
      </c>
      <c r="C47" s="865">
        <f>9482677+142253-84120-249042-37466+11880+39984+177100</f>
        <v>9483266</v>
      </c>
    </row>
    <row r="48" spans="1:3" ht="12" customHeight="1">
      <c r="A48" s="283" t="s">
        <v>124</v>
      </c>
      <c r="B48" s="7" t="s">
        <v>153</v>
      </c>
      <c r="C48" s="865">
        <f>41615701+281940+80000-71880-119984+276738</f>
        <v>42062515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2645654</v>
      </c>
    </row>
    <row r="52" spans="1:3" s="292" customFormat="1" ht="12" customHeight="1">
      <c r="A52" s="283" t="s">
        <v>128</v>
      </c>
      <c r="B52" s="8" t="s">
        <v>208</v>
      </c>
      <c r="C52" s="866">
        <v>2645654</v>
      </c>
    </row>
    <row r="53" spans="1:3" ht="12" customHeight="1">
      <c r="A53" s="283" t="s">
        <v>129</v>
      </c>
      <c r="B53" s="7" t="s">
        <v>188</v>
      </c>
      <c r="C53" s="865"/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95232078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72">
        <v>17.75</v>
      </c>
    </row>
    <row r="60" spans="1:3" ht="13.5" thickBot="1">
      <c r="A60" s="149" t="s">
        <v>202</v>
      </c>
      <c r="B60" s="150"/>
      <c r="C60" s="8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21. melléklet a 20/2017.(VI.29.)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B1">
      <selection activeCell="F57" sqref="F57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 t="e">
        <f>+CONCATENATE("9.3.2. melléklet a ……/",LEFT(#REF!,4),". (….) önkormányzati rendelethez")</f>
        <v>#REF!</v>
      </c>
    </row>
    <row r="2" spans="1:3" s="288" customFormat="1" ht="36.75" customHeight="1">
      <c r="A2" s="245" t="s">
        <v>200</v>
      </c>
      <c r="B2" s="223" t="s">
        <v>648</v>
      </c>
      <c r="C2" s="237" t="s">
        <v>85</v>
      </c>
    </row>
    <row r="3" spans="1:3" s="288" customFormat="1" ht="24.75" thickBot="1">
      <c r="A3" s="281" t="s">
        <v>199</v>
      </c>
      <c r="B3" s="224" t="s">
        <v>402</v>
      </c>
      <c r="C3" s="238" t="s">
        <v>85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1095000</v>
      </c>
    </row>
    <row r="9" spans="1:3" s="239" customFormat="1" ht="12" customHeight="1">
      <c r="A9" s="282" t="s">
        <v>122</v>
      </c>
      <c r="B9" s="9" t="s">
        <v>259</v>
      </c>
      <c r="C9" s="228"/>
    </row>
    <row r="10" spans="1:3" s="239" customFormat="1" ht="12" customHeight="1">
      <c r="A10" s="283" t="s">
        <v>123</v>
      </c>
      <c r="B10" s="7" t="s">
        <v>260</v>
      </c>
      <c r="C10" s="184">
        <v>862205</v>
      </c>
    </row>
    <row r="11" spans="1:3" s="239" customFormat="1" ht="12" customHeight="1">
      <c r="A11" s="283" t="s">
        <v>124</v>
      </c>
      <c r="B11" s="7" t="s">
        <v>261</v>
      </c>
      <c r="C11" s="184"/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/>
    </row>
    <row r="14" spans="1:3" s="239" customFormat="1" ht="12" customHeight="1">
      <c r="A14" s="283" t="s">
        <v>126</v>
      </c>
      <c r="B14" s="7" t="s">
        <v>384</v>
      </c>
      <c r="C14" s="184">
        <v>232795</v>
      </c>
    </row>
    <row r="15" spans="1:3" s="239" customFormat="1" ht="12" customHeight="1">
      <c r="A15" s="283" t="s">
        <v>127</v>
      </c>
      <c r="B15" s="6" t="s">
        <v>385</v>
      </c>
      <c r="C15" s="184"/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/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184"/>
    </row>
    <row r="24" spans="1:3" s="291" customFormat="1" ht="12" customHeight="1" thickBot="1">
      <c r="A24" s="283" t="s">
        <v>131</v>
      </c>
      <c r="B24" s="7" t="s">
        <v>593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594</v>
      </c>
      <c r="C26" s="186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51"/>
    </row>
    <row r="28" spans="1:3" s="291" customFormat="1" ht="12" customHeight="1">
      <c r="A28" s="284" t="s">
        <v>249</v>
      </c>
      <c r="B28" s="286" t="s">
        <v>389</v>
      </c>
      <c r="C28" s="187"/>
    </row>
    <row r="29" spans="1:3" s="291" customFormat="1" ht="12" customHeight="1" thickBot="1">
      <c r="A29" s="283" t="s">
        <v>250</v>
      </c>
      <c r="B29" s="91" t="s">
        <v>595</v>
      </c>
      <c r="C29" s="54"/>
    </row>
    <row r="30" spans="1:3" s="291" customFormat="1" ht="12" customHeight="1" thickBot="1">
      <c r="A30" s="110" t="s">
        <v>47</v>
      </c>
      <c r="B30" s="88" t="s">
        <v>390</v>
      </c>
      <c r="C30" s="186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51"/>
    </row>
    <row r="32" spans="1:3" s="291" customFormat="1" ht="12" customHeight="1">
      <c r="A32" s="284" t="s">
        <v>116</v>
      </c>
      <c r="B32" s="286" t="s">
        <v>274</v>
      </c>
      <c r="C32" s="187"/>
    </row>
    <row r="33" spans="1:3" s="291" customFormat="1" ht="12" customHeight="1" thickBot="1">
      <c r="A33" s="283" t="s">
        <v>117</v>
      </c>
      <c r="B33" s="91" t="s">
        <v>275</v>
      </c>
      <c r="C33" s="54"/>
    </row>
    <row r="34" spans="1:3" s="239" customFormat="1" ht="12" customHeight="1" thickBot="1">
      <c r="A34" s="110" t="s">
        <v>48</v>
      </c>
      <c r="B34" s="88" t="s">
        <v>361</v>
      </c>
      <c r="C34" s="213"/>
    </row>
    <row r="35" spans="1:3" s="239" customFormat="1" ht="12" customHeight="1" thickBot="1">
      <c r="A35" s="110" t="s">
        <v>49</v>
      </c>
      <c r="B35" s="88" t="s">
        <v>391</v>
      </c>
      <c r="C35" s="230"/>
    </row>
    <row r="36" spans="1:3" s="239" customFormat="1" ht="12" customHeight="1" thickBot="1">
      <c r="A36" s="107" t="s">
        <v>50</v>
      </c>
      <c r="B36" s="88" t="s">
        <v>596</v>
      </c>
      <c r="C36" s="231">
        <f>+C8+C20+C25+C26+C30+C34+C35</f>
        <v>1095000</v>
      </c>
    </row>
    <row r="37" spans="1:3" s="239" customFormat="1" ht="12" customHeight="1" thickBot="1">
      <c r="A37" s="138" t="s">
        <v>51</v>
      </c>
      <c r="B37" s="88" t="s">
        <v>393</v>
      </c>
      <c r="C37" s="231">
        <f>+C38+C39+C40</f>
        <v>-1095000</v>
      </c>
    </row>
    <row r="38" spans="1:3" s="239" customFormat="1" ht="12" customHeight="1">
      <c r="A38" s="284" t="s">
        <v>394</v>
      </c>
      <c r="B38" s="285" t="s">
        <v>217</v>
      </c>
      <c r="C38" s="51"/>
    </row>
    <row r="39" spans="1:3" s="239" customFormat="1" ht="12" customHeight="1">
      <c r="A39" s="284" t="s">
        <v>395</v>
      </c>
      <c r="B39" s="286" t="s">
        <v>32</v>
      </c>
      <c r="C39" s="187"/>
    </row>
    <row r="40" spans="1:3" s="291" customFormat="1" ht="12" customHeight="1" thickBot="1">
      <c r="A40" s="283" t="s">
        <v>396</v>
      </c>
      <c r="B40" s="91" t="s">
        <v>397</v>
      </c>
      <c r="C40" s="54">
        <v>-1095000</v>
      </c>
    </row>
    <row r="41" spans="1:3" s="291" customFormat="1" ht="15" customHeight="1" thickBot="1">
      <c r="A41" s="138" t="s">
        <v>52</v>
      </c>
      <c r="B41" s="139" t="s">
        <v>398</v>
      </c>
      <c r="C41" s="234">
        <f>+C36+C37</f>
        <v>0</v>
      </c>
    </row>
    <row r="42" spans="1:3" s="291" customFormat="1" ht="15" customHeight="1">
      <c r="A42" s="140"/>
      <c r="B42" s="141"/>
      <c r="C42" s="232"/>
    </row>
    <row r="43" spans="1:3" ht="13.5" thickBot="1">
      <c r="A43" s="142"/>
      <c r="B43" s="143"/>
      <c r="C43" s="233"/>
    </row>
    <row r="44" spans="1:3" s="290" customFormat="1" ht="16.5" customHeight="1" thickBot="1">
      <c r="A44" s="144"/>
      <c r="B44" s="145" t="s">
        <v>81</v>
      </c>
      <c r="C44" s="234"/>
    </row>
    <row r="45" spans="1:3" s="292" customFormat="1" ht="12" customHeight="1" thickBot="1">
      <c r="A45" s="110" t="s">
        <v>43</v>
      </c>
      <c r="B45" s="88" t="s">
        <v>399</v>
      </c>
      <c r="C45" s="186">
        <f>SUM(C46:C50)</f>
        <v>0</v>
      </c>
    </row>
    <row r="46" spans="1:3" ht="12" customHeight="1">
      <c r="A46" s="283" t="s">
        <v>122</v>
      </c>
      <c r="B46" s="8" t="s">
        <v>73</v>
      </c>
      <c r="C46" s="51"/>
    </row>
    <row r="47" spans="1:3" ht="12" customHeight="1">
      <c r="A47" s="283" t="s">
        <v>123</v>
      </c>
      <c r="B47" s="7" t="s">
        <v>184</v>
      </c>
      <c r="C47" s="53"/>
    </row>
    <row r="48" spans="1:3" ht="12" customHeight="1">
      <c r="A48" s="283" t="s">
        <v>124</v>
      </c>
      <c r="B48" s="7" t="s">
        <v>153</v>
      </c>
      <c r="C48" s="53"/>
    </row>
    <row r="49" spans="1:3" ht="12" customHeight="1">
      <c r="A49" s="283" t="s">
        <v>125</v>
      </c>
      <c r="B49" s="7" t="s">
        <v>185</v>
      </c>
      <c r="C49" s="53"/>
    </row>
    <row r="50" spans="1:3" ht="12" customHeight="1" thickBot="1">
      <c r="A50" s="283" t="s">
        <v>160</v>
      </c>
      <c r="B50" s="7" t="s">
        <v>186</v>
      </c>
      <c r="C50" s="53"/>
    </row>
    <row r="51" spans="1:3" ht="12" customHeight="1" thickBot="1">
      <c r="A51" s="110" t="s">
        <v>44</v>
      </c>
      <c r="B51" s="88" t="s">
        <v>400</v>
      </c>
      <c r="C51" s="186">
        <f>SUM(C52:C54)</f>
        <v>0</v>
      </c>
    </row>
    <row r="52" spans="1:3" s="292" customFormat="1" ht="12" customHeight="1">
      <c r="A52" s="283" t="s">
        <v>128</v>
      </c>
      <c r="B52" s="8" t="s">
        <v>208</v>
      </c>
      <c r="C52" s="51"/>
    </row>
    <row r="53" spans="1:3" ht="12" customHeight="1">
      <c r="A53" s="283" t="s">
        <v>129</v>
      </c>
      <c r="B53" s="7" t="s">
        <v>188</v>
      </c>
      <c r="C53" s="53"/>
    </row>
    <row r="54" spans="1:3" ht="12" customHeight="1">
      <c r="A54" s="283" t="s">
        <v>130</v>
      </c>
      <c r="B54" s="7" t="s">
        <v>82</v>
      </c>
      <c r="C54" s="53"/>
    </row>
    <row r="55" spans="1:3" ht="12" customHeight="1" thickBot="1">
      <c r="A55" s="283" t="s">
        <v>131</v>
      </c>
      <c r="B55" s="7" t="s">
        <v>586</v>
      </c>
      <c r="C55" s="53"/>
    </row>
    <row r="56" spans="1:3" ht="15" customHeight="1" thickBot="1">
      <c r="A56" s="110" t="s">
        <v>45</v>
      </c>
      <c r="B56" s="88" t="s">
        <v>39</v>
      </c>
      <c r="C56" s="213"/>
    </row>
    <row r="57" spans="1:3" ht="13.5" thickBot="1">
      <c r="A57" s="110" t="s">
        <v>46</v>
      </c>
      <c r="B57" s="146" t="s">
        <v>587</v>
      </c>
      <c r="C57" s="235">
        <f>+C45+C51+C56</f>
        <v>0</v>
      </c>
    </row>
    <row r="58" ht="15" customHeight="1" thickBot="1">
      <c r="C58" s="236"/>
    </row>
    <row r="59" spans="1:3" ht="14.25" customHeight="1" thickBot="1">
      <c r="A59" s="149" t="s">
        <v>579</v>
      </c>
      <c r="B59" s="150"/>
      <c r="C59" s="87"/>
    </row>
    <row r="60" spans="1:3" ht="13.5" thickBot="1">
      <c r="A60" s="149" t="s">
        <v>202</v>
      </c>
      <c r="B60" s="150"/>
      <c r="C60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20/2017.(VI.29.)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60" sqref="C6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 t="e">
        <f>+CONCATENATE("9.3. melléklet a ……/",LEFT(#REF!,4),". (….) önkormányzati rendelethez")</f>
        <v>#REF!</v>
      </c>
    </row>
    <row r="2" spans="1:3" s="288" customFormat="1" ht="36" customHeight="1">
      <c r="A2" s="245" t="s">
        <v>200</v>
      </c>
      <c r="B2" s="223" t="s">
        <v>597</v>
      </c>
      <c r="C2" s="237" t="s">
        <v>85</v>
      </c>
    </row>
    <row r="3" spans="1:3" s="288" customFormat="1" ht="24.75" thickBot="1">
      <c r="A3" s="281" t="s">
        <v>199</v>
      </c>
      <c r="B3" s="224" t="s">
        <v>383</v>
      </c>
      <c r="C3" s="238" t="s">
        <v>77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161297804</v>
      </c>
    </row>
    <row r="9" spans="1:3" s="239" customFormat="1" ht="12" customHeight="1">
      <c r="A9" s="282" t="s">
        <v>122</v>
      </c>
      <c r="B9" s="9" t="s">
        <v>259</v>
      </c>
      <c r="C9" s="228">
        <f>222694+52677</f>
        <v>275371</v>
      </c>
    </row>
    <row r="10" spans="1:3" s="239" customFormat="1" ht="12" customHeight="1">
      <c r="A10" s="283" t="s">
        <v>123</v>
      </c>
      <c r="B10" s="7" t="s">
        <v>260</v>
      </c>
      <c r="C10" s="184">
        <f>31214302+33071</f>
        <v>31247373</v>
      </c>
    </row>
    <row r="11" spans="1:3" s="239" customFormat="1" ht="12" customHeight="1">
      <c r="A11" s="283" t="s">
        <v>124</v>
      </c>
      <c r="B11" s="7" t="s">
        <v>261</v>
      </c>
      <c r="C11" s="184">
        <f>70218340+143307</f>
        <v>70361647</v>
      </c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>
        <v>20539068</v>
      </c>
    </row>
    <row r="14" spans="1:3" s="239" customFormat="1" ht="12" customHeight="1">
      <c r="A14" s="283" t="s">
        <v>126</v>
      </c>
      <c r="B14" s="7" t="s">
        <v>384</v>
      </c>
      <c r="C14" s="184">
        <f>24504500+8929+38693+14223</f>
        <v>24566345</v>
      </c>
    </row>
    <row r="15" spans="1:3" s="239" customFormat="1" ht="12" customHeight="1">
      <c r="A15" s="283" t="s">
        <v>127</v>
      </c>
      <c r="B15" s="6" t="s">
        <v>385</v>
      </c>
      <c r="C15" s="184">
        <v>14308000</v>
      </c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/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184"/>
    </row>
    <row r="24" spans="1:3" s="291" customFormat="1" ht="12" customHeight="1" thickBot="1">
      <c r="A24" s="283" t="s">
        <v>131</v>
      </c>
      <c r="B24" s="7" t="s">
        <v>593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594</v>
      </c>
      <c r="C26" s="186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51"/>
    </row>
    <row r="28" spans="1:3" s="291" customFormat="1" ht="12" customHeight="1">
      <c r="A28" s="284" t="s">
        <v>249</v>
      </c>
      <c r="B28" s="286" t="s">
        <v>389</v>
      </c>
      <c r="C28" s="187"/>
    </row>
    <row r="29" spans="1:3" s="291" customFormat="1" ht="12" customHeight="1" thickBot="1">
      <c r="A29" s="283" t="s">
        <v>250</v>
      </c>
      <c r="B29" s="91" t="s">
        <v>595</v>
      </c>
      <c r="C29" s="54"/>
    </row>
    <row r="30" spans="1:3" s="291" customFormat="1" ht="12" customHeight="1" thickBot="1">
      <c r="A30" s="110" t="s">
        <v>47</v>
      </c>
      <c r="B30" s="88" t="s">
        <v>390</v>
      </c>
      <c r="C30" s="186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51"/>
    </row>
    <row r="32" spans="1:3" s="291" customFormat="1" ht="12" customHeight="1">
      <c r="A32" s="284" t="s">
        <v>116</v>
      </c>
      <c r="B32" s="286" t="s">
        <v>274</v>
      </c>
      <c r="C32" s="187"/>
    </row>
    <row r="33" spans="1:3" s="291" customFormat="1" ht="12" customHeight="1" thickBot="1">
      <c r="A33" s="283" t="s">
        <v>117</v>
      </c>
      <c r="B33" s="91" t="s">
        <v>275</v>
      </c>
      <c r="C33" s="54"/>
    </row>
    <row r="34" spans="1:3" s="239" customFormat="1" ht="12" customHeight="1" thickBot="1">
      <c r="A34" s="110" t="s">
        <v>48</v>
      </c>
      <c r="B34" s="88" t="s">
        <v>361</v>
      </c>
      <c r="C34" s="213"/>
    </row>
    <row r="35" spans="1:3" s="239" customFormat="1" ht="12" customHeight="1" thickBot="1">
      <c r="A35" s="110" t="s">
        <v>49</v>
      </c>
      <c r="B35" s="88" t="s">
        <v>391</v>
      </c>
      <c r="C35" s="230"/>
    </row>
    <row r="36" spans="1:3" s="239" customFormat="1" ht="12" customHeight="1" thickBot="1">
      <c r="A36" s="107" t="s">
        <v>50</v>
      </c>
      <c r="B36" s="88" t="s">
        <v>596</v>
      </c>
      <c r="C36" s="231">
        <f>+C8+C20+C25+C26+C30+C34+C35</f>
        <v>161297804</v>
      </c>
    </row>
    <row r="37" spans="1:3" s="239" customFormat="1" ht="12" customHeight="1" thickBot="1">
      <c r="A37" s="138" t="s">
        <v>51</v>
      </c>
      <c r="B37" s="88" t="s">
        <v>393</v>
      </c>
      <c r="C37" s="231">
        <f>+C38+C39+C40</f>
        <v>169440452</v>
      </c>
    </row>
    <row r="38" spans="1:3" s="239" customFormat="1" ht="12" customHeight="1">
      <c r="A38" s="284" t="s">
        <v>394</v>
      </c>
      <c r="B38" s="285" t="s">
        <v>217</v>
      </c>
      <c r="C38" s="51">
        <v>2265992</v>
      </c>
    </row>
    <row r="39" spans="1:3" s="239" customFormat="1" ht="12" customHeight="1">
      <c r="A39" s="284" t="s">
        <v>395</v>
      </c>
      <c r="B39" s="286" t="s">
        <v>32</v>
      </c>
      <c r="C39" s="187"/>
    </row>
    <row r="40" spans="1:3" s="291" customFormat="1" ht="12" customHeight="1" thickBot="1">
      <c r="A40" s="283" t="s">
        <v>396</v>
      </c>
      <c r="B40" s="91" t="s">
        <v>397</v>
      </c>
      <c r="C40" s="54">
        <f>202169674+215612-34745860-464966</f>
        <v>167174460</v>
      </c>
    </row>
    <row r="41" spans="1:3" s="291" customFormat="1" ht="15" customHeight="1" thickBot="1">
      <c r="A41" s="138" t="s">
        <v>52</v>
      </c>
      <c r="B41" s="139" t="s">
        <v>398</v>
      </c>
      <c r="C41" s="234">
        <f>+C36+C37</f>
        <v>330738256</v>
      </c>
    </row>
    <row r="42" spans="1:3" s="291" customFormat="1" ht="15" customHeight="1">
      <c r="A42" s="140"/>
      <c r="B42" s="141"/>
      <c r="C42" s="232"/>
    </row>
    <row r="43" spans="1:3" ht="13.5" thickBot="1">
      <c r="A43" s="142"/>
      <c r="B43" s="143"/>
      <c r="C43" s="233"/>
    </row>
    <row r="44" spans="1:3" s="290" customFormat="1" ht="16.5" customHeight="1" thickBot="1">
      <c r="A44" s="144"/>
      <c r="B44" s="145" t="s">
        <v>81</v>
      </c>
      <c r="C44" s="234"/>
    </row>
    <row r="45" spans="1:3" s="292" customFormat="1" ht="12" customHeight="1" thickBot="1">
      <c r="A45" s="110" t="s">
        <v>43</v>
      </c>
      <c r="B45" s="88" t="s">
        <v>399</v>
      </c>
      <c r="C45" s="186">
        <f>SUM(C46:C50)</f>
        <v>329354825</v>
      </c>
    </row>
    <row r="46" spans="1:3" ht="12" customHeight="1">
      <c r="A46" s="283" t="s">
        <v>122</v>
      </c>
      <c r="B46" s="8" t="s">
        <v>73</v>
      </c>
      <c r="C46" s="51">
        <f>81034160+181808+112360-15308800+105973+124089</f>
        <v>66249590</v>
      </c>
    </row>
    <row r="47" spans="1:3" ht="12" customHeight="1">
      <c r="A47" s="283" t="s">
        <v>123</v>
      </c>
      <c r="B47" s="7" t="s">
        <v>184</v>
      </c>
      <c r="C47" s="53">
        <f>20018301+33804+22247-3360936+69499</f>
        <v>16782915</v>
      </c>
    </row>
    <row r="48" spans="1:3" ht="12" customHeight="1">
      <c r="A48" s="283" t="s">
        <v>124</v>
      </c>
      <c r="B48" s="7" t="s">
        <v>153</v>
      </c>
      <c r="C48" s="53">
        <f>262391117-15811124-133428-124245</f>
        <v>246322320</v>
      </c>
    </row>
    <row r="49" spans="1:3" ht="12" customHeight="1">
      <c r="A49" s="283" t="s">
        <v>125</v>
      </c>
      <c r="B49" s="7" t="s">
        <v>185</v>
      </c>
      <c r="C49" s="53"/>
    </row>
    <row r="50" spans="1:3" ht="12" customHeight="1" thickBot="1">
      <c r="A50" s="283" t="s">
        <v>160</v>
      </c>
      <c r="B50" s="7" t="s">
        <v>186</v>
      </c>
      <c r="C50" s="53"/>
    </row>
    <row r="51" spans="1:3" ht="12" customHeight="1" thickBot="1">
      <c r="A51" s="110" t="s">
        <v>44</v>
      </c>
      <c r="B51" s="88" t="s">
        <v>400</v>
      </c>
      <c r="C51" s="186">
        <f>SUM(C52:C54)</f>
        <v>1383431</v>
      </c>
    </row>
    <row r="52" spans="1:3" s="292" customFormat="1" ht="12" customHeight="1">
      <c r="A52" s="283" t="s">
        <v>128</v>
      </c>
      <c r="B52" s="8" t="s">
        <v>208</v>
      </c>
      <c r="C52" s="51">
        <f>1276298-265000+66900</f>
        <v>1078198</v>
      </c>
    </row>
    <row r="53" spans="1:3" ht="12" customHeight="1">
      <c r="A53" s="283" t="s">
        <v>129</v>
      </c>
      <c r="B53" s="7" t="s">
        <v>188</v>
      </c>
      <c r="C53" s="53">
        <f>500000-134607-60160</f>
        <v>305233</v>
      </c>
    </row>
    <row r="54" spans="1:3" ht="12" customHeight="1">
      <c r="A54" s="283" t="s">
        <v>130</v>
      </c>
      <c r="B54" s="7" t="s">
        <v>82</v>
      </c>
      <c r="C54" s="53"/>
    </row>
    <row r="55" spans="1:3" ht="12" customHeight="1" thickBot="1">
      <c r="A55" s="283" t="s">
        <v>131</v>
      </c>
      <c r="B55" s="7" t="s">
        <v>586</v>
      </c>
      <c r="C55" s="53"/>
    </row>
    <row r="56" spans="1:3" ht="15" customHeight="1" thickBot="1">
      <c r="A56" s="110" t="s">
        <v>45</v>
      </c>
      <c r="B56" s="88" t="s">
        <v>39</v>
      </c>
      <c r="C56" s="213"/>
    </row>
    <row r="57" spans="1:3" ht="13.5" thickBot="1">
      <c r="A57" s="110" t="s">
        <v>46</v>
      </c>
      <c r="B57" s="146" t="s">
        <v>587</v>
      </c>
      <c r="C57" s="235">
        <f>+C45+C51+C56</f>
        <v>330738256</v>
      </c>
    </row>
    <row r="58" ht="15" customHeight="1" thickBot="1">
      <c r="C58" s="236"/>
    </row>
    <row r="59" spans="1:3" ht="14.25" customHeight="1" thickBot="1">
      <c r="A59" s="149" t="s">
        <v>579</v>
      </c>
      <c r="B59" s="150"/>
      <c r="C59" s="87">
        <v>28</v>
      </c>
    </row>
    <row r="60" spans="1:3" ht="13.5" thickBot="1">
      <c r="A60" s="149" t="s">
        <v>202</v>
      </c>
      <c r="B60" s="150"/>
      <c r="C60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20/2017.(VI.29.)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60" sqref="C6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 t="e">
        <f>+CONCATENATE("9.3.1. melléklet a ……/",LEFT(#REF!,4),". (….) önkormányzati rendelethez")</f>
        <v>#REF!</v>
      </c>
    </row>
    <row r="2" spans="1:3" s="288" customFormat="1" ht="34.5" customHeight="1">
      <c r="A2" s="245" t="s">
        <v>200</v>
      </c>
      <c r="B2" s="223" t="s">
        <v>597</v>
      </c>
      <c r="C2" s="237" t="s">
        <v>85</v>
      </c>
    </row>
    <row r="3" spans="1:3" s="288" customFormat="1" ht="24.75" thickBot="1">
      <c r="A3" s="281" t="s">
        <v>199</v>
      </c>
      <c r="B3" s="224" t="s">
        <v>401</v>
      </c>
      <c r="C3" s="238" t="s">
        <v>84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144497158</v>
      </c>
    </row>
    <row r="9" spans="1:3" s="239" customFormat="1" ht="12" customHeight="1">
      <c r="A9" s="282" t="s">
        <v>122</v>
      </c>
      <c r="B9" s="9" t="s">
        <v>259</v>
      </c>
      <c r="C9" s="228">
        <v>222694</v>
      </c>
    </row>
    <row r="10" spans="1:3" s="239" customFormat="1" ht="12" customHeight="1">
      <c r="A10" s="283" t="s">
        <v>123</v>
      </c>
      <c r="B10" s="7" t="s">
        <v>260</v>
      </c>
      <c r="C10" s="184">
        <f>14512306+33071</f>
        <v>14545377</v>
      </c>
    </row>
    <row r="11" spans="1:3" s="239" customFormat="1" ht="12" customHeight="1">
      <c r="A11" s="283" t="s">
        <v>124</v>
      </c>
      <c r="B11" s="7" t="s">
        <v>261</v>
      </c>
      <c r="C11" s="184">
        <f>70193340+143307</f>
        <v>70336647</v>
      </c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>
        <v>20539068</v>
      </c>
    </row>
    <row r="14" spans="1:3" s="239" customFormat="1" ht="12" customHeight="1">
      <c r="A14" s="283" t="s">
        <v>126</v>
      </c>
      <c r="B14" s="7" t="s">
        <v>384</v>
      </c>
      <c r="C14" s="184">
        <f>24497750+8929+38693</f>
        <v>24545372</v>
      </c>
    </row>
    <row r="15" spans="1:3" s="239" customFormat="1" ht="12" customHeight="1">
      <c r="A15" s="283" t="s">
        <v>127</v>
      </c>
      <c r="B15" s="6" t="s">
        <v>385</v>
      </c>
      <c r="C15" s="184">
        <v>14308000</v>
      </c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/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184"/>
    </row>
    <row r="24" spans="1:3" s="291" customFormat="1" ht="12" customHeight="1" thickBot="1">
      <c r="A24" s="283" t="s">
        <v>131</v>
      </c>
      <c r="B24" s="7" t="s">
        <v>593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594</v>
      </c>
      <c r="C26" s="186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51"/>
    </row>
    <row r="28" spans="1:3" s="291" customFormat="1" ht="12" customHeight="1">
      <c r="A28" s="284" t="s">
        <v>249</v>
      </c>
      <c r="B28" s="286" t="s">
        <v>389</v>
      </c>
      <c r="C28" s="187"/>
    </row>
    <row r="29" spans="1:3" s="291" customFormat="1" ht="12" customHeight="1" thickBot="1">
      <c r="A29" s="283" t="s">
        <v>250</v>
      </c>
      <c r="B29" s="91" t="s">
        <v>595</v>
      </c>
      <c r="C29" s="54"/>
    </row>
    <row r="30" spans="1:3" s="291" customFormat="1" ht="12" customHeight="1" thickBot="1">
      <c r="A30" s="110" t="s">
        <v>47</v>
      </c>
      <c r="B30" s="88" t="s">
        <v>390</v>
      </c>
      <c r="C30" s="186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51"/>
    </row>
    <row r="32" spans="1:3" s="291" customFormat="1" ht="12" customHeight="1">
      <c r="A32" s="284" t="s">
        <v>116</v>
      </c>
      <c r="B32" s="286" t="s">
        <v>274</v>
      </c>
      <c r="C32" s="187"/>
    </row>
    <row r="33" spans="1:3" s="291" customFormat="1" ht="12" customHeight="1" thickBot="1">
      <c r="A33" s="283" t="s">
        <v>117</v>
      </c>
      <c r="B33" s="91" t="s">
        <v>275</v>
      </c>
      <c r="C33" s="54"/>
    </row>
    <row r="34" spans="1:3" s="239" customFormat="1" ht="12" customHeight="1" thickBot="1">
      <c r="A34" s="110" t="s">
        <v>48</v>
      </c>
      <c r="B34" s="88" t="s">
        <v>361</v>
      </c>
      <c r="C34" s="213"/>
    </row>
    <row r="35" spans="1:3" s="239" customFormat="1" ht="12" customHeight="1" thickBot="1">
      <c r="A35" s="110" t="s">
        <v>49</v>
      </c>
      <c r="B35" s="88" t="s">
        <v>391</v>
      </c>
      <c r="C35" s="230"/>
    </row>
    <row r="36" spans="1:3" s="239" customFormat="1" ht="12" customHeight="1" thickBot="1">
      <c r="A36" s="107" t="s">
        <v>50</v>
      </c>
      <c r="B36" s="88" t="s">
        <v>596</v>
      </c>
      <c r="C36" s="231">
        <f>+C8+C20+C25+C26+C30+C34+C35</f>
        <v>144497158</v>
      </c>
    </row>
    <row r="37" spans="1:3" s="239" customFormat="1" ht="12" customHeight="1" thickBot="1">
      <c r="A37" s="138" t="s">
        <v>51</v>
      </c>
      <c r="B37" s="88" t="s">
        <v>393</v>
      </c>
      <c r="C37" s="231">
        <f>+C38+C39+C40</f>
        <v>159986814</v>
      </c>
    </row>
    <row r="38" spans="1:3" s="239" customFormat="1" ht="12" customHeight="1">
      <c r="A38" s="284" t="s">
        <v>394</v>
      </c>
      <c r="B38" s="285" t="s">
        <v>217</v>
      </c>
      <c r="C38" s="51">
        <v>2265992</v>
      </c>
    </row>
    <row r="39" spans="1:3" s="239" customFormat="1" ht="12" customHeight="1">
      <c r="A39" s="284" t="s">
        <v>395</v>
      </c>
      <c r="B39" s="286" t="s">
        <v>32</v>
      </c>
      <c r="C39" s="187"/>
    </row>
    <row r="40" spans="1:3" s="291" customFormat="1" ht="12" customHeight="1" thickBot="1">
      <c r="A40" s="283" t="s">
        <v>396</v>
      </c>
      <c r="B40" s="91" t="s">
        <v>397</v>
      </c>
      <c r="C40" s="54">
        <f>192787844+170800-26996-34745860-464966</f>
        <v>157720822</v>
      </c>
    </row>
    <row r="41" spans="1:3" s="291" customFormat="1" ht="15" customHeight="1" thickBot="1">
      <c r="A41" s="138" t="s">
        <v>52</v>
      </c>
      <c r="B41" s="139" t="s">
        <v>398</v>
      </c>
      <c r="C41" s="234">
        <f>+C36+C37</f>
        <v>304483972</v>
      </c>
    </row>
    <row r="42" spans="1:3" s="291" customFormat="1" ht="15" customHeight="1">
      <c r="A42" s="140"/>
      <c r="B42" s="141"/>
      <c r="C42" s="232"/>
    </row>
    <row r="43" spans="1:3" ht="13.5" thickBot="1">
      <c r="A43" s="142"/>
      <c r="B43" s="143"/>
      <c r="C43" s="233"/>
    </row>
    <row r="44" spans="1:3" s="290" customFormat="1" ht="16.5" customHeight="1" thickBot="1">
      <c r="A44" s="144"/>
      <c r="B44" s="145" t="s">
        <v>81</v>
      </c>
      <c r="C44" s="234"/>
    </row>
    <row r="45" spans="1:3" s="292" customFormat="1" ht="12" customHeight="1" thickBot="1">
      <c r="A45" s="110" t="s">
        <v>43</v>
      </c>
      <c r="B45" s="88" t="s">
        <v>399</v>
      </c>
      <c r="C45" s="186">
        <f>SUM(C46:C50)</f>
        <v>303167441</v>
      </c>
    </row>
    <row r="46" spans="1:3" ht="12" customHeight="1">
      <c r="A46" s="283" t="s">
        <v>122</v>
      </c>
      <c r="B46" s="8" t="s">
        <v>73</v>
      </c>
      <c r="C46" s="51">
        <f>75543661+140000-18000+112360-15308800+105973+124089</f>
        <v>60699283</v>
      </c>
    </row>
    <row r="47" spans="1:3" ht="12" customHeight="1">
      <c r="A47" s="283" t="s">
        <v>123</v>
      </c>
      <c r="B47" s="7" t="s">
        <v>184</v>
      </c>
      <c r="C47" s="53">
        <f>18790516+30800-8996+22247-3360936+69499</f>
        <v>15543130</v>
      </c>
    </row>
    <row r="48" spans="1:3" ht="12" customHeight="1">
      <c r="A48" s="283" t="s">
        <v>124</v>
      </c>
      <c r="B48" s="7" t="s">
        <v>153</v>
      </c>
      <c r="C48" s="53">
        <f>242993825-15811124-124245-133428</f>
        <v>226925028</v>
      </c>
    </row>
    <row r="49" spans="1:3" ht="12" customHeight="1">
      <c r="A49" s="283" t="s">
        <v>125</v>
      </c>
      <c r="B49" s="7" t="s">
        <v>185</v>
      </c>
      <c r="C49" s="53"/>
    </row>
    <row r="50" spans="1:3" ht="12" customHeight="1" thickBot="1">
      <c r="A50" s="283" t="s">
        <v>160</v>
      </c>
      <c r="B50" s="7" t="s">
        <v>186</v>
      </c>
      <c r="C50" s="53"/>
    </row>
    <row r="51" spans="1:3" ht="12" customHeight="1" thickBot="1">
      <c r="A51" s="110" t="s">
        <v>44</v>
      </c>
      <c r="B51" s="88" t="s">
        <v>400</v>
      </c>
      <c r="C51" s="186">
        <f>SUM(C52:C54)</f>
        <v>1316531</v>
      </c>
    </row>
    <row r="52" spans="1:3" s="292" customFormat="1" ht="12" customHeight="1">
      <c r="A52" s="283" t="s">
        <v>128</v>
      </c>
      <c r="B52" s="8" t="s">
        <v>208</v>
      </c>
      <c r="C52" s="51">
        <f>1276298-265000</f>
        <v>1011298</v>
      </c>
    </row>
    <row r="53" spans="1:3" ht="12" customHeight="1">
      <c r="A53" s="283" t="s">
        <v>129</v>
      </c>
      <c r="B53" s="7" t="s">
        <v>188</v>
      </c>
      <c r="C53" s="53">
        <f>500000-134607-60160</f>
        <v>305233</v>
      </c>
    </row>
    <row r="54" spans="1:3" ht="12" customHeight="1">
      <c r="A54" s="283" t="s">
        <v>130</v>
      </c>
      <c r="B54" s="7" t="s">
        <v>82</v>
      </c>
      <c r="C54" s="53"/>
    </row>
    <row r="55" spans="1:3" ht="12" customHeight="1" thickBot="1">
      <c r="A55" s="283" t="s">
        <v>131</v>
      </c>
      <c r="B55" s="7" t="s">
        <v>586</v>
      </c>
      <c r="C55" s="53"/>
    </row>
    <row r="56" spans="1:3" ht="15" customHeight="1" thickBot="1">
      <c r="A56" s="110" t="s">
        <v>45</v>
      </c>
      <c r="B56" s="88" t="s">
        <v>39</v>
      </c>
      <c r="C56" s="213"/>
    </row>
    <row r="57" spans="1:3" ht="13.5" thickBot="1">
      <c r="A57" s="110" t="s">
        <v>46</v>
      </c>
      <c r="B57" s="146" t="s">
        <v>587</v>
      </c>
      <c r="C57" s="235">
        <f>+C45+C51+C56</f>
        <v>304483972</v>
      </c>
    </row>
    <row r="58" ht="15" customHeight="1" thickBot="1">
      <c r="C58" s="236"/>
    </row>
    <row r="59" spans="1:3" ht="14.25" customHeight="1" thickBot="1">
      <c r="A59" s="149" t="s">
        <v>579</v>
      </c>
      <c r="B59" s="150"/>
      <c r="C59" s="492">
        <v>24.5</v>
      </c>
    </row>
    <row r="60" spans="1:3" ht="13.5" thickBot="1">
      <c r="A60" s="149" t="s">
        <v>202</v>
      </c>
      <c r="B60" s="150"/>
      <c r="C60" s="8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 20/2017.(VI.29.)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41" sqref="C4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 t="e">
        <f>+CONCATENATE("9.3.2. melléklet a ……/",LEFT(#REF!,4),". (….) önkormányzati rendelethez")</f>
        <v>#REF!</v>
      </c>
    </row>
    <row r="2" spans="1:3" s="288" customFormat="1" ht="33.75" customHeight="1">
      <c r="A2" s="245" t="s">
        <v>200</v>
      </c>
      <c r="B2" s="223" t="s">
        <v>597</v>
      </c>
      <c r="C2" s="237" t="s">
        <v>85</v>
      </c>
    </row>
    <row r="3" spans="1:3" s="288" customFormat="1" ht="24.75" thickBot="1">
      <c r="A3" s="281" t="s">
        <v>199</v>
      </c>
      <c r="B3" s="224" t="s">
        <v>402</v>
      </c>
      <c r="C3" s="238" t="s">
        <v>85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16800646</v>
      </c>
    </row>
    <row r="9" spans="1:3" s="239" customFormat="1" ht="12" customHeight="1">
      <c r="A9" s="282" t="s">
        <v>122</v>
      </c>
      <c r="B9" s="9" t="s">
        <v>259</v>
      </c>
      <c r="C9" s="228">
        <v>52677</v>
      </c>
    </row>
    <row r="10" spans="1:3" s="239" customFormat="1" ht="12" customHeight="1">
      <c r="A10" s="283" t="s">
        <v>123</v>
      </c>
      <c r="B10" s="7" t="s">
        <v>260</v>
      </c>
      <c r="C10" s="184">
        <v>16701996</v>
      </c>
    </row>
    <row r="11" spans="1:3" s="239" customFormat="1" ht="12" customHeight="1">
      <c r="A11" s="283" t="s">
        <v>124</v>
      </c>
      <c r="B11" s="7" t="s">
        <v>261</v>
      </c>
      <c r="C11" s="184">
        <v>25000</v>
      </c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/>
    </row>
    <row r="14" spans="1:3" s="239" customFormat="1" ht="12" customHeight="1">
      <c r="A14" s="283" t="s">
        <v>126</v>
      </c>
      <c r="B14" s="7" t="s">
        <v>384</v>
      </c>
      <c r="C14" s="184">
        <f>6750+14223</f>
        <v>20973</v>
      </c>
    </row>
    <row r="15" spans="1:3" s="239" customFormat="1" ht="12" customHeight="1">
      <c r="A15" s="283" t="s">
        <v>127</v>
      </c>
      <c r="B15" s="6" t="s">
        <v>385</v>
      </c>
      <c r="C15" s="184"/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/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184"/>
    </row>
    <row r="24" spans="1:3" s="291" customFormat="1" ht="12" customHeight="1" thickBot="1">
      <c r="A24" s="283" t="s">
        <v>131</v>
      </c>
      <c r="B24" s="7" t="s">
        <v>593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594</v>
      </c>
      <c r="C26" s="186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51"/>
    </row>
    <row r="28" spans="1:3" s="291" customFormat="1" ht="12" customHeight="1">
      <c r="A28" s="284" t="s">
        <v>249</v>
      </c>
      <c r="B28" s="286" t="s">
        <v>389</v>
      </c>
      <c r="C28" s="187"/>
    </row>
    <row r="29" spans="1:3" s="291" customFormat="1" ht="12" customHeight="1" thickBot="1">
      <c r="A29" s="283" t="s">
        <v>250</v>
      </c>
      <c r="B29" s="91" t="s">
        <v>595</v>
      </c>
      <c r="C29" s="54"/>
    </row>
    <row r="30" spans="1:3" s="291" customFormat="1" ht="12" customHeight="1" thickBot="1">
      <c r="A30" s="110" t="s">
        <v>47</v>
      </c>
      <c r="B30" s="88" t="s">
        <v>390</v>
      </c>
      <c r="C30" s="186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51"/>
    </row>
    <row r="32" spans="1:3" s="291" customFormat="1" ht="12" customHeight="1">
      <c r="A32" s="284" t="s">
        <v>116</v>
      </c>
      <c r="B32" s="286" t="s">
        <v>274</v>
      </c>
      <c r="C32" s="187"/>
    </row>
    <row r="33" spans="1:3" s="291" customFormat="1" ht="12" customHeight="1" thickBot="1">
      <c r="A33" s="283" t="s">
        <v>117</v>
      </c>
      <c r="B33" s="91" t="s">
        <v>275</v>
      </c>
      <c r="C33" s="54"/>
    </row>
    <row r="34" spans="1:3" s="239" customFormat="1" ht="12" customHeight="1" thickBot="1">
      <c r="A34" s="110" t="s">
        <v>48</v>
      </c>
      <c r="B34" s="88" t="s">
        <v>361</v>
      </c>
      <c r="C34" s="213"/>
    </row>
    <row r="35" spans="1:3" s="239" customFormat="1" ht="12" customHeight="1" thickBot="1">
      <c r="A35" s="110" t="s">
        <v>49</v>
      </c>
      <c r="B35" s="88" t="s">
        <v>391</v>
      </c>
      <c r="C35" s="230"/>
    </row>
    <row r="36" spans="1:3" s="239" customFormat="1" ht="12" customHeight="1" thickBot="1">
      <c r="A36" s="107" t="s">
        <v>50</v>
      </c>
      <c r="B36" s="88" t="s">
        <v>596</v>
      </c>
      <c r="C36" s="231">
        <f>+C8+C20+C25+C26+C30+C34+C35</f>
        <v>16800646</v>
      </c>
    </row>
    <row r="37" spans="1:3" s="239" customFormat="1" ht="12" customHeight="1" thickBot="1">
      <c r="A37" s="138" t="s">
        <v>51</v>
      </c>
      <c r="B37" s="88" t="s">
        <v>393</v>
      </c>
      <c r="C37" s="231">
        <f>+C38+C39+C40</f>
        <v>9453638</v>
      </c>
    </row>
    <row r="38" spans="1:3" s="239" customFormat="1" ht="12" customHeight="1">
      <c r="A38" s="284" t="s">
        <v>394</v>
      </c>
      <c r="B38" s="285" t="s">
        <v>217</v>
      </c>
      <c r="C38" s="51"/>
    </row>
    <row r="39" spans="1:3" s="239" customFormat="1" ht="12" customHeight="1">
      <c r="A39" s="284" t="s">
        <v>395</v>
      </c>
      <c r="B39" s="286" t="s">
        <v>32</v>
      </c>
      <c r="C39" s="187"/>
    </row>
    <row r="40" spans="1:3" s="291" customFormat="1" ht="12" customHeight="1" thickBot="1">
      <c r="A40" s="283" t="s">
        <v>396</v>
      </c>
      <c r="B40" s="91" t="s">
        <v>397</v>
      </c>
      <c r="C40" s="54">
        <f>9381830+71808</f>
        <v>9453638</v>
      </c>
    </row>
    <row r="41" spans="1:3" s="291" customFormat="1" ht="15" customHeight="1" thickBot="1">
      <c r="A41" s="138" t="s">
        <v>52</v>
      </c>
      <c r="B41" s="139" t="s">
        <v>398</v>
      </c>
      <c r="C41" s="234">
        <f>+C36+C37</f>
        <v>26254284</v>
      </c>
    </row>
    <row r="42" spans="1:3" s="291" customFormat="1" ht="15" customHeight="1">
      <c r="A42" s="140"/>
      <c r="B42" s="141"/>
      <c r="C42" s="232"/>
    </row>
    <row r="43" spans="1:3" ht="13.5" thickBot="1">
      <c r="A43" s="142"/>
      <c r="B43" s="143"/>
      <c r="C43" s="233"/>
    </row>
    <row r="44" spans="1:3" s="290" customFormat="1" ht="16.5" customHeight="1" thickBot="1">
      <c r="A44" s="144"/>
      <c r="B44" s="145" t="s">
        <v>81</v>
      </c>
      <c r="C44" s="234"/>
    </row>
    <row r="45" spans="1:3" s="292" customFormat="1" ht="12" customHeight="1" thickBot="1">
      <c r="A45" s="110" t="s">
        <v>43</v>
      </c>
      <c r="B45" s="88" t="s">
        <v>399</v>
      </c>
      <c r="C45" s="186">
        <f>SUM(C46:C50)</f>
        <v>26187384</v>
      </c>
    </row>
    <row r="46" spans="1:3" ht="12" customHeight="1">
      <c r="A46" s="283" t="s">
        <v>122</v>
      </c>
      <c r="B46" s="8" t="s">
        <v>73</v>
      </c>
      <c r="C46" s="51">
        <f>5490499+59808</f>
        <v>5550307</v>
      </c>
    </row>
    <row r="47" spans="1:3" ht="12" customHeight="1">
      <c r="A47" s="283" t="s">
        <v>123</v>
      </c>
      <c r="B47" s="7" t="s">
        <v>184</v>
      </c>
      <c r="C47" s="53">
        <f>1227785+12000</f>
        <v>1239785</v>
      </c>
    </row>
    <row r="48" spans="1:3" ht="12" customHeight="1">
      <c r="A48" s="283" t="s">
        <v>124</v>
      </c>
      <c r="B48" s="7" t="s">
        <v>153</v>
      </c>
      <c r="C48" s="53">
        <v>19397292</v>
      </c>
    </row>
    <row r="49" spans="1:3" ht="12" customHeight="1">
      <c r="A49" s="283" t="s">
        <v>125</v>
      </c>
      <c r="B49" s="7" t="s">
        <v>185</v>
      </c>
      <c r="C49" s="53"/>
    </row>
    <row r="50" spans="1:3" ht="12" customHeight="1" thickBot="1">
      <c r="A50" s="283" t="s">
        <v>160</v>
      </c>
      <c r="B50" s="7" t="s">
        <v>186</v>
      </c>
      <c r="C50" s="53"/>
    </row>
    <row r="51" spans="1:3" ht="12" customHeight="1" thickBot="1">
      <c r="A51" s="110" t="s">
        <v>44</v>
      </c>
      <c r="B51" s="88" t="s">
        <v>400</v>
      </c>
      <c r="C51" s="186">
        <f>SUM(C52:C54)</f>
        <v>66900</v>
      </c>
    </row>
    <row r="52" spans="1:3" s="292" customFormat="1" ht="12" customHeight="1">
      <c r="A52" s="283" t="s">
        <v>128</v>
      </c>
      <c r="B52" s="8" t="s">
        <v>208</v>
      </c>
      <c r="C52" s="51">
        <v>66900</v>
      </c>
    </row>
    <row r="53" spans="1:3" ht="12" customHeight="1">
      <c r="A53" s="283" t="s">
        <v>129</v>
      </c>
      <c r="B53" s="7" t="s">
        <v>188</v>
      </c>
      <c r="C53" s="53"/>
    </row>
    <row r="54" spans="1:3" ht="12" customHeight="1">
      <c r="A54" s="283" t="s">
        <v>130</v>
      </c>
      <c r="B54" s="7" t="s">
        <v>82</v>
      </c>
      <c r="C54" s="53"/>
    </row>
    <row r="55" spans="1:3" ht="12" customHeight="1" thickBot="1">
      <c r="A55" s="283" t="s">
        <v>131</v>
      </c>
      <c r="B55" s="7" t="s">
        <v>586</v>
      </c>
      <c r="C55" s="53"/>
    </row>
    <row r="56" spans="1:3" ht="15" customHeight="1" thickBot="1">
      <c r="A56" s="110" t="s">
        <v>45</v>
      </c>
      <c r="B56" s="88" t="s">
        <v>39</v>
      </c>
      <c r="C56" s="213"/>
    </row>
    <row r="57" spans="1:3" ht="13.5" thickBot="1">
      <c r="A57" s="110" t="s">
        <v>46</v>
      </c>
      <c r="B57" s="146" t="s">
        <v>587</v>
      </c>
      <c r="C57" s="235">
        <f>+C45+C51+C56</f>
        <v>26254284</v>
      </c>
    </row>
    <row r="58" ht="15" customHeight="1" thickBot="1">
      <c r="C58" s="236"/>
    </row>
    <row r="59" spans="1:3" ht="14.25" customHeight="1" thickBot="1">
      <c r="A59" s="149" t="s">
        <v>579</v>
      </c>
      <c r="B59" s="150"/>
      <c r="C59" s="492">
        <v>3.5</v>
      </c>
    </row>
    <row r="60" spans="1:3" ht="13.5" thickBot="1">
      <c r="A60" s="149" t="s">
        <v>202</v>
      </c>
      <c r="B60" s="150"/>
      <c r="C60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 20/2017.(VI.29.)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view="pageLayout" zoomScaleNormal="145" workbookViewId="0" topLeftCell="B1">
      <selection activeCell="C80" sqref="C8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 melléklet a ……/",LEFT(#REF!,4),". (….) önkormányzati rendelethez")</f>
        <v>#REF!</v>
      </c>
    </row>
    <row r="2" spans="1:3" s="288" customFormat="1" ht="33.75" customHeight="1">
      <c r="A2" s="245" t="s">
        <v>200</v>
      </c>
      <c r="B2" s="223" t="s">
        <v>628</v>
      </c>
      <c r="C2" s="845" t="s">
        <v>85</v>
      </c>
    </row>
    <row r="3" spans="1:3" s="288" customFormat="1" ht="24.75" thickBot="1">
      <c r="A3" s="281" t="s">
        <v>199</v>
      </c>
      <c r="B3" s="224" t="s">
        <v>383</v>
      </c>
      <c r="C3" s="846" t="s">
        <v>77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197271992</v>
      </c>
    </row>
    <row r="9" spans="1:3" s="239" customFormat="1" ht="12" customHeight="1">
      <c r="A9" s="282" t="s">
        <v>122</v>
      </c>
      <c r="B9" s="9" t="s">
        <v>259</v>
      </c>
      <c r="C9" s="852"/>
    </row>
    <row r="10" spans="1:3" s="239" customFormat="1" ht="12" customHeight="1">
      <c r="A10" s="283" t="s">
        <v>123</v>
      </c>
      <c r="B10" s="7" t="s">
        <v>260</v>
      </c>
      <c r="C10" s="853">
        <v>24562736</v>
      </c>
    </row>
    <row r="11" spans="1:3" s="239" customFormat="1" ht="12" customHeight="1">
      <c r="A11" s="283" t="s">
        <v>124</v>
      </c>
      <c r="B11" s="7" t="s">
        <v>261</v>
      </c>
      <c r="C11" s="853">
        <v>10500000</v>
      </c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>
        <v>158991720</v>
      </c>
    </row>
    <row r="14" spans="1:3" s="239" customFormat="1" ht="12" customHeight="1">
      <c r="A14" s="283" t="s">
        <v>126</v>
      </c>
      <c r="B14" s="7" t="s">
        <v>384</v>
      </c>
      <c r="C14" s="853">
        <v>3217536</v>
      </c>
    </row>
    <row r="15" spans="1:3" s="239" customFormat="1" ht="12" customHeight="1">
      <c r="A15" s="283" t="s">
        <v>127</v>
      </c>
      <c r="B15" s="6" t="s">
        <v>385</v>
      </c>
      <c r="C15" s="853"/>
    </row>
    <row r="16" spans="1:3" s="239" customFormat="1" ht="12" customHeight="1">
      <c r="A16" s="283" t="s">
        <v>137</v>
      </c>
      <c r="B16" s="7" t="s">
        <v>266</v>
      </c>
      <c r="C16" s="854"/>
    </row>
    <row r="17" spans="1:3" s="291" customFormat="1" ht="12" customHeight="1">
      <c r="A17" s="283" t="s">
        <v>138</v>
      </c>
      <c r="B17" s="7" t="s">
        <v>267</v>
      </c>
      <c r="C17" s="853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/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5859405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>
        <f>5485000+374405</f>
        <v>5859405</v>
      </c>
    </row>
    <row r="24" spans="1:3" s="291" customFormat="1" ht="12" customHeight="1" thickBot="1">
      <c r="A24" s="283" t="s">
        <v>131</v>
      </c>
      <c r="B24" s="7" t="s">
        <v>593</v>
      </c>
      <c r="C24" s="853">
        <v>374405</v>
      </c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250000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>
        <v>250000</v>
      </c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203381397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440342589</v>
      </c>
    </row>
    <row r="38" spans="1:3" s="239" customFormat="1" ht="12" customHeight="1">
      <c r="A38" s="284" t="s">
        <v>394</v>
      </c>
      <c r="B38" s="285" t="s">
        <v>217</v>
      </c>
      <c r="C38" s="857">
        <v>418046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373234311+10002440+50810206+1956276+3921310</f>
        <v>439924543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643723986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639400640</v>
      </c>
    </row>
    <row r="46" spans="1:3" ht="12" customHeight="1">
      <c r="A46" s="283" t="s">
        <v>122</v>
      </c>
      <c r="B46" s="8" t="s">
        <v>73</v>
      </c>
      <c r="C46" s="857">
        <f>312180187+7690498+41704739+3188310+416250</f>
        <v>365179984</v>
      </c>
    </row>
    <row r="47" spans="1:3" ht="12" customHeight="1">
      <c r="A47" s="283" t="s">
        <v>123</v>
      </c>
      <c r="B47" s="7" t="s">
        <v>184</v>
      </c>
      <c r="C47" s="865">
        <f>72296262+1676942+8976967+693000-41845</f>
        <v>83601326</v>
      </c>
    </row>
    <row r="48" spans="1:3" ht="12" customHeight="1">
      <c r="A48" s="283" t="s">
        <v>124</v>
      </c>
      <c r="B48" s="7" t="s">
        <v>153</v>
      </c>
      <c r="C48" s="865">
        <f>188712640+635000-59900+128500+977900+254400-29210</f>
        <v>190619330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4323346</v>
      </c>
    </row>
    <row r="52" spans="1:3" s="292" customFormat="1" ht="12" customHeight="1">
      <c r="A52" s="283" t="s">
        <v>128</v>
      </c>
      <c r="B52" s="8" t="s">
        <v>208</v>
      </c>
      <c r="C52" s="857">
        <f>3220260+59900+973976+40000+29210</f>
        <v>4323346</v>
      </c>
    </row>
    <row r="53" spans="1:3" ht="12" customHeight="1">
      <c r="A53" s="283" t="s">
        <v>129</v>
      </c>
      <c r="B53" s="7" t="s">
        <v>188</v>
      </c>
      <c r="C53" s="865"/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643723986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73">
        <v>142.8</v>
      </c>
    </row>
    <row r="60" spans="1:3" ht="13.5" thickBot="1">
      <c r="A60" s="149" t="s">
        <v>609</v>
      </c>
      <c r="B60" s="150"/>
      <c r="C60" s="869">
        <v>4</v>
      </c>
    </row>
    <row r="61" spans="1:3" ht="13.5" thickBot="1">
      <c r="A61" s="149" t="s">
        <v>611</v>
      </c>
      <c r="B61" s="150"/>
      <c r="C61" s="869">
        <v>32</v>
      </c>
    </row>
    <row r="62" spans="1:3" ht="13.5" thickBot="1">
      <c r="A62" s="946" t="s">
        <v>612</v>
      </c>
      <c r="B62" s="947"/>
      <c r="C62" s="86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20/2017.(VI.29.)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41" sqref="C4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287" t="e">
        <f>+CONCATENATE("9.3.1. melléklet a ……/",LEFT(#REF!,4),". (….) önkormányzati rendelethez")</f>
        <v>#REF!</v>
      </c>
    </row>
    <row r="2" spans="1:3" s="288" customFormat="1" ht="35.25" customHeight="1">
      <c r="A2" s="245" t="s">
        <v>200</v>
      </c>
      <c r="B2" s="223" t="s">
        <v>628</v>
      </c>
      <c r="C2" s="237" t="s">
        <v>85</v>
      </c>
    </row>
    <row r="3" spans="1:3" s="288" customFormat="1" ht="24.75" thickBot="1">
      <c r="A3" s="281" t="s">
        <v>199</v>
      </c>
      <c r="B3" s="224" t="s">
        <v>401</v>
      </c>
      <c r="C3" s="238" t="s">
        <v>84</v>
      </c>
    </row>
    <row r="4" spans="1:3" s="289" customFormat="1" ht="15.75" customHeight="1" thickBot="1">
      <c r="A4" s="130"/>
      <c r="B4" s="130"/>
      <c r="C4" s="131" t="s">
        <v>652</v>
      </c>
    </row>
    <row r="5" spans="1:3" ht="13.5" thickBot="1">
      <c r="A5" s="246" t="s">
        <v>201</v>
      </c>
      <c r="B5" s="132" t="s">
        <v>78</v>
      </c>
      <c r="C5" s="133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109" t="s">
        <v>502</v>
      </c>
    </row>
    <row r="7" spans="1:3" s="290" customFormat="1" ht="15.75" customHeight="1" thickBot="1">
      <c r="A7" s="134"/>
      <c r="B7" s="135" t="s">
        <v>80</v>
      </c>
      <c r="C7" s="136"/>
    </row>
    <row r="8" spans="1:3" s="239" customFormat="1" ht="12" customHeight="1" thickBot="1">
      <c r="A8" s="107" t="s">
        <v>43</v>
      </c>
      <c r="B8" s="137" t="s">
        <v>582</v>
      </c>
      <c r="C8" s="186">
        <f>SUM(C9:C19)</f>
        <v>1799336</v>
      </c>
    </row>
    <row r="9" spans="1:3" s="239" customFormat="1" ht="12" customHeight="1">
      <c r="A9" s="282" t="s">
        <v>122</v>
      </c>
      <c r="B9" s="9" t="s">
        <v>259</v>
      </c>
      <c r="C9" s="228"/>
    </row>
    <row r="10" spans="1:3" s="239" customFormat="1" ht="12" customHeight="1">
      <c r="A10" s="283" t="s">
        <v>123</v>
      </c>
      <c r="B10" s="7" t="s">
        <v>260</v>
      </c>
      <c r="C10" s="184">
        <v>1416800</v>
      </c>
    </row>
    <row r="11" spans="1:3" s="239" customFormat="1" ht="12" customHeight="1">
      <c r="A11" s="283" t="s">
        <v>124</v>
      </c>
      <c r="B11" s="7" t="s">
        <v>261</v>
      </c>
      <c r="C11" s="184"/>
    </row>
    <row r="12" spans="1:3" s="239" customFormat="1" ht="12" customHeight="1">
      <c r="A12" s="283" t="s">
        <v>125</v>
      </c>
      <c r="B12" s="7" t="s">
        <v>262</v>
      </c>
      <c r="C12" s="184"/>
    </row>
    <row r="13" spans="1:3" s="239" customFormat="1" ht="12" customHeight="1">
      <c r="A13" s="283" t="s">
        <v>160</v>
      </c>
      <c r="B13" s="7" t="s">
        <v>263</v>
      </c>
      <c r="C13" s="184"/>
    </row>
    <row r="14" spans="1:3" s="239" customFormat="1" ht="12" customHeight="1">
      <c r="A14" s="283" t="s">
        <v>126</v>
      </c>
      <c r="B14" s="7" t="s">
        <v>384</v>
      </c>
      <c r="C14" s="184">
        <v>382536</v>
      </c>
    </row>
    <row r="15" spans="1:3" s="239" customFormat="1" ht="12" customHeight="1">
      <c r="A15" s="283" t="s">
        <v>127</v>
      </c>
      <c r="B15" s="6" t="s">
        <v>385</v>
      </c>
      <c r="C15" s="184"/>
    </row>
    <row r="16" spans="1:3" s="239" customFormat="1" ht="12" customHeight="1">
      <c r="A16" s="283" t="s">
        <v>137</v>
      </c>
      <c r="B16" s="7" t="s">
        <v>266</v>
      </c>
      <c r="C16" s="229"/>
    </row>
    <row r="17" spans="1:3" s="291" customFormat="1" ht="12" customHeight="1">
      <c r="A17" s="283" t="s">
        <v>138</v>
      </c>
      <c r="B17" s="7" t="s">
        <v>267</v>
      </c>
      <c r="C17" s="184"/>
    </row>
    <row r="18" spans="1:3" s="291" customFormat="1" ht="12" customHeight="1">
      <c r="A18" s="283" t="s">
        <v>139</v>
      </c>
      <c r="B18" s="7" t="s">
        <v>509</v>
      </c>
      <c r="C18" s="185"/>
    </row>
    <row r="19" spans="1:3" s="291" customFormat="1" ht="12" customHeight="1" thickBot="1">
      <c r="A19" s="283" t="s">
        <v>140</v>
      </c>
      <c r="B19" s="6" t="s">
        <v>268</v>
      </c>
      <c r="C19" s="185"/>
    </row>
    <row r="20" spans="1:3" s="239" customFormat="1" ht="12" customHeight="1" thickBot="1">
      <c r="A20" s="107" t="s">
        <v>44</v>
      </c>
      <c r="B20" s="137" t="s">
        <v>386</v>
      </c>
      <c r="C20" s="186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184"/>
    </row>
    <row r="22" spans="1:3" s="291" customFormat="1" ht="12" customHeight="1">
      <c r="A22" s="283" t="s">
        <v>129</v>
      </c>
      <c r="B22" s="7" t="s">
        <v>387</v>
      </c>
      <c r="C22" s="184"/>
    </row>
    <row r="23" spans="1:3" s="291" customFormat="1" ht="12" customHeight="1">
      <c r="A23" s="283" t="s">
        <v>130</v>
      </c>
      <c r="B23" s="7" t="s">
        <v>388</v>
      </c>
      <c r="C23" s="184"/>
    </row>
    <row r="24" spans="1:3" s="291" customFormat="1" ht="12" customHeight="1" thickBot="1">
      <c r="A24" s="283" t="s">
        <v>131</v>
      </c>
      <c r="B24" s="7" t="s">
        <v>593</v>
      </c>
      <c r="C24" s="184"/>
    </row>
    <row r="25" spans="1:3" s="291" customFormat="1" ht="12" customHeight="1" thickBot="1">
      <c r="A25" s="110" t="s">
        <v>45</v>
      </c>
      <c r="B25" s="88" t="s">
        <v>175</v>
      </c>
      <c r="C25" s="213"/>
    </row>
    <row r="26" spans="1:3" s="291" customFormat="1" ht="12" customHeight="1" thickBot="1">
      <c r="A26" s="110" t="s">
        <v>46</v>
      </c>
      <c r="B26" s="88" t="s">
        <v>594</v>
      </c>
      <c r="C26" s="186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51"/>
    </row>
    <row r="28" spans="1:3" s="291" customFormat="1" ht="12" customHeight="1">
      <c r="A28" s="284" t="s">
        <v>249</v>
      </c>
      <c r="B28" s="286" t="s">
        <v>389</v>
      </c>
      <c r="C28" s="187"/>
    </row>
    <row r="29" spans="1:3" s="291" customFormat="1" ht="12" customHeight="1" thickBot="1">
      <c r="A29" s="283" t="s">
        <v>250</v>
      </c>
      <c r="B29" s="91" t="s">
        <v>595</v>
      </c>
      <c r="C29" s="54"/>
    </row>
    <row r="30" spans="1:3" s="291" customFormat="1" ht="12" customHeight="1" thickBot="1">
      <c r="A30" s="110" t="s">
        <v>47</v>
      </c>
      <c r="B30" s="88" t="s">
        <v>390</v>
      </c>
      <c r="C30" s="186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51"/>
    </row>
    <row r="32" spans="1:3" s="291" customFormat="1" ht="12" customHeight="1">
      <c r="A32" s="284" t="s">
        <v>116</v>
      </c>
      <c r="B32" s="286" t="s">
        <v>274</v>
      </c>
      <c r="C32" s="187"/>
    </row>
    <row r="33" spans="1:3" s="291" customFormat="1" ht="12" customHeight="1" thickBot="1">
      <c r="A33" s="283" t="s">
        <v>117</v>
      </c>
      <c r="B33" s="91" t="s">
        <v>275</v>
      </c>
      <c r="C33" s="54"/>
    </row>
    <row r="34" spans="1:3" s="239" customFormat="1" ht="12" customHeight="1" thickBot="1">
      <c r="A34" s="110" t="s">
        <v>48</v>
      </c>
      <c r="B34" s="88" t="s">
        <v>361</v>
      </c>
      <c r="C34" s="213"/>
    </row>
    <row r="35" spans="1:3" s="239" customFormat="1" ht="12" customHeight="1" thickBot="1">
      <c r="A35" s="110" t="s">
        <v>49</v>
      </c>
      <c r="B35" s="88" t="s">
        <v>391</v>
      </c>
      <c r="C35" s="230"/>
    </row>
    <row r="36" spans="1:3" s="239" customFormat="1" ht="12" customHeight="1" thickBot="1">
      <c r="A36" s="107" t="s">
        <v>50</v>
      </c>
      <c r="B36" s="88" t="s">
        <v>596</v>
      </c>
      <c r="C36" s="231">
        <f>+C8+C20+C25+C26+C30+C34+C35</f>
        <v>1799336</v>
      </c>
    </row>
    <row r="37" spans="1:3" s="239" customFormat="1" ht="12" customHeight="1" thickBot="1">
      <c r="A37" s="138" t="s">
        <v>51</v>
      </c>
      <c r="B37" s="88" t="s">
        <v>393</v>
      </c>
      <c r="C37" s="231">
        <f>+C38+C39+C40</f>
        <v>99237701</v>
      </c>
    </row>
    <row r="38" spans="1:3" s="239" customFormat="1" ht="12" customHeight="1">
      <c r="A38" s="284" t="s">
        <v>394</v>
      </c>
      <c r="B38" s="285" t="s">
        <v>217</v>
      </c>
      <c r="C38" s="51"/>
    </row>
    <row r="39" spans="1:3" s="239" customFormat="1" ht="12" customHeight="1">
      <c r="A39" s="284" t="s">
        <v>395</v>
      </c>
      <c r="B39" s="286" t="s">
        <v>32</v>
      </c>
      <c r="C39" s="187"/>
    </row>
    <row r="40" spans="1:3" s="291" customFormat="1" ht="12" customHeight="1" thickBot="1">
      <c r="A40" s="283" t="s">
        <v>396</v>
      </c>
      <c r="B40" s="91" t="s">
        <v>397</v>
      </c>
      <c r="C40" s="54">
        <f>82063132+15757091+601216+40000+7662+768600</f>
        <v>99237701</v>
      </c>
    </row>
    <row r="41" spans="1:3" s="291" customFormat="1" ht="15" customHeight="1" thickBot="1">
      <c r="A41" s="138" t="s">
        <v>52</v>
      </c>
      <c r="B41" s="139" t="s">
        <v>398</v>
      </c>
      <c r="C41" s="234">
        <f>+C36+C37</f>
        <v>101037037</v>
      </c>
    </row>
    <row r="42" spans="1:3" s="291" customFormat="1" ht="15" customHeight="1">
      <c r="A42" s="140"/>
      <c r="B42" s="141"/>
      <c r="C42" s="232"/>
    </row>
    <row r="43" spans="1:3" ht="13.5" thickBot="1">
      <c r="A43" s="142"/>
      <c r="B43" s="143"/>
      <c r="C43" s="233"/>
    </row>
    <row r="44" spans="1:3" s="290" customFormat="1" ht="16.5" customHeight="1" thickBot="1">
      <c r="A44" s="144"/>
      <c r="B44" s="145" t="s">
        <v>81</v>
      </c>
      <c r="C44" s="234"/>
    </row>
    <row r="45" spans="1:3" s="292" customFormat="1" ht="12" customHeight="1" thickBot="1">
      <c r="A45" s="110" t="s">
        <v>43</v>
      </c>
      <c r="B45" s="88" t="s">
        <v>399</v>
      </c>
      <c r="C45" s="186">
        <f>SUM(C46:C50)</f>
        <v>100932037</v>
      </c>
    </row>
    <row r="46" spans="1:3" ht="12" customHeight="1">
      <c r="A46" s="283" t="s">
        <v>122</v>
      </c>
      <c r="B46" s="8" t="s">
        <v>73</v>
      </c>
      <c r="C46" s="51">
        <f>59218235+12959485+492800+7662+630000</f>
        <v>73308182</v>
      </c>
    </row>
    <row r="47" spans="1:3" ht="12" customHeight="1">
      <c r="A47" s="283" t="s">
        <v>123</v>
      </c>
      <c r="B47" s="7" t="s">
        <v>184</v>
      </c>
      <c r="C47" s="53">
        <f>13243515+2797606+108416+138600</f>
        <v>16288137</v>
      </c>
    </row>
    <row r="48" spans="1:3" ht="12" customHeight="1">
      <c r="A48" s="283" t="s">
        <v>124</v>
      </c>
      <c r="B48" s="7" t="s">
        <v>153</v>
      </c>
      <c r="C48" s="53">
        <v>11335718</v>
      </c>
    </row>
    <row r="49" spans="1:3" ht="12" customHeight="1">
      <c r="A49" s="283" t="s">
        <v>125</v>
      </c>
      <c r="B49" s="7" t="s">
        <v>185</v>
      </c>
      <c r="C49" s="53"/>
    </row>
    <row r="50" spans="1:3" ht="12" customHeight="1" thickBot="1">
      <c r="A50" s="283" t="s">
        <v>160</v>
      </c>
      <c r="B50" s="7" t="s">
        <v>186</v>
      </c>
      <c r="C50" s="53"/>
    </row>
    <row r="51" spans="1:3" ht="12" customHeight="1" thickBot="1">
      <c r="A51" s="110" t="s">
        <v>44</v>
      </c>
      <c r="B51" s="88" t="s">
        <v>400</v>
      </c>
      <c r="C51" s="186">
        <f>SUM(C52:C54)</f>
        <v>105000</v>
      </c>
    </row>
    <row r="52" spans="1:3" s="292" customFormat="1" ht="12" customHeight="1">
      <c r="A52" s="283" t="s">
        <v>128</v>
      </c>
      <c r="B52" s="8" t="s">
        <v>208</v>
      </c>
      <c r="C52" s="51">
        <f>65000+40000</f>
        <v>105000</v>
      </c>
    </row>
    <row r="53" spans="1:3" ht="12" customHeight="1">
      <c r="A53" s="283" t="s">
        <v>129</v>
      </c>
      <c r="B53" s="7" t="s">
        <v>188</v>
      </c>
      <c r="C53" s="53"/>
    </row>
    <row r="54" spans="1:3" ht="12" customHeight="1">
      <c r="A54" s="283" t="s">
        <v>130</v>
      </c>
      <c r="B54" s="7" t="s">
        <v>82</v>
      </c>
      <c r="C54" s="53"/>
    </row>
    <row r="55" spans="1:3" ht="12" customHeight="1" thickBot="1">
      <c r="A55" s="283" t="s">
        <v>131</v>
      </c>
      <c r="B55" s="7" t="s">
        <v>586</v>
      </c>
      <c r="C55" s="53"/>
    </row>
    <row r="56" spans="1:3" ht="15" customHeight="1" thickBot="1">
      <c r="A56" s="110" t="s">
        <v>45</v>
      </c>
      <c r="B56" s="88" t="s">
        <v>39</v>
      </c>
      <c r="C56" s="213"/>
    </row>
    <row r="57" spans="1:3" ht="13.5" thickBot="1">
      <c r="A57" s="110" t="s">
        <v>46</v>
      </c>
      <c r="B57" s="146" t="s">
        <v>587</v>
      </c>
      <c r="C57" s="235">
        <f>+C45+C51+C56</f>
        <v>101037037</v>
      </c>
    </row>
    <row r="58" ht="15" customHeight="1" thickBot="1">
      <c r="C58" s="236"/>
    </row>
    <row r="59" spans="1:3" ht="14.25" customHeight="1" thickBot="1">
      <c r="A59" s="149" t="s">
        <v>579</v>
      </c>
      <c r="B59" s="150"/>
      <c r="C59" s="492">
        <v>27</v>
      </c>
    </row>
    <row r="60" spans="1:3" ht="13.5" thickBot="1">
      <c r="A60" s="149" t="s">
        <v>202</v>
      </c>
      <c r="B60" s="150"/>
      <c r="C60" s="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20/2017.(VI.29.)   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view="pageLayout" zoomScaleNormal="145" workbookViewId="0" topLeftCell="B1">
      <selection activeCell="F93" sqref="F93:F94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+CONCATENATE("9.3.2. melléklet a ……/",LEFT(#REF!,4),". (….) önkormányzati rendelethez")</f>
        <v>#REF!</v>
      </c>
    </row>
    <row r="2" spans="1:3" s="288" customFormat="1" ht="34.5" customHeight="1">
      <c r="A2" s="245" t="s">
        <v>200</v>
      </c>
      <c r="B2" s="223" t="s">
        <v>628</v>
      </c>
      <c r="C2" s="845" t="s">
        <v>85</v>
      </c>
    </row>
    <row r="3" spans="1:3" s="288" customFormat="1" ht="24.75" thickBot="1">
      <c r="A3" s="281" t="s">
        <v>199</v>
      </c>
      <c r="B3" s="224" t="s">
        <v>402</v>
      </c>
      <c r="C3" s="846" t="s">
        <v>85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195472656</v>
      </c>
    </row>
    <row r="9" spans="1:3" s="239" customFormat="1" ht="12" customHeight="1">
      <c r="A9" s="282" t="s">
        <v>122</v>
      </c>
      <c r="B9" s="9" t="s">
        <v>259</v>
      </c>
      <c r="C9" s="852"/>
    </row>
    <row r="10" spans="1:3" s="239" customFormat="1" ht="12" customHeight="1">
      <c r="A10" s="283" t="s">
        <v>123</v>
      </c>
      <c r="B10" s="7" t="s">
        <v>260</v>
      </c>
      <c r="C10" s="853">
        <v>23145936</v>
      </c>
    </row>
    <row r="11" spans="1:3" s="239" customFormat="1" ht="12" customHeight="1">
      <c r="A11" s="283" t="s">
        <v>124</v>
      </c>
      <c r="B11" s="7" t="s">
        <v>261</v>
      </c>
      <c r="C11" s="853">
        <v>10500000</v>
      </c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>
        <v>158991720</v>
      </c>
    </row>
    <row r="14" spans="1:3" s="239" customFormat="1" ht="12" customHeight="1">
      <c r="A14" s="283" t="s">
        <v>126</v>
      </c>
      <c r="B14" s="7" t="s">
        <v>384</v>
      </c>
      <c r="C14" s="853">
        <v>2835000</v>
      </c>
    </row>
    <row r="15" spans="1:3" s="239" customFormat="1" ht="12" customHeight="1">
      <c r="A15" s="283" t="s">
        <v>127</v>
      </c>
      <c r="B15" s="6" t="s">
        <v>385</v>
      </c>
      <c r="C15" s="853"/>
    </row>
    <row r="16" spans="1:3" s="239" customFormat="1" ht="12" customHeight="1">
      <c r="A16" s="283" t="s">
        <v>137</v>
      </c>
      <c r="B16" s="7" t="s">
        <v>266</v>
      </c>
      <c r="C16" s="854"/>
    </row>
    <row r="17" spans="1:3" s="291" customFormat="1" ht="12" customHeight="1">
      <c r="A17" s="283" t="s">
        <v>138</v>
      </c>
      <c r="B17" s="7" t="s">
        <v>267</v>
      </c>
      <c r="C17" s="853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/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5859405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>
        <f>5485000+374405</f>
        <v>5859405</v>
      </c>
    </row>
    <row r="24" spans="1:3" s="291" customFormat="1" ht="12" customHeight="1" thickBot="1">
      <c r="A24" s="283" t="s">
        <v>131</v>
      </c>
      <c r="B24" s="7" t="s">
        <v>593</v>
      </c>
      <c r="C24" s="853">
        <v>374405</v>
      </c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250000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>
        <v>250000</v>
      </c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201582061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341104888</v>
      </c>
    </row>
    <row r="38" spans="1:3" s="239" customFormat="1" ht="12" customHeight="1">
      <c r="A38" s="284" t="s">
        <v>394</v>
      </c>
      <c r="B38" s="285" t="s">
        <v>217</v>
      </c>
      <c r="C38" s="857">
        <v>418046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291171179+10002440+128500+32617351+1706048+1956276+30648+3074400</f>
        <v>340686842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542686949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538468603</v>
      </c>
    </row>
    <row r="46" spans="1:3" ht="12" customHeight="1">
      <c r="A46" s="283" t="s">
        <v>122</v>
      </c>
      <c r="B46" s="8" t="s">
        <v>73</v>
      </c>
      <c r="C46" s="857">
        <f>252961952+7690498+26854054+1398400+30648+2520000+416250</f>
        <v>291871802</v>
      </c>
    </row>
    <row r="47" spans="1:3" ht="12" customHeight="1">
      <c r="A47" s="283" t="s">
        <v>123</v>
      </c>
      <c r="B47" s="7" t="s">
        <v>184</v>
      </c>
      <c r="C47" s="865">
        <f>59052747+1676942+5763297+307648+554400-41845</f>
        <v>67313189</v>
      </c>
    </row>
    <row r="48" spans="1:3" ht="12" customHeight="1">
      <c r="A48" s="283" t="s">
        <v>124</v>
      </c>
      <c r="B48" s="7" t="s">
        <v>153</v>
      </c>
      <c r="C48" s="865">
        <f>176076922+1300000+635000-59900+128500+977900+254400-29210</f>
        <v>179283612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4218346</v>
      </c>
    </row>
    <row r="52" spans="1:3" s="292" customFormat="1" ht="12" customHeight="1">
      <c r="A52" s="283" t="s">
        <v>128</v>
      </c>
      <c r="B52" s="8" t="s">
        <v>208</v>
      </c>
      <c r="C52" s="857">
        <f>3155260+59900+973976+29210</f>
        <v>4218346</v>
      </c>
    </row>
    <row r="53" spans="1:3" ht="12" customHeight="1">
      <c r="A53" s="283" t="s">
        <v>129</v>
      </c>
      <c r="B53" s="7" t="s">
        <v>188</v>
      </c>
      <c r="C53" s="865"/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542686949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73">
        <v>115.8</v>
      </c>
    </row>
    <row r="60" spans="1:3" ht="13.5" thickBot="1">
      <c r="A60" s="149" t="s">
        <v>609</v>
      </c>
      <c r="B60" s="150"/>
      <c r="C60" s="869">
        <v>4</v>
      </c>
    </row>
    <row r="61" spans="1:3" ht="13.5" thickBot="1">
      <c r="A61" s="149" t="s">
        <v>611</v>
      </c>
      <c r="B61" s="150"/>
      <c r="C61" s="869">
        <v>32</v>
      </c>
    </row>
    <row r="62" spans="1:3" ht="13.5" thickBot="1">
      <c r="A62" s="946" t="s">
        <v>612</v>
      </c>
      <c r="B62" s="947"/>
      <c r="C62" s="869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28. melléklet a 20/2017.(VI.29.) 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B1">
      <selection activeCell="F82" sqref="F82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 melléklet a ……/",LEFT(#REF!,4),". (….) önkormányzati rendelethez")</f>
        <v>#REF!</v>
      </c>
    </row>
    <row r="2" spans="1:3" s="288" customFormat="1" ht="36" customHeight="1">
      <c r="A2" s="245" t="s">
        <v>200</v>
      </c>
      <c r="B2" s="223" t="s">
        <v>598</v>
      </c>
      <c r="C2" s="845" t="s">
        <v>85</v>
      </c>
    </row>
    <row r="3" spans="1:3" s="288" customFormat="1" ht="24.75" thickBot="1">
      <c r="A3" s="281" t="s">
        <v>199</v>
      </c>
      <c r="B3" s="224" t="s">
        <v>383</v>
      </c>
      <c r="C3" s="846" t="s">
        <v>77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4376190</v>
      </c>
    </row>
    <row r="9" spans="1:3" s="239" customFormat="1" ht="12" customHeight="1">
      <c r="A9" s="282" t="s">
        <v>122</v>
      </c>
      <c r="B9" s="9" t="s">
        <v>259</v>
      </c>
      <c r="C9" s="852"/>
    </row>
    <row r="10" spans="1:3" s="239" customFormat="1" ht="12" customHeight="1">
      <c r="A10" s="283" t="s">
        <v>123</v>
      </c>
      <c r="B10" s="7" t="s">
        <v>260</v>
      </c>
      <c r="C10" s="853">
        <v>1416800</v>
      </c>
    </row>
    <row r="11" spans="1:3" s="239" customFormat="1" ht="12" customHeight="1">
      <c r="A11" s="283" t="s">
        <v>124</v>
      </c>
      <c r="B11" s="7" t="s">
        <v>261</v>
      </c>
      <c r="C11" s="853"/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>
        <v>1871280</v>
      </c>
    </row>
    <row r="14" spans="1:3" s="239" customFormat="1" ht="12" customHeight="1">
      <c r="A14" s="283" t="s">
        <v>126</v>
      </c>
      <c r="B14" s="7" t="s">
        <v>384</v>
      </c>
      <c r="C14" s="853">
        <f>887792</f>
        <v>887792</v>
      </c>
    </row>
    <row r="15" spans="1:3" s="239" customFormat="1" ht="12" customHeight="1">
      <c r="A15" s="283" t="s">
        <v>127</v>
      </c>
      <c r="B15" s="6" t="s">
        <v>385</v>
      </c>
      <c r="C15" s="853"/>
    </row>
    <row r="16" spans="1:3" s="239" customFormat="1" ht="12" customHeight="1">
      <c r="A16" s="283" t="s">
        <v>137</v>
      </c>
      <c r="B16" s="7" t="s">
        <v>266</v>
      </c>
      <c r="C16" s="854"/>
    </row>
    <row r="17" spans="1:3" s="291" customFormat="1" ht="12" customHeight="1">
      <c r="A17" s="283" t="s">
        <v>138</v>
      </c>
      <c r="B17" s="7" t="s">
        <v>267</v>
      </c>
      <c r="C17" s="853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>
        <v>200318</v>
      </c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/>
    </row>
    <row r="24" spans="1:3" s="291" customFormat="1" ht="12" customHeight="1" thickBot="1">
      <c r="A24" s="283" t="s">
        <v>131</v>
      </c>
      <c r="B24" s="7" t="s">
        <v>593</v>
      </c>
      <c r="C24" s="853"/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/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4376190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73282435</v>
      </c>
    </row>
    <row r="38" spans="1:3" s="239" customFormat="1" ht="12" customHeight="1">
      <c r="A38" s="284" t="s">
        <v>394</v>
      </c>
      <c r="B38" s="285" t="s">
        <v>217</v>
      </c>
      <c r="C38" s="857">
        <v>66655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69071526+1512159+184245+90000+2357850</f>
        <v>73215780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77658625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77218625</v>
      </c>
    </row>
    <row r="46" spans="1:3" ht="12" customHeight="1">
      <c r="A46" s="283" t="s">
        <v>122</v>
      </c>
      <c r="B46" s="8" t="s">
        <v>73</v>
      </c>
      <c r="C46" s="857">
        <f>49257950+1239474+151021</f>
        <v>50648445</v>
      </c>
    </row>
    <row r="47" spans="1:3" ht="12" customHeight="1">
      <c r="A47" s="283" t="s">
        <v>123</v>
      </c>
      <c r="B47" s="7" t="s">
        <v>184</v>
      </c>
      <c r="C47" s="865">
        <f>11047568+272685+33224</f>
        <v>11353477</v>
      </c>
    </row>
    <row r="48" spans="1:3" ht="12" customHeight="1">
      <c r="A48" s="283" t="s">
        <v>124</v>
      </c>
      <c r="B48" s="7" t="s">
        <v>153</v>
      </c>
      <c r="C48" s="865">
        <f>12658535+2558168</f>
        <v>15216703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440000</v>
      </c>
    </row>
    <row r="52" spans="1:3" s="292" customFormat="1" ht="12" customHeight="1">
      <c r="A52" s="283" t="s">
        <v>128</v>
      </c>
      <c r="B52" s="8" t="s">
        <v>208</v>
      </c>
      <c r="C52" s="857">
        <f>350000+90000</f>
        <v>440000</v>
      </c>
    </row>
    <row r="53" spans="1:3" ht="12" customHeight="1">
      <c r="A53" s="283" t="s">
        <v>129</v>
      </c>
      <c r="B53" s="7" t="s">
        <v>188</v>
      </c>
      <c r="C53" s="865"/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77658625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69">
        <v>20</v>
      </c>
    </row>
    <row r="60" spans="1:3" ht="13.5" thickBot="1">
      <c r="A60" s="149" t="s">
        <v>202</v>
      </c>
      <c r="B60" s="150"/>
      <c r="C60" s="86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29. melléklet a 20/2017.(VI.29.)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Layout" zoomScaleNormal="130" zoomScaleSheetLayoutView="100" workbookViewId="0" topLeftCell="A89">
      <selection activeCell="A89" sqref="A89:C89"/>
    </sheetView>
  </sheetViews>
  <sheetFormatPr defaultColWidth="9.00390625" defaultRowHeight="12.75"/>
  <cols>
    <col min="1" max="1" width="9.50390625" style="241" customWidth="1"/>
    <col min="2" max="2" width="83.875" style="241" customWidth="1"/>
    <col min="3" max="3" width="21.625" style="242" customWidth="1"/>
    <col min="4" max="4" width="19.375" style="252" hidden="1" customWidth="1"/>
    <col min="5" max="5" width="15.875" style="252" hidden="1" customWidth="1"/>
    <col min="6" max="6" width="15.375" style="252" hidden="1" customWidth="1"/>
    <col min="7" max="16384" width="9.375" style="252" customWidth="1"/>
  </cols>
  <sheetData>
    <row r="1" spans="1:3" ht="15.75" customHeight="1">
      <c r="A1" s="902" t="s">
        <v>40</v>
      </c>
      <c r="B1" s="902"/>
      <c r="C1" s="902"/>
    </row>
    <row r="2" spans="1:3" ht="15.75" customHeight="1" thickBot="1">
      <c r="A2" s="905"/>
      <c r="B2" s="905"/>
      <c r="C2" s="179" t="s">
        <v>651</v>
      </c>
    </row>
    <row r="3" spans="1:6" ht="37.5" customHeight="1" thickBot="1">
      <c r="A3" s="22" t="s">
        <v>94</v>
      </c>
      <c r="B3" s="23" t="s">
        <v>42</v>
      </c>
      <c r="C3" s="31" t="s">
        <v>638</v>
      </c>
      <c r="D3" s="241" t="s">
        <v>673</v>
      </c>
      <c r="E3" s="241" t="s">
        <v>674</v>
      </c>
      <c r="F3" s="241" t="s">
        <v>675</v>
      </c>
    </row>
    <row r="4" spans="1:3" s="253" customFormat="1" ht="12" customHeight="1" thickBot="1">
      <c r="A4" s="247" t="s">
        <v>500</v>
      </c>
      <c r="B4" s="248" t="s">
        <v>501</v>
      </c>
      <c r="C4" s="249" t="s">
        <v>502</v>
      </c>
    </row>
    <row r="5" spans="1:6" s="254" customFormat="1" ht="12" customHeight="1" thickBot="1">
      <c r="A5" s="19" t="s">
        <v>43</v>
      </c>
      <c r="B5" s="20" t="s">
        <v>230</v>
      </c>
      <c r="C5" s="175">
        <f aca="true" t="shared" si="0" ref="C5:C36">SUM(D5:F5)</f>
        <v>143500069</v>
      </c>
      <c r="D5" s="552">
        <f>+D6+D7+D8+D9+D10+D11</f>
        <v>143500069</v>
      </c>
      <c r="E5" s="170">
        <f>+E6+E7+E8+E9+E10+E11</f>
        <v>0</v>
      </c>
      <c r="F5" s="170">
        <f>+F6+F7+F8+F9+F10+F11</f>
        <v>0</v>
      </c>
    </row>
    <row r="6" spans="1:6" s="254" customFormat="1" ht="12" customHeight="1">
      <c r="A6" s="14" t="s">
        <v>122</v>
      </c>
      <c r="B6" s="255" t="s">
        <v>231</v>
      </c>
      <c r="C6" s="700">
        <f t="shared" si="0"/>
        <v>0</v>
      </c>
      <c r="D6" s="554"/>
      <c r="E6" s="293"/>
      <c r="F6" s="172"/>
    </row>
    <row r="7" spans="1:6" s="254" customFormat="1" ht="12" customHeight="1">
      <c r="A7" s="13" t="s">
        <v>123</v>
      </c>
      <c r="B7" s="256" t="s">
        <v>232</v>
      </c>
      <c r="C7" s="701">
        <f t="shared" si="0"/>
        <v>0</v>
      </c>
      <c r="D7" s="153"/>
      <c r="E7" s="174"/>
      <c r="F7" s="171"/>
    </row>
    <row r="8" spans="1:6" s="254" customFormat="1" ht="12" customHeight="1">
      <c r="A8" s="13" t="s">
        <v>124</v>
      </c>
      <c r="B8" s="256" t="s">
        <v>623</v>
      </c>
      <c r="C8" s="701">
        <f t="shared" si="0"/>
        <v>133985360</v>
      </c>
      <c r="D8" s="153">
        <f>118423160+15562200</f>
        <v>133985360</v>
      </c>
      <c r="E8" s="174"/>
      <c r="F8" s="171"/>
    </row>
    <row r="9" spans="1:6" s="254" customFormat="1" ht="12" customHeight="1">
      <c r="A9" s="13" t="s">
        <v>125</v>
      </c>
      <c r="B9" s="256" t="s">
        <v>234</v>
      </c>
      <c r="C9" s="701">
        <f t="shared" si="0"/>
        <v>0</v>
      </c>
      <c r="D9" s="153"/>
      <c r="E9" s="174"/>
      <c r="F9" s="171"/>
    </row>
    <row r="10" spans="1:6" s="254" customFormat="1" ht="12" customHeight="1">
      <c r="A10" s="13" t="s">
        <v>160</v>
      </c>
      <c r="B10" s="166" t="s">
        <v>503</v>
      </c>
      <c r="C10" s="701">
        <f t="shared" si="0"/>
        <v>9514709</v>
      </c>
      <c r="D10" s="498">
        <f>9514709</f>
        <v>9514709</v>
      </c>
      <c r="E10" s="174"/>
      <c r="F10" s="174"/>
    </row>
    <row r="11" spans="1:6" s="254" customFormat="1" ht="12" customHeight="1" thickBot="1">
      <c r="A11" s="15" t="s">
        <v>126</v>
      </c>
      <c r="B11" s="167" t="s">
        <v>504</v>
      </c>
      <c r="C11" s="702">
        <f t="shared" si="0"/>
        <v>0</v>
      </c>
      <c r="D11" s="153"/>
      <c r="E11" s="171"/>
      <c r="F11" s="171"/>
    </row>
    <row r="12" spans="1:6" s="254" customFormat="1" ht="12" customHeight="1" thickBot="1">
      <c r="A12" s="19" t="s">
        <v>44</v>
      </c>
      <c r="B12" s="165" t="s">
        <v>235</v>
      </c>
      <c r="C12" s="175">
        <f t="shared" si="0"/>
        <v>121701405</v>
      </c>
      <c r="D12" s="552">
        <f>+D13+D14+D15+D16+D17</f>
        <v>116216405</v>
      </c>
      <c r="E12" s="170">
        <f>+E13+E14+E15+E16+E17</f>
        <v>0</v>
      </c>
      <c r="F12" s="170">
        <f>+F13+F14+F15+F16+F17</f>
        <v>5485000</v>
      </c>
    </row>
    <row r="13" spans="1:6" s="254" customFormat="1" ht="12" customHeight="1">
      <c r="A13" s="14" t="s">
        <v>128</v>
      </c>
      <c r="B13" s="255" t="s">
        <v>236</v>
      </c>
      <c r="C13" s="700">
        <f t="shared" si="0"/>
        <v>0</v>
      </c>
      <c r="D13" s="554"/>
      <c r="E13" s="172"/>
      <c r="F13" s="172"/>
    </row>
    <row r="14" spans="1:6" s="254" customFormat="1" ht="12" customHeight="1">
      <c r="A14" s="13" t="s">
        <v>129</v>
      </c>
      <c r="B14" s="256" t="s">
        <v>237</v>
      </c>
      <c r="C14" s="701">
        <f t="shared" si="0"/>
        <v>0</v>
      </c>
      <c r="D14" s="153"/>
      <c r="E14" s="171"/>
      <c r="F14" s="171"/>
    </row>
    <row r="15" spans="1:6" s="254" customFormat="1" ht="12" customHeight="1">
      <c r="A15" s="13" t="s">
        <v>130</v>
      </c>
      <c r="B15" s="256" t="s">
        <v>406</v>
      </c>
      <c r="C15" s="701">
        <f t="shared" si="0"/>
        <v>0</v>
      </c>
      <c r="D15" s="153"/>
      <c r="E15" s="171"/>
      <c r="F15" s="171"/>
    </row>
    <row r="16" spans="1:6" s="254" customFormat="1" ht="12" customHeight="1">
      <c r="A16" s="13" t="s">
        <v>131</v>
      </c>
      <c r="B16" s="256" t="s">
        <v>407</v>
      </c>
      <c r="C16" s="701">
        <f t="shared" si="0"/>
        <v>0</v>
      </c>
      <c r="D16" s="153"/>
      <c r="E16" s="171"/>
      <c r="F16" s="171"/>
    </row>
    <row r="17" spans="1:6" s="254" customFormat="1" ht="12" customHeight="1">
      <c r="A17" s="13" t="s">
        <v>132</v>
      </c>
      <c r="B17" s="256" t="s">
        <v>238</v>
      </c>
      <c r="C17" s="768">
        <f t="shared" si="0"/>
        <v>121701405</v>
      </c>
      <c r="D17" s="498">
        <f>2285000+110446000+3111000+374405</f>
        <v>116216405</v>
      </c>
      <c r="E17" s="502"/>
      <c r="F17" s="174">
        <v>5485000</v>
      </c>
    </row>
    <row r="18" spans="1:6" s="254" customFormat="1" ht="12" customHeight="1" thickBot="1">
      <c r="A18" s="15" t="s">
        <v>141</v>
      </c>
      <c r="B18" s="167" t="s">
        <v>239</v>
      </c>
      <c r="C18" s="769">
        <f t="shared" si="0"/>
        <v>374405</v>
      </c>
      <c r="D18" s="508">
        <v>374405</v>
      </c>
      <c r="E18" s="244"/>
      <c r="F18" s="244"/>
    </row>
    <row r="19" spans="1:6" s="254" customFormat="1" ht="12" customHeight="1" thickBot="1">
      <c r="A19" s="19" t="s">
        <v>45</v>
      </c>
      <c r="B19" s="20" t="s">
        <v>240</v>
      </c>
      <c r="C19" s="501">
        <f t="shared" si="0"/>
        <v>0</v>
      </c>
      <c r="D19" s="552">
        <f>+D20+D21+D22+D23+D24</f>
        <v>0</v>
      </c>
      <c r="E19" s="170">
        <f>+E20+E21+E22+E23+E24</f>
        <v>0</v>
      </c>
      <c r="F19" s="170">
        <f>+F20+F21+F22+F23+F24</f>
        <v>0</v>
      </c>
    </row>
    <row r="20" spans="1:6" s="254" customFormat="1" ht="12" customHeight="1">
      <c r="A20" s="14" t="s">
        <v>111</v>
      </c>
      <c r="B20" s="255" t="s">
        <v>241</v>
      </c>
      <c r="C20" s="700">
        <f t="shared" si="0"/>
        <v>0</v>
      </c>
      <c r="D20" s="554"/>
      <c r="E20" s="496"/>
      <c r="F20" s="172"/>
    </row>
    <row r="21" spans="1:6" s="254" customFormat="1" ht="12" customHeight="1">
      <c r="A21" s="13" t="s">
        <v>112</v>
      </c>
      <c r="B21" s="256" t="s">
        <v>242</v>
      </c>
      <c r="C21" s="701">
        <f t="shared" si="0"/>
        <v>0</v>
      </c>
      <c r="D21" s="153"/>
      <c r="E21" s="174"/>
      <c r="F21" s="171"/>
    </row>
    <row r="22" spans="1:6" s="254" customFormat="1" ht="12" customHeight="1">
      <c r="A22" s="13" t="s">
        <v>113</v>
      </c>
      <c r="B22" s="256" t="s">
        <v>408</v>
      </c>
      <c r="C22" s="701">
        <f t="shared" si="0"/>
        <v>0</v>
      </c>
      <c r="D22" s="153"/>
      <c r="E22" s="174"/>
      <c r="F22" s="171"/>
    </row>
    <row r="23" spans="1:6" s="254" customFormat="1" ht="12" customHeight="1">
      <c r="A23" s="13" t="s">
        <v>114</v>
      </c>
      <c r="B23" s="256" t="s">
        <v>409</v>
      </c>
      <c r="C23" s="701">
        <f t="shared" si="0"/>
        <v>0</v>
      </c>
      <c r="D23" s="153"/>
      <c r="E23" s="174"/>
      <c r="F23" s="171"/>
    </row>
    <row r="24" spans="1:6" s="254" customFormat="1" ht="12" customHeight="1">
      <c r="A24" s="13" t="s">
        <v>172</v>
      </c>
      <c r="B24" s="256" t="s">
        <v>243</v>
      </c>
      <c r="C24" s="701">
        <f t="shared" si="0"/>
        <v>0</v>
      </c>
      <c r="D24" s="498"/>
      <c r="E24" s="174"/>
      <c r="F24" s="174"/>
    </row>
    <row r="25" spans="1:6" s="254" customFormat="1" ht="12" customHeight="1" thickBot="1">
      <c r="A25" s="15" t="s">
        <v>173</v>
      </c>
      <c r="B25" s="257" t="s">
        <v>244</v>
      </c>
      <c r="C25" s="702">
        <f t="shared" si="0"/>
        <v>0</v>
      </c>
      <c r="D25" s="508"/>
      <c r="E25" s="244"/>
      <c r="F25" s="244"/>
    </row>
    <row r="26" spans="1:6" s="254" customFormat="1" ht="12" customHeight="1" thickBot="1">
      <c r="A26" s="19" t="s">
        <v>174</v>
      </c>
      <c r="B26" s="20" t="s">
        <v>245</v>
      </c>
      <c r="C26" s="501">
        <f t="shared" si="0"/>
        <v>0</v>
      </c>
      <c r="D26" s="556">
        <f>+D27+D31+D32+D33</f>
        <v>0</v>
      </c>
      <c r="E26" s="175">
        <f>+E27+E31+E32+E33</f>
        <v>0</v>
      </c>
      <c r="F26" s="175">
        <f>+F27+F31+F32+F33</f>
        <v>0</v>
      </c>
    </row>
    <row r="27" spans="1:6" s="254" customFormat="1" ht="12" customHeight="1">
      <c r="A27" s="14" t="s">
        <v>246</v>
      </c>
      <c r="B27" s="255" t="s">
        <v>505</v>
      </c>
      <c r="C27" s="700">
        <f t="shared" si="0"/>
        <v>0</v>
      </c>
      <c r="D27" s="658">
        <f>+D28+D29+D30</f>
        <v>0</v>
      </c>
      <c r="E27" s="250"/>
      <c r="F27" s="250">
        <f>+F28+F29+F30</f>
        <v>0</v>
      </c>
    </row>
    <row r="28" spans="1:6" s="254" customFormat="1" ht="12" customHeight="1">
      <c r="A28" s="13" t="s">
        <v>247</v>
      </c>
      <c r="B28" s="256" t="s">
        <v>252</v>
      </c>
      <c r="C28" s="701">
        <f t="shared" si="0"/>
        <v>0</v>
      </c>
      <c r="D28" s="153"/>
      <c r="E28" s="171"/>
      <c r="F28" s="171"/>
    </row>
    <row r="29" spans="1:6" s="254" customFormat="1" ht="12" customHeight="1">
      <c r="A29" s="13" t="s">
        <v>248</v>
      </c>
      <c r="B29" s="256" t="s">
        <v>253</v>
      </c>
      <c r="C29" s="701">
        <f t="shared" si="0"/>
        <v>0</v>
      </c>
      <c r="D29" s="153"/>
      <c r="E29" s="171"/>
      <c r="F29" s="171"/>
    </row>
    <row r="30" spans="1:6" s="254" customFormat="1" ht="12" customHeight="1">
      <c r="A30" s="13" t="s">
        <v>506</v>
      </c>
      <c r="B30" s="476" t="s">
        <v>507</v>
      </c>
      <c r="C30" s="701">
        <f t="shared" si="0"/>
        <v>0</v>
      </c>
      <c r="D30" s="153"/>
      <c r="E30" s="174"/>
      <c r="F30" s="171"/>
    </row>
    <row r="31" spans="1:6" s="254" customFormat="1" ht="12" customHeight="1">
      <c r="A31" s="13" t="s">
        <v>249</v>
      </c>
      <c r="B31" s="256" t="s">
        <v>254</v>
      </c>
      <c r="C31" s="701">
        <f t="shared" si="0"/>
        <v>0</v>
      </c>
      <c r="D31" s="153"/>
      <c r="E31" s="171"/>
      <c r="F31" s="171"/>
    </row>
    <row r="32" spans="1:6" s="254" customFormat="1" ht="12" customHeight="1">
      <c r="A32" s="13" t="s">
        <v>250</v>
      </c>
      <c r="B32" s="256" t="s">
        <v>255</v>
      </c>
      <c r="C32" s="701">
        <f t="shared" si="0"/>
        <v>0</v>
      </c>
      <c r="D32" s="153"/>
      <c r="E32" s="171"/>
      <c r="F32" s="171"/>
    </row>
    <row r="33" spans="1:6" s="254" customFormat="1" ht="12" customHeight="1" thickBot="1">
      <c r="A33" s="15" t="s">
        <v>251</v>
      </c>
      <c r="B33" s="257" t="s">
        <v>256</v>
      </c>
      <c r="C33" s="702">
        <f t="shared" si="0"/>
        <v>0</v>
      </c>
      <c r="D33" s="154"/>
      <c r="E33" s="244"/>
      <c r="F33" s="173"/>
    </row>
    <row r="34" spans="1:6" s="254" customFormat="1" ht="12" customHeight="1" thickBot="1">
      <c r="A34" s="19" t="s">
        <v>47</v>
      </c>
      <c r="B34" s="20" t="s">
        <v>508</v>
      </c>
      <c r="C34" s="175">
        <f t="shared" si="0"/>
        <v>226222302</v>
      </c>
      <c r="D34" s="552">
        <f>SUM(D35:D45)</f>
        <v>13380900</v>
      </c>
      <c r="E34" s="170">
        <f>SUM(E35:E45)</f>
        <v>635000</v>
      </c>
      <c r="F34" s="170">
        <f>SUM(F35:F45)</f>
        <v>212206402</v>
      </c>
    </row>
    <row r="35" spans="1:6" s="254" customFormat="1" ht="12" customHeight="1">
      <c r="A35" s="14" t="s">
        <v>115</v>
      </c>
      <c r="B35" s="255" t="s">
        <v>259</v>
      </c>
      <c r="C35" s="770">
        <f t="shared" si="0"/>
        <v>3989677</v>
      </c>
      <c r="D35" s="554">
        <f>3937000+52677</f>
        <v>3989677</v>
      </c>
      <c r="E35" s="293"/>
      <c r="F35" s="172"/>
    </row>
    <row r="36" spans="1:6" s="254" customFormat="1" ht="12" customHeight="1">
      <c r="A36" s="13" t="s">
        <v>116</v>
      </c>
      <c r="B36" s="256" t="s">
        <v>260</v>
      </c>
      <c r="C36" s="768">
        <f t="shared" si="0"/>
        <v>46870137</v>
      </c>
      <c r="D36" s="498">
        <f>160000+5500000+862205</f>
        <v>6522205</v>
      </c>
      <c r="E36" s="174">
        <v>500000</v>
      </c>
      <c r="F36" s="172">
        <v>39847932</v>
      </c>
    </row>
    <row r="37" spans="1:6" s="254" customFormat="1" ht="12" customHeight="1">
      <c r="A37" s="13" t="s">
        <v>117</v>
      </c>
      <c r="B37" s="256" t="s">
        <v>261</v>
      </c>
      <c r="C37" s="701">
        <f aca="true" t="shared" si="1" ref="C37:C68">SUM(D37:F37)</f>
        <v>10525000</v>
      </c>
      <c r="D37" s="498"/>
      <c r="E37" s="174"/>
      <c r="F37" s="172">
        <v>10525000</v>
      </c>
    </row>
    <row r="38" spans="1:6" s="254" customFormat="1" ht="12" customHeight="1">
      <c r="A38" s="13" t="s">
        <v>176</v>
      </c>
      <c r="B38" s="256" t="s">
        <v>262</v>
      </c>
      <c r="C38" s="701">
        <f t="shared" si="1"/>
        <v>0</v>
      </c>
      <c r="D38" s="153"/>
      <c r="E38" s="174"/>
      <c r="F38" s="172"/>
    </row>
    <row r="39" spans="1:6" s="254" customFormat="1" ht="12" customHeight="1">
      <c r="A39" s="13" t="s">
        <v>177</v>
      </c>
      <c r="B39" s="256" t="s">
        <v>263</v>
      </c>
      <c r="C39" s="701">
        <f t="shared" si="1"/>
        <v>158991720</v>
      </c>
      <c r="D39" s="153"/>
      <c r="E39" s="174"/>
      <c r="F39" s="172">
        <v>158991720</v>
      </c>
    </row>
    <row r="40" spans="1:6" s="254" customFormat="1" ht="12" customHeight="1">
      <c r="A40" s="13" t="s">
        <v>178</v>
      </c>
      <c r="B40" s="256" t="s">
        <v>264</v>
      </c>
      <c r="C40" s="768">
        <f t="shared" si="1"/>
        <v>5815768</v>
      </c>
      <c r="D40" s="153">
        <f>1063000+44000+1485000+14223+232795</f>
        <v>2839018</v>
      </c>
      <c r="E40" s="174">
        <v>135000</v>
      </c>
      <c r="F40" s="172">
        <v>2841750</v>
      </c>
    </row>
    <row r="41" spans="1:6" s="254" customFormat="1" ht="12" customHeight="1">
      <c r="A41" s="13" t="s">
        <v>179</v>
      </c>
      <c r="B41" s="256" t="s">
        <v>265</v>
      </c>
      <c r="C41" s="701">
        <f t="shared" si="1"/>
        <v>0</v>
      </c>
      <c r="D41" s="153"/>
      <c r="E41" s="174"/>
      <c r="F41" s="172"/>
    </row>
    <row r="42" spans="1:6" s="254" customFormat="1" ht="12" customHeight="1">
      <c r="A42" s="13" t="s">
        <v>180</v>
      </c>
      <c r="B42" s="256" t="s">
        <v>620</v>
      </c>
      <c r="C42" s="701">
        <f t="shared" si="1"/>
        <v>30000</v>
      </c>
      <c r="D42" s="153">
        <v>30000</v>
      </c>
      <c r="E42" s="174"/>
      <c r="F42" s="174"/>
    </row>
    <row r="43" spans="1:6" s="254" customFormat="1" ht="12" customHeight="1">
      <c r="A43" s="13" t="s">
        <v>257</v>
      </c>
      <c r="B43" s="256" t="s">
        <v>267</v>
      </c>
      <c r="C43" s="701">
        <f t="shared" si="1"/>
        <v>0</v>
      </c>
      <c r="D43" s="498"/>
      <c r="E43" s="174"/>
      <c r="F43" s="174"/>
    </row>
    <row r="44" spans="1:6" s="254" customFormat="1" ht="12" customHeight="1">
      <c r="A44" s="15" t="s">
        <v>258</v>
      </c>
      <c r="B44" s="257" t="s">
        <v>509</v>
      </c>
      <c r="C44" s="701">
        <f t="shared" si="1"/>
        <v>0</v>
      </c>
      <c r="D44" s="508"/>
      <c r="E44" s="244"/>
      <c r="F44" s="244"/>
    </row>
    <row r="45" spans="1:6" s="254" customFormat="1" ht="12" customHeight="1" thickBot="1">
      <c r="A45" s="15" t="s">
        <v>510</v>
      </c>
      <c r="B45" s="167" t="s">
        <v>268</v>
      </c>
      <c r="C45" s="702">
        <f t="shared" si="1"/>
        <v>0</v>
      </c>
      <c r="D45" s="508"/>
      <c r="E45" s="244"/>
      <c r="F45" s="244"/>
    </row>
    <row r="46" spans="1:6" s="254" customFormat="1" ht="12" customHeight="1" thickBot="1">
      <c r="A46" s="19" t="s">
        <v>48</v>
      </c>
      <c r="B46" s="20" t="s">
        <v>269</v>
      </c>
      <c r="C46" s="175">
        <f t="shared" si="1"/>
        <v>250000</v>
      </c>
      <c r="D46" s="552">
        <f>SUM(D47:D51)</f>
        <v>250000</v>
      </c>
      <c r="E46" s="170">
        <f>SUM(E47:E51)</f>
        <v>0</v>
      </c>
      <c r="F46" s="170">
        <f>SUM(F47:F51)</f>
        <v>0</v>
      </c>
    </row>
    <row r="47" spans="1:6" s="254" customFormat="1" ht="12" customHeight="1">
      <c r="A47" s="14" t="s">
        <v>118</v>
      </c>
      <c r="B47" s="255" t="s">
        <v>273</v>
      </c>
      <c r="C47" s="700">
        <f t="shared" si="1"/>
        <v>0</v>
      </c>
      <c r="D47" s="559"/>
      <c r="E47" s="293"/>
      <c r="F47" s="293"/>
    </row>
    <row r="48" spans="1:6" s="254" customFormat="1" ht="12" customHeight="1">
      <c r="A48" s="13" t="s">
        <v>119</v>
      </c>
      <c r="B48" s="256" t="s">
        <v>274</v>
      </c>
      <c r="C48" s="701">
        <f t="shared" si="1"/>
        <v>0</v>
      </c>
      <c r="D48" s="498"/>
      <c r="E48" s="174"/>
      <c r="F48" s="174"/>
    </row>
    <row r="49" spans="1:6" s="254" customFormat="1" ht="12" customHeight="1">
      <c r="A49" s="13" t="s">
        <v>270</v>
      </c>
      <c r="B49" s="256" t="s">
        <v>275</v>
      </c>
      <c r="C49" s="701">
        <f t="shared" si="1"/>
        <v>250000</v>
      </c>
      <c r="D49" s="498">
        <v>250000</v>
      </c>
      <c r="E49" s="174"/>
      <c r="F49" s="174"/>
    </row>
    <row r="50" spans="1:6" s="254" customFormat="1" ht="12" customHeight="1">
      <c r="A50" s="13" t="s">
        <v>271</v>
      </c>
      <c r="B50" s="256" t="s">
        <v>276</v>
      </c>
      <c r="C50" s="701">
        <f t="shared" si="1"/>
        <v>0</v>
      </c>
      <c r="D50" s="498"/>
      <c r="E50" s="174"/>
      <c r="F50" s="174"/>
    </row>
    <row r="51" spans="1:6" s="254" customFormat="1" ht="12" customHeight="1" thickBot="1">
      <c r="A51" s="15" t="s">
        <v>272</v>
      </c>
      <c r="B51" s="167" t="s">
        <v>277</v>
      </c>
      <c r="C51" s="702">
        <f t="shared" si="1"/>
        <v>0</v>
      </c>
      <c r="D51" s="508"/>
      <c r="E51" s="244"/>
      <c r="F51" s="244"/>
    </row>
    <row r="52" spans="1:6" s="254" customFormat="1" ht="12" customHeight="1" thickBot="1">
      <c r="A52" s="19" t="s">
        <v>181</v>
      </c>
      <c r="B52" s="20" t="s">
        <v>278</v>
      </c>
      <c r="C52" s="175">
        <f t="shared" si="1"/>
        <v>1566000</v>
      </c>
      <c r="D52" s="552">
        <f>SUM(D53:D55)</f>
        <v>1566000</v>
      </c>
      <c r="E52" s="170">
        <f>SUM(E53:E55)</f>
        <v>0</v>
      </c>
      <c r="F52" s="170">
        <f>SUM(F53:F55)</f>
        <v>0</v>
      </c>
    </row>
    <row r="53" spans="1:6" s="254" customFormat="1" ht="12" customHeight="1">
      <c r="A53" s="14" t="s">
        <v>120</v>
      </c>
      <c r="B53" s="255" t="s">
        <v>279</v>
      </c>
      <c r="C53" s="700">
        <f t="shared" si="1"/>
        <v>0</v>
      </c>
      <c r="D53" s="554"/>
      <c r="E53" s="172"/>
      <c r="F53" s="172"/>
    </row>
    <row r="54" spans="1:6" s="254" customFormat="1" ht="12" customHeight="1">
      <c r="A54" s="13" t="s">
        <v>121</v>
      </c>
      <c r="B54" s="256" t="s">
        <v>410</v>
      </c>
      <c r="C54" s="701">
        <f t="shared" si="1"/>
        <v>1566000</v>
      </c>
      <c r="D54" s="498">
        <v>1566000</v>
      </c>
      <c r="E54" s="174"/>
      <c r="F54" s="174"/>
    </row>
    <row r="55" spans="1:6" s="254" customFormat="1" ht="12" customHeight="1">
      <c r="A55" s="13" t="s">
        <v>282</v>
      </c>
      <c r="B55" s="256" t="s">
        <v>280</v>
      </c>
      <c r="C55" s="701">
        <f t="shared" si="1"/>
        <v>0</v>
      </c>
      <c r="D55" s="498"/>
      <c r="E55" s="174"/>
      <c r="F55" s="174"/>
    </row>
    <row r="56" spans="1:6" s="254" customFormat="1" ht="12" customHeight="1" thickBot="1">
      <c r="A56" s="15" t="s">
        <v>283</v>
      </c>
      <c r="B56" s="167" t="s">
        <v>281</v>
      </c>
      <c r="C56" s="702">
        <f t="shared" si="1"/>
        <v>0</v>
      </c>
      <c r="D56" s="154"/>
      <c r="E56" s="173"/>
      <c r="F56" s="173"/>
    </row>
    <row r="57" spans="1:6" s="254" customFormat="1" ht="12" customHeight="1" thickBot="1">
      <c r="A57" s="19" t="s">
        <v>50</v>
      </c>
      <c r="B57" s="165" t="s">
        <v>284</v>
      </c>
      <c r="C57" s="175">
        <f t="shared" si="1"/>
        <v>0</v>
      </c>
      <c r="D57" s="552">
        <f>SUM(D58:D60)</f>
        <v>0</v>
      </c>
      <c r="E57" s="170">
        <f>SUM(E58:E60)</f>
        <v>0</v>
      </c>
      <c r="F57" s="170">
        <f>SUM(F58:F60)</f>
        <v>0</v>
      </c>
    </row>
    <row r="58" spans="1:6" s="254" customFormat="1" ht="12" customHeight="1">
      <c r="A58" s="14" t="s">
        <v>182</v>
      </c>
      <c r="B58" s="255" t="s">
        <v>286</v>
      </c>
      <c r="C58" s="700">
        <f t="shared" si="1"/>
        <v>0</v>
      </c>
      <c r="D58" s="498"/>
      <c r="E58" s="174"/>
      <c r="F58" s="174"/>
    </row>
    <row r="59" spans="1:6" s="254" customFormat="1" ht="12" customHeight="1">
      <c r="A59" s="13" t="s">
        <v>183</v>
      </c>
      <c r="B59" s="256" t="s">
        <v>411</v>
      </c>
      <c r="C59" s="701">
        <f t="shared" si="1"/>
        <v>0</v>
      </c>
      <c r="D59" s="498"/>
      <c r="E59" s="174"/>
      <c r="F59" s="174"/>
    </row>
    <row r="60" spans="1:6" s="254" customFormat="1" ht="12" customHeight="1">
      <c r="A60" s="13" t="s">
        <v>209</v>
      </c>
      <c r="B60" s="256" t="s">
        <v>287</v>
      </c>
      <c r="C60" s="701">
        <f t="shared" si="1"/>
        <v>0</v>
      </c>
      <c r="D60" s="498"/>
      <c r="E60" s="174"/>
      <c r="F60" s="174"/>
    </row>
    <row r="61" spans="1:6" s="254" customFormat="1" ht="12" customHeight="1" thickBot="1">
      <c r="A61" s="15" t="s">
        <v>285</v>
      </c>
      <c r="B61" s="167" t="s">
        <v>288</v>
      </c>
      <c r="C61" s="702">
        <f t="shared" si="1"/>
        <v>0</v>
      </c>
      <c r="D61" s="498"/>
      <c r="E61" s="174"/>
      <c r="F61" s="174"/>
    </row>
    <row r="62" spans="1:6" s="254" customFormat="1" ht="12" customHeight="1" thickBot="1">
      <c r="A62" s="477" t="s">
        <v>511</v>
      </c>
      <c r="B62" s="20" t="s">
        <v>289</v>
      </c>
      <c r="C62" s="175">
        <f t="shared" si="1"/>
        <v>493239776</v>
      </c>
      <c r="D62" s="556">
        <f>+D5+D12+D19+D26+D34+D46+D52+D57</f>
        <v>274913374</v>
      </c>
      <c r="E62" s="175">
        <f>+E5+E12+E19+E26+E34+E46+E52+E57</f>
        <v>635000</v>
      </c>
      <c r="F62" s="175">
        <f>+F5+F12+F19+F26+F34+F46+F52+F57</f>
        <v>217691402</v>
      </c>
    </row>
    <row r="63" spans="1:6" s="254" customFormat="1" ht="12" customHeight="1" thickBot="1">
      <c r="A63" s="478" t="s">
        <v>290</v>
      </c>
      <c r="B63" s="165" t="s">
        <v>291</v>
      </c>
      <c r="C63" s="175">
        <f t="shared" si="1"/>
        <v>182000000</v>
      </c>
      <c r="D63" s="552">
        <f>SUM(D64:D66)</f>
        <v>182000000</v>
      </c>
      <c r="E63" s="170">
        <f>SUM(E64:E66)</f>
        <v>0</v>
      </c>
      <c r="F63" s="501">
        <f>SUM(F64:F66)</f>
        <v>0</v>
      </c>
    </row>
    <row r="64" spans="1:6" s="254" customFormat="1" ht="12" customHeight="1">
      <c r="A64" s="14" t="s">
        <v>322</v>
      </c>
      <c r="B64" s="255" t="s">
        <v>292</v>
      </c>
      <c r="C64" s="700">
        <f t="shared" si="1"/>
        <v>82000000</v>
      </c>
      <c r="D64" s="509">
        <f>44100000+37900000</f>
        <v>82000000</v>
      </c>
      <c r="E64" s="174"/>
      <c r="F64" s="174">
        <v>0</v>
      </c>
    </row>
    <row r="65" spans="1:6" s="254" customFormat="1" ht="12" customHeight="1">
      <c r="A65" s="13" t="s">
        <v>331</v>
      </c>
      <c r="B65" s="256" t="s">
        <v>293</v>
      </c>
      <c r="C65" s="701">
        <f t="shared" si="1"/>
        <v>100000000</v>
      </c>
      <c r="D65" s="498">
        <v>100000000</v>
      </c>
      <c r="E65" s="174"/>
      <c r="F65" s="174"/>
    </row>
    <row r="66" spans="1:6" s="254" customFormat="1" ht="12" customHeight="1" thickBot="1">
      <c r="A66" s="15" t="s">
        <v>332</v>
      </c>
      <c r="B66" s="479" t="s">
        <v>512</v>
      </c>
      <c r="C66" s="702">
        <f t="shared" si="1"/>
        <v>0</v>
      </c>
      <c r="D66" s="498"/>
      <c r="E66" s="174"/>
      <c r="F66" s="174"/>
    </row>
    <row r="67" spans="1:6" s="254" customFormat="1" ht="12" customHeight="1" thickBot="1">
      <c r="A67" s="478" t="s">
        <v>295</v>
      </c>
      <c r="B67" s="165" t="s">
        <v>296</v>
      </c>
      <c r="C67" s="501">
        <f t="shared" si="1"/>
        <v>0</v>
      </c>
      <c r="D67" s="552">
        <f>SUM(D68:D71)</f>
        <v>0</v>
      </c>
      <c r="E67" s="170">
        <f>SUM(E68:E71)</f>
        <v>0</v>
      </c>
      <c r="F67" s="170">
        <f>SUM(F68:F71)</f>
        <v>0</v>
      </c>
    </row>
    <row r="68" spans="1:6" s="254" customFormat="1" ht="12" customHeight="1">
      <c r="A68" s="14" t="s">
        <v>161</v>
      </c>
      <c r="B68" s="255" t="s">
        <v>297</v>
      </c>
      <c r="C68" s="700">
        <f t="shared" si="1"/>
        <v>0</v>
      </c>
      <c r="D68" s="498"/>
      <c r="E68" s="174"/>
      <c r="F68" s="174"/>
    </row>
    <row r="69" spans="1:6" s="254" customFormat="1" ht="12" customHeight="1">
      <c r="A69" s="13" t="s">
        <v>162</v>
      </c>
      <c r="B69" s="256" t="s">
        <v>298</v>
      </c>
      <c r="C69" s="701">
        <f aca="true" t="shared" si="2" ref="C69:C87">SUM(D69:F69)</f>
        <v>0</v>
      </c>
      <c r="D69" s="498"/>
      <c r="E69" s="174"/>
      <c r="F69" s="174"/>
    </row>
    <row r="70" spans="1:6" s="254" customFormat="1" ht="12" customHeight="1">
      <c r="A70" s="13" t="s">
        <v>323</v>
      </c>
      <c r="B70" s="256" t="s">
        <v>299</v>
      </c>
      <c r="C70" s="701">
        <f t="shared" si="2"/>
        <v>0</v>
      </c>
      <c r="D70" s="498"/>
      <c r="E70" s="174"/>
      <c r="F70" s="174"/>
    </row>
    <row r="71" spans="1:6" s="254" customFormat="1" ht="12" customHeight="1" thickBot="1">
      <c r="A71" s="15" t="s">
        <v>324</v>
      </c>
      <c r="B71" s="167" t="s">
        <v>300</v>
      </c>
      <c r="C71" s="702">
        <f t="shared" si="2"/>
        <v>0</v>
      </c>
      <c r="D71" s="498"/>
      <c r="E71" s="174"/>
      <c r="F71" s="174"/>
    </row>
    <row r="72" spans="1:6" s="254" customFormat="1" ht="12" customHeight="1" thickBot="1">
      <c r="A72" s="478" t="s">
        <v>301</v>
      </c>
      <c r="B72" s="165" t="s">
        <v>302</v>
      </c>
      <c r="C72" s="175">
        <f t="shared" si="2"/>
        <v>418046</v>
      </c>
      <c r="D72" s="552">
        <f>SUM(D73:D74)</f>
        <v>0</v>
      </c>
      <c r="E72" s="170">
        <f>SUM(E73:E74)</f>
        <v>0</v>
      </c>
      <c r="F72" s="170">
        <f>SUM(F73:F74)</f>
        <v>418046</v>
      </c>
    </row>
    <row r="73" spans="1:6" s="254" customFormat="1" ht="12" customHeight="1">
      <c r="A73" s="14" t="s">
        <v>325</v>
      </c>
      <c r="B73" s="255" t="s">
        <v>303</v>
      </c>
      <c r="C73" s="700">
        <f t="shared" si="2"/>
        <v>418046</v>
      </c>
      <c r="D73" s="498"/>
      <c r="E73" s="174"/>
      <c r="F73" s="174">
        <v>418046</v>
      </c>
    </row>
    <row r="74" spans="1:6" s="254" customFormat="1" ht="12" customHeight="1" thickBot="1">
      <c r="A74" s="15" t="s">
        <v>326</v>
      </c>
      <c r="B74" s="167" t="s">
        <v>304</v>
      </c>
      <c r="C74" s="702">
        <f t="shared" si="2"/>
        <v>0</v>
      </c>
      <c r="D74" s="498"/>
      <c r="E74" s="174"/>
      <c r="F74" s="174"/>
    </row>
    <row r="75" spans="1:6" s="254" customFormat="1" ht="12" customHeight="1" thickBot="1">
      <c r="A75" s="478" t="s">
        <v>305</v>
      </c>
      <c r="B75" s="165" t="s">
        <v>306</v>
      </c>
      <c r="C75" s="175">
        <f t="shared" si="2"/>
        <v>0</v>
      </c>
      <c r="D75" s="552">
        <f>SUM(D76:D78)</f>
        <v>0</v>
      </c>
      <c r="E75" s="170">
        <f>SUM(E76:E78)</f>
        <v>0</v>
      </c>
      <c r="F75" s="170">
        <f>SUM(F76:F78)</f>
        <v>0</v>
      </c>
    </row>
    <row r="76" spans="1:6" s="254" customFormat="1" ht="12" customHeight="1">
      <c r="A76" s="14" t="s">
        <v>327</v>
      </c>
      <c r="B76" s="255" t="s">
        <v>307</v>
      </c>
      <c r="C76" s="700">
        <f t="shared" si="2"/>
        <v>0</v>
      </c>
      <c r="D76" s="498"/>
      <c r="E76" s="174"/>
      <c r="F76" s="174"/>
    </row>
    <row r="77" spans="1:6" s="254" customFormat="1" ht="12" customHeight="1">
      <c r="A77" s="13" t="s">
        <v>328</v>
      </c>
      <c r="B77" s="256" t="s">
        <v>308</v>
      </c>
      <c r="C77" s="701">
        <f t="shared" si="2"/>
        <v>0</v>
      </c>
      <c r="D77" s="498"/>
      <c r="E77" s="174"/>
      <c r="F77" s="174"/>
    </row>
    <row r="78" spans="1:6" s="254" customFormat="1" ht="12" customHeight="1" thickBot="1">
      <c r="A78" s="15" t="s">
        <v>329</v>
      </c>
      <c r="B78" s="167" t="s">
        <v>309</v>
      </c>
      <c r="C78" s="702">
        <f t="shared" si="2"/>
        <v>0</v>
      </c>
      <c r="D78" s="498"/>
      <c r="E78" s="174"/>
      <c r="F78" s="174"/>
    </row>
    <row r="79" spans="1:6" s="254" customFormat="1" ht="12" customHeight="1" thickBot="1">
      <c r="A79" s="478" t="s">
        <v>310</v>
      </c>
      <c r="B79" s="165" t="s">
        <v>330</v>
      </c>
      <c r="C79" s="175">
        <f t="shared" si="2"/>
        <v>0</v>
      </c>
      <c r="D79" s="552">
        <f>SUM(D80:D83)</f>
        <v>0</v>
      </c>
      <c r="E79" s="170">
        <f>SUM(E80:E83)</f>
        <v>0</v>
      </c>
      <c r="F79" s="170">
        <f>SUM(F80:F83)</f>
        <v>0</v>
      </c>
    </row>
    <row r="80" spans="1:6" s="254" customFormat="1" ht="12" customHeight="1">
      <c r="A80" s="259" t="s">
        <v>311</v>
      </c>
      <c r="B80" s="255" t="s">
        <v>312</v>
      </c>
      <c r="C80" s="700">
        <f t="shared" si="2"/>
        <v>0</v>
      </c>
      <c r="D80" s="498"/>
      <c r="E80" s="174"/>
      <c r="F80" s="174"/>
    </row>
    <row r="81" spans="1:6" s="254" customFormat="1" ht="12" customHeight="1">
      <c r="A81" s="260" t="s">
        <v>313</v>
      </c>
      <c r="B81" s="256" t="s">
        <v>314</v>
      </c>
      <c r="C81" s="701">
        <f t="shared" si="2"/>
        <v>0</v>
      </c>
      <c r="D81" s="498"/>
      <c r="E81" s="174"/>
      <c r="F81" s="174"/>
    </row>
    <row r="82" spans="1:6" s="254" customFormat="1" ht="12" customHeight="1">
      <c r="A82" s="260" t="s">
        <v>315</v>
      </c>
      <c r="B82" s="256" t="s">
        <v>316</v>
      </c>
      <c r="C82" s="701">
        <f t="shared" si="2"/>
        <v>0</v>
      </c>
      <c r="D82" s="498"/>
      <c r="E82" s="174"/>
      <c r="F82" s="174"/>
    </row>
    <row r="83" spans="1:6" s="254" customFormat="1" ht="12" customHeight="1" thickBot="1">
      <c r="A83" s="261" t="s">
        <v>317</v>
      </c>
      <c r="B83" s="167" t="s">
        <v>318</v>
      </c>
      <c r="C83" s="702">
        <f t="shared" si="2"/>
        <v>0</v>
      </c>
      <c r="D83" s="498"/>
      <c r="E83" s="174"/>
      <c r="F83" s="174"/>
    </row>
    <row r="84" spans="1:6" s="254" customFormat="1" ht="12" customHeight="1" thickBot="1">
      <c r="A84" s="478" t="s">
        <v>319</v>
      </c>
      <c r="B84" s="165" t="s">
        <v>513</v>
      </c>
      <c r="C84" s="170">
        <f t="shared" si="2"/>
        <v>0</v>
      </c>
      <c r="D84" s="560"/>
      <c r="E84" s="294"/>
      <c r="F84" s="294"/>
    </row>
    <row r="85" spans="1:6" s="254" customFormat="1" ht="13.5" customHeight="1" thickBot="1">
      <c r="A85" s="478" t="s">
        <v>321</v>
      </c>
      <c r="B85" s="165" t="s">
        <v>320</v>
      </c>
      <c r="C85" s="170">
        <f t="shared" si="2"/>
        <v>0</v>
      </c>
      <c r="D85" s="560"/>
      <c r="E85" s="294"/>
      <c r="F85" s="294"/>
    </row>
    <row r="86" spans="1:6" s="254" customFormat="1" ht="15.75" customHeight="1" thickBot="1">
      <c r="A86" s="478" t="s">
        <v>333</v>
      </c>
      <c r="B86" s="262" t="s">
        <v>514</v>
      </c>
      <c r="C86" s="170">
        <f t="shared" si="2"/>
        <v>182418046</v>
      </c>
      <c r="D86" s="556">
        <f>+D63+D67+D72+D75+D79+D85+D84</f>
        <v>182000000</v>
      </c>
      <c r="E86" s="175">
        <f>+E63+E67+E72+E75+E79+E85+E84</f>
        <v>0</v>
      </c>
      <c r="F86" s="175">
        <f>+F63+F67+F72+F75+F79+F85+F84</f>
        <v>418046</v>
      </c>
    </row>
    <row r="87" spans="1:6" s="254" customFormat="1" ht="16.5" customHeight="1" thickBot="1">
      <c r="A87" s="480" t="s">
        <v>515</v>
      </c>
      <c r="B87" s="263" t="s">
        <v>516</v>
      </c>
      <c r="C87" s="170">
        <f t="shared" si="2"/>
        <v>675657822</v>
      </c>
      <c r="D87" s="556">
        <f>+D62+D86</f>
        <v>456913374</v>
      </c>
      <c r="E87" s="175">
        <f>+E62+E86</f>
        <v>635000</v>
      </c>
      <c r="F87" s="175">
        <f>+F62+F86</f>
        <v>218109448</v>
      </c>
    </row>
    <row r="88" spans="1:3" s="254" customFormat="1" ht="83.25" customHeight="1">
      <c r="A88" s="4"/>
      <c r="B88" s="5"/>
      <c r="C88" s="176"/>
    </row>
    <row r="89" spans="1:3" ht="16.5" customHeight="1">
      <c r="A89" s="902" t="s">
        <v>71</v>
      </c>
      <c r="B89" s="902"/>
      <c r="C89" s="902"/>
    </row>
    <row r="90" spans="1:3" s="264" customFormat="1" ht="16.5" customHeight="1" thickBot="1">
      <c r="A90" s="903" t="s">
        <v>164</v>
      </c>
      <c r="B90" s="903"/>
      <c r="C90" s="90" t="s">
        <v>651</v>
      </c>
    </row>
    <row r="91" spans="1:3" ht="37.5" customHeight="1" thickBot="1">
      <c r="A91" s="22" t="s">
        <v>94</v>
      </c>
      <c r="B91" s="23" t="s">
        <v>72</v>
      </c>
      <c r="C91" s="31" t="str">
        <f>+C3</f>
        <v>2017. évi előirányzat</v>
      </c>
    </row>
    <row r="92" spans="1:3" s="253" customFormat="1" ht="12" customHeight="1" thickBot="1">
      <c r="A92" s="27" t="s">
        <v>500</v>
      </c>
      <c r="B92" s="28" t="s">
        <v>501</v>
      </c>
      <c r="C92" s="29" t="s">
        <v>502</v>
      </c>
    </row>
    <row r="93" spans="1:6" ht="12" customHeight="1" thickBot="1">
      <c r="A93" s="21" t="s">
        <v>43</v>
      </c>
      <c r="B93" s="26" t="s">
        <v>554</v>
      </c>
      <c r="C93" s="170">
        <f aca="true" t="shared" si="3" ref="C93:C124">SUM(D93:F93)</f>
        <v>646082572</v>
      </c>
      <c r="D93" s="564">
        <f>+D94+D95+D96+D97+D98+D111</f>
        <v>81690128</v>
      </c>
      <c r="E93" s="169">
        <f>+E94+E95+E96+E97+E98+E111</f>
        <v>4419000</v>
      </c>
      <c r="F93" s="170">
        <f>F94+F95+F96+F97+F98+F111</f>
        <v>559973444</v>
      </c>
    </row>
    <row r="94" spans="1:6" ht="12" customHeight="1">
      <c r="A94" s="16" t="s">
        <v>122</v>
      </c>
      <c r="B94" s="9" t="s">
        <v>73</v>
      </c>
      <c r="C94" s="770">
        <f t="shared" si="3"/>
        <v>308691109</v>
      </c>
      <c r="D94" s="659">
        <f>310000+175000+172000+24000+3882000+3749000-282000+589000+24000+76000+2550000+416250+2550648</f>
        <v>14235898</v>
      </c>
      <c r="E94" s="517"/>
      <c r="F94" s="517">
        <f>258452451+7750306+28252454</f>
        <v>294455211</v>
      </c>
    </row>
    <row r="95" spans="1:6" ht="12" customHeight="1">
      <c r="A95" s="13" t="s">
        <v>123</v>
      </c>
      <c r="B95" s="7" t="s">
        <v>184</v>
      </c>
      <c r="C95" s="768">
        <f t="shared" si="3"/>
        <v>71818858</v>
      </c>
      <c r="D95" s="498">
        <f>62000+33000+48000+808000+1652000-63900+117000+10800+37984+561000-41845+554400</f>
        <v>3778439</v>
      </c>
      <c r="E95" s="174"/>
      <c r="F95" s="174">
        <f>60280532+1688942+6070945</f>
        <v>68040419</v>
      </c>
    </row>
    <row r="96" spans="1:6" ht="12" customHeight="1">
      <c r="A96" s="13" t="s">
        <v>124</v>
      </c>
      <c r="B96" s="7" t="s">
        <v>153</v>
      </c>
      <c r="C96" s="768">
        <f t="shared" si="3"/>
        <v>259572605</v>
      </c>
      <c r="D96" s="508">
        <f>4801000+800001+376000+120000+386000+50000+18800+32000+22000+11212000+1682000+295900+401000+411000+1600000+26600000+7585000+1232300+80000-29210</f>
        <v>57675791</v>
      </c>
      <c r="E96" s="244">
        <v>4419000</v>
      </c>
      <c r="F96" s="174">
        <f>196774214-59900+635000+128500</f>
        <v>197477814</v>
      </c>
    </row>
    <row r="97" spans="1:6" ht="12" customHeight="1">
      <c r="A97" s="13" t="s">
        <v>125</v>
      </c>
      <c r="B97" s="7" t="s">
        <v>185</v>
      </c>
      <c r="C97" s="701">
        <f t="shared" si="3"/>
        <v>0</v>
      </c>
      <c r="D97" s="508"/>
      <c r="E97" s="244"/>
      <c r="F97" s="174"/>
    </row>
    <row r="98" spans="1:6" ht="12" customHeight="1">
      <c r="A98" s="13" t="s">
        <v>136</v>
      </c>
      <c r="B98" s="6" t="s">
        <v>186</v>
      </c>
      <c r="C98" s="701">
        <f t="shared" si="3"/>
        <v>6000000</v>
      </c>
      <c r="D98" s="508">
        <f>SUM(D99:D110)</f>
        <v>6000000</v>
      </c>
      <c r="E98" s="244">
        <f>SUM(E99:E110)</f>
        <v>0</v>
      </c>
      <c r="F98" s="244"/>
    </row>
    <row r="99" spans="1:6" ht="12" customHeight="1">
      <c r="A99" s="13" t="s">
        <v>126</v>
      </c>
      <c r="B99" s="7" t="s">
        <v>517</v>
      </c>
      <c r="C99" s="701">
        <f t="shared" si="3"/>
        <v>0</v>
      </c>
      <c r="D99" s="508"/>
      <c r="E99" s="244"/>
      <c r="F99" s="244"/>
    </row>
    <row r="100" spans="1:6" ht="12" customHeight="1">
      <c r="A100" s="13" t="s">
        <v>127</v>
      </c>
      <c r="B100" s="94" t="s">
        <v>518</v>
      </c>
      <c r="C100" s="701">
        <f t="shared" si="3"/>
        <v>0</v>
      </c>
      <c r="D100" s="508"/>
      <c r="E100" s="244"/>
      <c r="F100" s="244"/>
    </row>
    <row r="101" spans="1:6" ht="12" customHeight="1">
      <c r="A101" s="13" t="s">
        <v>137</v>
      </c>
      <c r="B101" s="94" t="s">
        <v>519</v>
      </c>
      <c r="C101" s="701">
        <f t="shared" si="3"/>
        <v>0</v>
      </c>
      <c r="D101" s="508"/>
      <c r="E101" s="244"/>
      <c r="F101" s="244"/>
    </row>
    <row r="102" spans="1:6" ht="12" customHeight="1">
      <c r="A102" s="13" t="s">
        <v>138</v>
      </c>
      <c r="B102" s="92" t="s">
        <v>336</v>
      </c>
      <c r="C102" s="701">
        <f t="shared" si="3"/>
        <v>0</v>
      </c>
      <c r="D102" s="508"/>
      <c r="E102" s="244"/>
      <c r="F102" s="244"/>
    </row>
    <row r="103" spans="1:6" ht="12" customHeight="1">
      <c r="A103" s="13" t="s">
        <v>139</v>
      </c>
      <c r="B103" s="93" t="s">
        <v>337</v>
      </c>
      <c r="C103" s="701">
        <f t="shared" si="3"/>
        <v>0</v>
      </c>
      <c r="D103" s="508"/>
      <c r="E103" s="244"/>
      <c r="F103" s="244"/>
    </row>
    <row r="104" spans="1:6" ht="12" customHeight="1">
      <c r="A104" s="13" t="s">
        <v>140</v>
      </c>
      <c r="B104" s="93" t="s">
        <v>338</v>
      </c>
      <c r="C104" s="701">
        <f t="shared" si="3"/>
        <v>0</v>
      </c>
      <c r="D104" s="508"/>
      <c r="E104" s="244"/>
      <c r="F104" s="244"/>
    </row>
    <row r="105" spans="1:6" ht="12" customHeight="1">
      <c r="A105" s="13" t="s">
        <v>142</v>
      </c>
      <c r="B105" s="92" t="s">
        <v>339</v>
      </c>
      <c r="C105" s="701">
        <f t="shared" si="3"/>
        <v>0</v>
      </c>
      <c r="D105" s="508"/>
      <c r="E105" s="244"/>
      <c r="F105" s="244"/>
    </row>
    <row r="106" spans="1:6" ht="12" customHeight="1">
      <c r="A106" s="13" t="s">
        <v>187</v>
      </c>
      <c r="B106" s="92" t="s">
        <v>340</v>
      </c>
      <c r="C106" s="701">
        <f t="shared" si="3"/>
        <v>0</v>
      </c>
      <c r="D106" s="508"/>
      <c r="E106" s="244"/>
      <c r="F106" s="244"/>
    </row>
    <row r="107" spans="1:6" ht="12" customHeight="1">
      <c r="A107" s="13" t="s">
        <v>334</v>
      </c>
      <c r="B107" s="93" t="s">
        <v>341</v>
      </c>
      <c r="C107" s="701">
        <f t="shared" si="3"/>
        <v>0</v>
      </c>
      <c r="D107" s="508"/>
      <c r="E107" s="244"/>
      <c r="F107" s="244"/>
    </row>
    <row r="108" spans="1:6" ht="12" customHeight="1">
      <c r="A108" s="12" t="s">
        <v>335</v>
      </c>
      <c r="B108" s="94" t="s">
        <v>342</v>
      </c>
      <c r="C108" s="701">
        <f t="shared" si="3"/>
        <v>0</v>
      </c>
      <c r="D108" s="508"/>
      <c r="E108" s="244"/>
      <c r="F108" s="244"/>
    </row>
    <row r="109" spans="1:6" ht="12" customHeight="1">
      <c r="A109" s="13" t="s">
        <v>520</v>
      </c>
      <c r="B109" s="94" t="s">
        <v>343</v>
      </c>
      <c r="C109" s="701">
        <f t="shared" si="3"/>
        <v>0</v>
      </c>
      <c r="D109" s="508"/>
      <c r="E109" s="244"/>
      <c r="F109" s="244"/>
    </row>
    <row r="110" spans="1:6" ht="12" customHeight="1">
      <c r="A110" s="15" t="s">
        <v>521</v>
      </c>
      <c r="B110" s="94" t="s">
        <v>344</v>
      </c>
      <c r="C110" s="701">
        <f t="shared" si="3"/>
        <v>6000000</v>
      </c>
      <c r="D110" s="498">
        <f>5000000+800000+150000+50000</f>
        <v>6000000</v>
      </c>
      <c r="E110" s="174"/>
      <c r="F110" s="522"/>
    </row>
    <row r="111" spans="1:6" ht="12" customHeight="1">
      <c r="A111" s="13" t="s">
        <v>522</v>
      </c>
      <c r="B111" s="7" t="s">
        <v>74</v>
      </c>
      <c r="C111" s="701">
        <f t="shared" si="3"/>
        <v>0</v>
      </c>
      <c r="D111" s="153"/>
      <c r="E111" s="174"/>
      <c r="F111" s="171"/>
    </row>
    <row r="112" spans="1:6" ht="12" customHeight="1">
      <c r="A112" s="13" t="s">
        <v>523</v>
      </c>
      <c r="B112" s="7" t="s">
        <v>524</v>
      </c>
      <c r="C112" s="701">
        <f t="shared" si="3"/>
        <v>0</v>
      </c>
      <c r="D112" s="154"/>
      <c r="E112" s="244"/>
      <c r="F112" s="171"/>
    </row>
    <row r="113" spans="1:6" ht="12" customHeight="1" thickBot="1">
      <c r="A113" s="17" t="s">
        <v>525</v>
      </c>
      <c r="B113" s="481" t="s">
        <v>526</v>
      </c>
      <c r="C113" s="702">
        <f t="shared" si="3"/>
        <v>0</v>
      </c>
      <c r="D113" s="565"/>
      <c r="E113" s="529"/>
      <c r="F113" s="177"/>
    </row>
    <row r="114" spans="1:6" ht="12" customHeight="1" thickBot="1">
      <c r="A114" s="482" t="s">
        <v>44</v>
      </c>
      <c r="B114" s="483" t="s">
        <v>345</v>
      </c>
      <c r="C114" s="175">
        <f t="shared" si="3"/>
        <v>29539448</v>
      </c>
      <c r="D114" s="552">
        <f>+D115+D117+D119</f>
        <v>26324288</v>
      </c>
      <c r="E114" s="170">
        <f>+E115+E117+E119</f>
        <v>0</v>
      </c>
      <c r="F114" s="484">
        <f>+F115+F117+F119</f>
        <v>3215160</v>
      </c>
    </row>
    <row r="115" spans="1:6" ht="12" customHeight="1">
      <c r="A115" s="14" t="s">
        <v>128</v>
      </c>
      <c r="B115" s="7" t="s">
        <v>208</v>
      </c>
      <c r="C115" s="770">
        <f t="shared" si="3"/>
        <v>7639447</v>
      </c>
      <c r="D115" s="559">
        <f>2963001+300001+90200+301000+973976-300001+96110</f>
        <v>4424287</v>
      </c>
      <c r="E115" s="293"/>
      <c r="F115" s="293">
        <f>3155260+59900</f>
        <v>3215160</v>
      </c>
    </row>
    <row r="116" spans="1:6" ht="12" customHeight="1">
      <c r="A116" s="14" t="s">
        <v>129</v>
      </c>
      <c r="B116" s="11" t="s">
        <v>349</v>
      </c>
      <c r="C116" s="701">
        <f t="shared" si="3"/>
        <v>0</v>
      </c>
      <c r="D116" s="559"/>
      <c r="E116" s="293"/>
      <c r="F116" s="293"/>
    </row>
    <row r="117" spans="1:6" ht="12" customHeight="1">
      <c r="A117" s="14" t="s">
        <v>130</v>
      </c>
      <c r="B117" s="11" t="s">
        <v>188</v>
      </c>
      <c r="C117" s="768">
        <f t="shared" si="3"/>
        <v>21300001</v>
      </c>
      <c r="D117" s="153">
        <f>21000000+300001</f>
        <v>21300001</v>
      </c>
      <c r="E117" s="174"/>
      <c r="F117" s="174"/>
    </row>
    <row r="118" spans="1:6" ht="12" customHeight="1">
      <c r="A118" s="14" t="s">
        <v>131</v>
      </c>
      <c r="B118" s="11" t="s">
        <v>350</v>
      </c>
      <c r="C118" s="701">
        <f t="shared" si="3"/>
        <v>0</v>
      </c>
      <c r="D118" s="153"/>
      <c r="E118" s="521"/>
      <c r="F118" s="498"/>
    </row>
    <row r="119" spans="1:6" ht="12" customHeight="1">
      <c r="A119" s="14" t="s">
        <v>132</v>
      </c>
      <c r="B119" s="167" t="s">
        <v>210</v>
      </c>
      <c r="C119" s="701">
        <f t="shared" si="3"/>
        <v>600000</v>
      </c>
      <c r="D119" s="509">
        <f>SUM(D120:D127)</f>
        <v>600000</v>
      </c>
      <c r="E119" s="498"/>
      <c r="F119" s="498"/>
    </row>
    <row r="120" spans="1:6" ht="12" customHeight="1">
      <c r="A120" s="14" t="s">
        <v>141</v>
      </c>
      <c r="B120" s="166" t="s">
        <v>412</v>
      </c>
      <c r="C120" s="701">
        <f t="shared" si="3"/>
        <v>0</v>
      </c>
      <c r="D120" s="509"/>
      <c r="E120" s="153"/>
      <c r="F120" s="153"/>
    </row>
    <row r="121" spans="1:6" ht="12" customHeight="1">
      <c r="A121" s="14" t="s">
        <v>143</v>
      </c>
      <c r="B121" s="251" t="s">
        <v>355</v>
      </c>
      <c r="C121" s="701">
        <f t="shared" si="3"/>
        <v>0</v>
      </c>
      <c r="D121" s="509"/>
      <c r="E121" s="153"/>
      <c r="F121" s="153"/>
    </row>
    <row r="122" spans="1:6" ht="15.75">
      <c r="A122" s="14" t="s">
        <v>189</v>
      </c>
      <c r="B122" s="93" t="s">
        <v>338</v>
      </c>
      <c r="C122" s="701">
        <f t="shared" si="3"/>
        <v>0</v>
      </c>
      <c r="D122" s="509"/>
      <c r="E122" s="153"/>
      <c r="F122" s="153"/>
    </row>
    <row r="123" spans="1:6" ht="12" customHeight="1">
      <c r="A123" s="14" t="s">
        <v>190</v>
      </c>
      <c r="B123" s="93" t="s">
        <v>354</v>
      </c>
      <c r="C123" s="701">
        <f t="shared" si="3"/>
        <v>0</v>
      </c>
      <c r="D123" s="509"/>
      <c r="E123" s="153"/>
      <c r="F123" s="153"/>
    </row>
    <row r="124" spans="1:6" ht="12" customHeight="1">
      <c r="A124" s="14" t="s">
        <v>191</v>
      </c>
      <c r="B124" s="93" t="s">
        <v>353</v>
      </c>
      <c r="C124" s="701">
        <f t="shared" si="3"/>
        <v>0</v>
      </c>
      <c r="D124" s="509"/>
      <c r="E124" s="153"/>
      <c r="F124" s="153"/>
    </row>
    <row r="125" spans="1:6" ht="12" customHeight="1">
      <c r="A125" s="14" t="s">
        <v>346</v>
      </c>
      <c r="B125" s="93" t="s">
        <v>341</v>
      </c>
      <c r="C125" s="701">
        <f aca="true" t="shared" si="4" ref="C125:C154">SUM(D125:F125)</f>
        <v>0</v>
      </c>
      <c r="D125" s="509"/>
      <c r="E125" s="153"/>
      <c r="F125" s="153"/>
    </row>
    <row r="126" spans="1:6" ht="12" customHeight="1">
      <c r="A126" s="14" t="s">
        <v>347</v>
      </c>
      <c r="B126" s="93" t="s">
        <v>352</v>
      </c>
      <c r="C126" s="701">
        <f t="shared" si="4"/>
        <v>0</v>
      </c>
      <c r="D126" s="509"/>
      <c r="E126" s="153"/>
      <c r="F126" s="153"/>
    </row>
    <row r="127" spans="1:6" ht="16.5" thickBot="1">
      <c r="A127" s="12" t="s">
        <v>348</v>
      </c>
      <c r="B127" s="93" t="s">
        <v>351</v>
      </c>
      <c r="C127" s="702">
        <f t="shared" si="4"/>
        <v>600000</v>
      </c>
      <c r="D127" s="510">
        <v>600000</v>
      </c>
      <c r="E127" s="508"/>
      <c r="F127" s="508"/>
    </row>
    <row r="128" spans="1:6" ht="12" customHeight="1" thickBot="1">
      <c r="A128" s="19" t="s">
        <v>45</v>
      </c>
      <c r="B128" s="88" t="s">
        <v>527</v>
      </c>
      <c r="C128" s="175">
        <f t="shared" si="4"/>
        <v>675622020</v>
      </c>
      <c r="D128" s="552">
        <f>+D93+D114</f>
        <v>108014416</v>
      </c>
      <c r="E128" s="170">
        <f>+E93+E114</f>
        <v>4419000</v>
      </c>
      <c r="F128" s="170">
        <f>+F93+F114</f>
        <v>563188604</v>
      </c>
    </row>
    <row r="129" spans="1:6" ht="12" customHeight="1" thickBot="1">
      <c r="A129" s="19" t="s">
        <v>46</v>
      </c>
      <c r="B129" s="88" t="s">
        <v>528</v>
      </c>
      <c r="C129" s="175">
        <f t="shared" si="4"/>
        <v>103161000</v>
      </c>
      <c r="D129" s="552">
        <f>+D130+D131+D132</f>
        <v>103161000</v>
      </c>
      <c r="E129" s="170">
        <f>+E130+E131+E132</f>
        <v>0</v>
      </c>
      <c r="F129" s="170">
        <f>+F130+F131+F132</f>
        <v>0</v>
      </c>
    </row>
    <row r="130" spans="1:6" ht="12" customHeight="1">
      <c r="A130" s="14" t="s">
        <v>246</v>
      </c>
      <c r="B130" s="11" t="s">
        <v>529</v>
      </c>
      <c r="C130" s="700">
        <f t="shared" si="4"/>
        <v>3161000</v>
      </c>
      <c r="D130" s="498">
        <v>3161000</v>
      </c>
      <c r="E130" s="498"/>
      <c r="F130" s="498"/>
    </row>
    <row r="131" spans="1:6" ht="12" customHeight="1">
      <c r="A131" s="14" t="s">
        <v>249</v>
      </c>
      <c r="B131" s="11" t="s">
        <v>530</v>
      </c>
      <c r="C131" s="701">
        <f t="shared" si="4"/>
        <v>100000000</v>
      </c>
      <c r="D131" s="153">
        <v>100000000</v>
      </c>
      <c r="E131" s="153"/>
      <c r="F131" s="153"/>
    </row>
    <row r="132" spans="1:6" ht="12" customHeight="1" thickBot="1">
      <c r="A132" s="12" t="s">
        <v>250</v>
      </c>
      <c r="B132" s="11" t="s">
        <v>531</v>
      </c>
      <c r="C132" s="702">
        <f t="shared" si="4"/>
        <v>0</v>
      </c>
      <c r="D132" s="153"/>
      <c r="E132" s="153"/>
      <c r="F132" s="153"/>
    </row>
    <row r="133" spans="1:6" ht="12" customHeight="1" thickBot="1">
      <c r="A133" s="19" t="s">
        <v>47</v>
      </c>
      <c r="B133" s="88" t="s">
        <v>532</v>
      </c>
      <c r="C133" s="501">
        <f t="shared" si="4"/>
        <v>0</v>
      </c>
      <c r="D133" s="552">
        <f>+D134+D135+D136+D137+D138+D139</f>
        <v>0</v>
      </c>
      <c r="E133" s="170">
        <f>+E134+E135+E136+E137+E138+E139</f>
        <v>0</v>
      </c>
      <c r="F133" s="170">
        <f>SUM(F134:F139)</f>
        <v>0</v>
      </c>
    </row>
    <row r="134" spans="1:6" ht="12" customHeight="1">
      <c r="A134" s="14" t="s">
        <v>115</v>
      </c>
      <c r="B134" s="8" t="s">
        <v>533</v>
      </c>
      <c r="C134" s="700">
        <f t="shared" si="4"/>
        <v>0</v>
      </c>
      <c r="D134" s="153"/>
      <c r="E134" s="153"/>
      <c r="F134" s="153"/>
    </row>
    <row r="135" spans="1:6" ht="12" customHeight="1">
      <c r="A135" s="14" t="s">
        <v>116</v>
      </c>
      <c r="B135" s="8" t="s">
        <v>534</v>
      </c>
      <c r="C135" s="701">
        <f t="shared" si="4"/>
        <v>0</v>
      </c>
      <c r="D135" s="153"/>
      <c r="E135" s="153"/>
      <c r="F135" s="153"/>
    </row>
    <row r="136" spans="1:6" ht="12" customHeight="1">
      <c r="A136" s="14" t="s">
        <v>117</v>
      </c>
      <c r="B136" s="8" t="s">
        <v>535</v>
      </c>
      <c r="C136" s="701">
        <f t="shared" si="4"/>
        <v>0</v>
      </c>
      <c r="D136" s="153"/>
      <c r="E136" s="153"/>
      <c r="F136" s="153"/>
    </row>
    <row r="137" spans="1:6" ht="12" customHeight="1">
      <c r="A137" s="14" t="s">
        <v>176</v>
      </c>
      <c r="B137" s="8" t="s">
        <v>536</v>
      </c>
      <c r="C137" s="701">
        <f t="shared" si="4"/>
        <v>0</v>
      </c>
      <c r="D137" s="153"/>
      <c r="E137" s="153"/>
      <c r="F137" s="153"/>
    </row>
    <row r="138" spans="1:6" ht="12" customHeight="1">
      <c r="A138" s="14" t="s">
        <v>177</v>
      </c>
      <c r="B138" s="8" t="s">
        <v>537</v>
      </c>
      <c r="C138" s="701">
        <f t="shared" si="4"/>
        <v>0</v>
      </c>
      <c r="D138" s="153"/>
      <c r="E138" s="153"/>
      <c r="F138" s="153"/>
    </row>
    <row r="139" spans="1:6" ht="12" customHeight="1" thickBot="1">
      <c r="A139" s="12" t="s">
        <v>178</v>
      </c>
      <c r="B139" s="8" t="s">
        <v>538</v>
      </c>
      <c r="C139" s="702">
        <f t="shared" si="4"/>
        <v>0</v>
      </c>
      <c r="D139" s="153"/>
      <c r="E139" s="153"/>
      <c r="F139" s="153"/>
    </row>
    <row r="140" spans="1:6" ht="12" customHeight="1" thickBot="1">
      <c r="A140" s="19" t="s">
        <v>48</v>
      </c>
      <c r="B140" s="88" t="s">
        <v>539</v>
      </c>
      <c r="C140" s="175">
        <f t="shared" si="4"/>
        <v>0</v>
      </c>
      <c r="D140" s="556">
        <f>+D141+D142+D143+D144</f>
        <v>0</v>
      </c>
      <c r="E140" s="175">
        <f>+E141+E142+E143+E144</f>
        <v>0</v>
      </c>
      <c r="F140" s="175">
        <f>+F141+F142+F143+F144</f>
        <v>0</v>
      </c>
    </row>
    <row r="141" spans="1:6" ht="12" customHeight="1">
      <c r="A141" s="14" t="s">
        <v>118</v>
      </c>
      <c r="B141" s="8" t="s">
        <v>356</v>
      </c>
      <c r="C141" s="700">
        <f t="shared" si="4"/>
        <v>0</v>
      </c>
      <c r="D141" s="153"/>
      <c r="E141" s="153"/>
      <c r="F141" s="153"/>
    </row>
    <row r="142" spans="1:6" ht="12" customHeight="1">
      <c r="A142" s="14" t="s">
        <v>119</v>
      </c>
      <c r="B142" s="8" t="s">
        <v>357</v>
      </c>
      <c r="C142" s="701">
        <f t="shared" si="4"/>
        <v>0</v>
      </c>
      <c r="D142" s="153"/>
      <c r="E142" s="153"/>
      <c r="F142" s="153"/>
    </row>
    <row r="143" spans="1:6" ht="12" customHeight="1">
      <c r="A143" s="14" t="s">
        <v>270</v>
      </c>
      <c r="B143" s="8" t="s">
        <v>540</v>
      </c>
      <c r="C143" s="701">
        <f t="shared" si="4"/>
        <v>0</v>
      </c>
      <c r="D143" s="153"/>
      <c r="E143" s="153"/>
      <c r="F143" s="153"/>
    </row>
    <row r="144" spans="1:6" ht="12" customHeight="1" thickBot="1">
      <c r="A144" s="12" t="s">
        <v>271</v>
      </c>
      <c r="B144" s="6" t="s">
        <v>375</v>
      </c>
      <c r="C144" s="702">
        <f t="shared" si="4"/>
        <v>0</v>
      </c>
      <c r="D144" s="153"/>
      <c r="E144" s="153"/>
      <c r="F144" s="153"/>
    </row>
    <row r="145" spans="1:6" ht="12" customHeight="1" thickBot="1">
      <c r="A145" s="19" t="s">
        <v>49</v>
      </c>
      <c r="B145" s="88" t="s">
        <v>541</v>
      </c>
      <c r="C145" s="175">
        <f t="shared" si="4"/>
        <v>0</v>
      </c>
      <c r="D145" s="567">
        <f>+D146+D147+D148+D149+D150</f>
        <v>0</v>
      </c>
      <c r="E145" s="178">
        <f>+E146+E147+E148+E149+E150</f>
        <v>0</v>
      </c>
      <c r="F145" s="178">
        <f>SUM(F146:F150)</f>
        <v>0</v>
      </c>
    </row>
    <row r="146" spans="1:6" ht="12" customHeight="1">
      <c r="A146" s="14" t="s">
        <v>120</v>
      </c>
      <c r="B146" s="8" t="s">
        <v>542</v>
      </c>
      <c r="C146" s="700">
        <f t="shared" si="4"/>
        <v>0</v>
      </c>
      <c r="D146" s="153"/>
      <c r="E146" s="153"/>
      <c r="F146" s="153"/>
    </row>
    <row r="147" spans="1:6" ht="12" customHeight="1">
      <c r="A147" s="14" t="s">
        <v>121</v>
      </c>
      <c r="B147" s="8" t="s">
        <v>543</v>
      </c>
      <c r="C147" s="701">
        <f t="shared" si="4"/>
        <v>0</v>
      </c>
      <c r="D147" s="153"/>
      <c r="E147" s="153"/>
      <c r="F147" s="153"/>
    </row>
    <row r="148" spans="1:6" ht="12" customHeight="1">
      <c r="A148" s="14" t="s">
        <v>282</v>
      </c>
      <c r="B148" s="8" t="s">
        <v>544</v>
      </c>
      <c r="C148" s="701">
        <f t="shared" si="4"/>
        <v>0</v>
      </c>
      <c r="D148" s="153"/>
      <c r="E148" s="153"/>
      <c r="F148" s="153"/>
    </row>
    <row r="149" spans="1:6" ht="12" customHeight="1">
      <c r="A149" s="14" t="s">
        <v>283</v>
      </c>
      <c r="B149" s="8" t="s">
        <v>545</v>
      </c>
      <c r="C149" s="701">
        <f t="shared" si="4"/>
        <v>0</v>
      </c>
      <c r="D149" s="153"/>
      <c r="E149" s="153"/>
      <c r="F149" s="153"/>
    </row>
    <row r="150" spans="1:6" ht="12" customHeight="1" thickBot="1">
      <c r="A150" s="14" t="s">
        <v>546</v>
      </c>
      <c r="B150" s="8" t="s">
        <v>547</v>
      </c>
      <c r="C150" s="702">
        <f t="shared" si="4"/>
        <v>0</v>
      </c>
      <c r="D150" s="154"/>
      <c r="E150" s="154"/>
      <c r="F150" s="153"/>
    </row>
    <row r="151" spans="1:6" ht="12" customHeight="1" thickBot="1">
      <c r="A151" s="19" t="s">
        <v>50</v>
      </c>
      <c r="B151" s="88" t="s">
        <v>548</v>
      </c>
      <c r="C151" s="170">
        <f t="shared" si="4"/>
        <v>0</v>
      </c>
      <c r="D151" s="567"/>
      <c r="E151" s="178"/>
      <c r="F151" s="485"/>
    </row>
    <row r="152" spans="1:6" ht="12" customHeight="1" thickBot="1">
      <c r="A152" s="19" t="s">
        <v>51</v>
      </c>
      <c r="B152" s="88" t="s">
        <v>549</v>
      </c>
      <c r="C152" s="170">
        <f t="shared" si="4"/>
        <v>0</v>
      </c>
      <c r="D152" s="567"/>
      <c r="E152" s="178"/>
      <c r="F152" s="485"/>
    </row>
    <row r="153" spans="1:9" ht="15" customHeight="1" thickBot="1">
      <c r="A153" s="19" t="s">
        <v>52</v>
      </c>
      <c r="B153" s="88" t="s">
        <v>550</v>
      </c>
      <c r="C153" s="170">
        <f t="shared" si="4"/>
        <v>103161000</v>
      </c>
      <c r="D153" s="570">
        <f>+D129+D133+D140+D145+D151+D152</f>
        <v>103161000</v>
      </c>
      <c r="E153" s="265">
        <f>+E129+E133+E140+E145+E151+E152</f>
        <v>0</v>
      </c>
      <c r="F153" s="265">
        <f>+F129+F133+F140+F145+F151+F152</f>
        <v>0</v>
      </c>
      <c r="G153" s="266"/>
      <c r="H153" s="266"/>
      <c r="I153" s="266"/>
    </row>
    <row r="154" spans="1:6" s="254" customFormat="1" ht="12.75" customHeight="1" thickBot="1">
      <c r="A154" s="168" t="s">
        <v>53</v>
      </c>
      <c r="B154" s="240" t="s">
        <v>551</v>
      </c>
      <c r="C154" s="170">
        <f t="shared" si="4"/>
        <v>778783020</v>
      </c>
      <c r="D154" s="570">
        <f>+D128+D153</f>
        <v>211175416</v>
      </c>
      <c r="E154" s="265">
        <f>+E128+E153</f>
        <v>4419000</v>
      </c>
      <c r="F154" s="265">
        <f>+F128+F153</f>
        <v>563188604</v>
      </c>
    </row>
    <row r="155" ht="7.5" customHeight="1"/>
    <row r="156" spans="1:3" ht="15.75">
      <c r="A156" s="904" t="s">
        <v>358</v>
      </c>
      <c r="B156" s="904"/>
      <c r="C156" s="904"/>
    </row>
    <row r="157" spans="1:3" ht="15" customHeight="1" thickBot="1">
      <c r="A157" s="901" t="s">
        <v>165</v>
      </c>
      <c r="B157" s="901"/>
      <c r="C157" s="179" t="s">
        <v>651</v>
      </c>
    </row>
    <row r="158" spans="1:3" ht="13.5" customHeight="1" thickBot="1">
      <c r="A158" s="19">
        <v>1</v>
      </c>
      <c r="B158" s="25" t="s">
        <v>552</v>
      </c>
      <c r="C158" s="170">
        <f>+C62-C128</f>
        <v>-182382244</v>
      </c>
    </row>
    <row r="159" spans="1:3" ht="27.75" customHeight="1" thickBot="1">
      <c r="A159" s="19" t="s">
        <v>44</v>
      </c>
      <c r="B159" s="25" t="s">
        <v>553</v>
      </c>
      <c r="C159" s="170">
        <f>+C86-C153</f>
        <v>79257046</v>
      </c>
    </row>
    <row r="162" ht="15.75">
      <c r="D162" s="266"/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 20/2017.(VI.29.)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36" sqref="C36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870" customWidth="1"/>
    <col min="4" max="16384" width="9.375" style="148" customWidth="1"/>
  </cols>
  <sheetData>
    <row r="1" spans="1:3" s="127" customFormat="1" ht="21" customHeight="1" thickBot="1">
      <c r="A1" s="126"/>
      <c r="B1" s="128"/>
      <c r="C1" s="844" t="e">
        <f>+CONCATENATE("9.3.1. melléklet a ……/",LEFT(#REF!,4),". (….) önkormányzati rendelethez")</f>
        <v>#REF!</v>
      </c>
    </row>
    <row r="2" spans="1:3" s="288" customFormat="1" ht="36" customHeight="1">
      <c r="A2" s="245" t="s">
        <v>200</v>
      </c>
      <c r="B2" s="223" t="s">
        <v>598</v>
      </c>
      <c r="C2" s="845" t="s">
        <v>85</v>
      </c>
    </row>
    <row r="3" spans="1:3" s="288" customFormat="1" ht="24.75" thickBot="1">
      <c r="A3" s="281" t="s">
        <v>199</v>
      </c>
      <c r="B3" s="224" t="s">
        <v>401</v>
      </c>
      <c r="C3" s="846" t="s">
        <v>84</v>
      </c>
    </row>
    <row r="4" spans="1:3" s="289" customFormat="1" ht="15.75" customHeight="1" thickBot="1">
      <c r="A4" s="130"/>
      <c r="B4" s="130"/>
      <c r="C4" s="847" t="s">
        <v>652</v>
      </c>
    </row>
    <row r="5" spans="1:3" ht="13.5" thickBot="1">
      <c r="A5" s="246" t="s">
        <v>201</v>
      </c>
      <c r="B5" s="132" t="s">
        <v>78</v>
      </c>
      <c r="C5" s="848" t="s">
        <v>79</v>
      </c>
    </row>
    <row r="6" spans="1:3" s="290" customFormat="1" ht="12.75" customHeight="1" thickBot="1">
      <c r="A6" s="107" t="s">
        <v>500</v>
      </c>
      <c r="B6" s="108" t="s">
        <v>501</v>
      </c>
      <c r="C6" s="849" t="s">
        <v>502</v>
      </c>
    </row>
    <row r="7" spans="1:3" s="290" customFormat="1" ht="15.75" customHeight="1" thickBot="1">
      <c r="A7" s="134"/>
      <c r="B7" s="135" t="s">
        <v>80</v>
      </c>
      <c r="C7" s="850"/>
    </row>
    <row r="8" spans="1:3" s="239" customFormat="1" ht="12" customHeight="1" thickBot="1">
      <c r="A8" s="107" t="s">
        <v>43</v>
      </c>
      <c r="B8" s="137" t="s">
        <v>582</v>
      </c>
      <c r="C8" s="851">
        <f>SUM(C9:C19)</f>
        <v>4376190</v>
      </c>
    </row>
    <row r="9" spans="1:3" s="239" customFormat="1" ht="12" customHeight="1">
      <c r="A9" s="282" t="s">
        <v>122</v>
      </c>
      <c r="B9" s="9" t="s">
        <v>259</v>
      </c>
      <c r="C9" s="853"/>
    </row>
    <row r="10" spans="1:3" s="239" customFormat="1" ht="12" customHeight="1">
      <c r="A10" s="283" t="s">
        <v>123</v>
      </c>
      <c r="B10" s="7" t="s">
        <v>260</v>
      </c>
      <c r="C10" s="853">
        <v>1416800</v>
      </c>
    </row>
    <row r="11" spans="1:3" s="239" customFormat="1" ht="12" customHeight="1">
      <c r="A11" s="283" t="s">
        <v>124</v>
      </c>
      <c r="B11" s="7" t="s">
        <v>261</v>
      </c>
      <c r="C11" s="853"/>
    </row>
    <row r="12" spans="1:3" s="239" customFormat="1" ht="12" customHeight="1">
      <c r="A12" s="283" t="s">
        <v>125</v>
      </c>
      <c r="B12" s="7" t="s">
        <v>262</v>
      </c>
      <c r="C12" s="853"/>
    </row>
    <row r="13" spans="1:3" s="239" customFormat="1" ht="12" customHeight="1">
      <c r="A13" s="283" t="s">
        <v>160</v>
      </c>
      <c r="B13" s="7" t="s">
        <v>263</v>
      </c>
      <c r="C13" s="853">
        <v>1871280</v>
      </c>
    </row>
    <row r="14" spans="1:3" s="239" customFormat="1" ht="12" customHeight="1">
      <c r="A14" s="283" t="s">
        <v>126</v>
      </c>
      <c r="B14" s="7" t="s">
        <v>384</v>
      </c>
      <c r="C14" s="853">
        <v>887792</v>
      </c>
    </row>
    <row r="15" spans="1:3" s="239" customFormat="1" ht="12" customHeight="1">
      <c r="A15" s="283" t="s">
        <v>127</v>
      </c>
      <c r="B15" s="6" t="s">
        <v>385</v>
      </c>
      <c r="C15" s="854"/>
    </row>
    <row r="16" spans="1:3" s="239" customFormat="1" ht="12" customHeight="1">
      <c r="A16" s="283" t="s">
        <v>137</v>
      </c>
      <c r="B16" s="7" t="s">
        <v>266</v>
      </c>
      <c r="C16" s="853"/>
    </row>
    <row r="17" spans="1:3" s="291" customFormat="1" ht="12" customHeight="1">
      <c r="A17" s="283" t="s">
        <v>138</v>
      </c>
      <c r="B17" s="7" t="s">
        <v>267</v>
      </c>
      <c r="C17" s="855"/>
    </row>
    <row r="18" spans="1:3" s="291" customFormat="1" ht="12" customHeight="1">
      <c r="A18" s="283" t="s">
        <v>139</v>
      </c>
      <c r="B18" s="7" t="s">
        <v>509</v>
      </c>
      <c r="C18" s="855"/>
    </row>
    <row r="19" spans="1:3" s="291" customFormat="1" ht="12" customHeight="1" thickBot="1">
      <c r="A19" s="283" t="s">
        <v>140</v>
      </c>
      <c r="B19" s="6" t="s">
        <v>268</v>
      </c>
      <c r="C19" s="855">
        <v>200318</v>
      </c>
    </row>
    <row r="20" spans="1:3" s="239" customFormat="1" ht="12" customHeight="1" thickBot="1">
      <c r="A20" s="107" t="s">
        <v>44</v>
      </c>
      <c r="B20" s="137" t="s">
        <v>386</v>
      </c>
      <c r="C20" s="851">
        <f>SUM(C21:C23)</f>
        <v>0</v>
      </c>
    </row>
    <row r="21" spans="1:3" s="291" customFormat="1" ht="12" customHeight="1">
      <c r="A21" s="283" t="s">
        <v>128</v>
      </c>
      <c r="B21" s="8" t="s">
        <v>236</v>
      </c>
      <c r="C21" s="853"/>
    </row>
    <row r="22" spans="1:3" s="291" customFormat="1" ht="12" customHeight="1">
      <c r="A22" s="283" t="s">
        <v>129</v>
      </c>
      <c r="B22" s="7" t="s">
        <v>387</v>
      </c>
      <c r="C22" s="853"/>
    </row>
    <row r="23" spans="1:3" s="291" customFormat="1" ht="12" customHeight="1">
      <c r="A23" s="283" t="s">
        <v>130</v>
      </c>
      <c r="B23" s="7" t="s">
        <v>388</v>
      </c>
      <c r="C23" s="853"/>
    </row>
    <row r="24" spans="1:3" s="291" customFormat="1" ht="12" customHeight="1" thickBot="1">
      <c r="A24" s="283" t="s">
        <v>131</v>
      </c>
      <c r="B24" s="7" t="s">
        <v>593</v>
      </c>
      <c r="C24" s="853"/>
    </row>
    <row r="25" spans="1:3" s="291" customFormat="1" ht="12" customHeight="1" thickBot="1">
      <c r="A25" s="110" t="s">
        <v>45</v>
      </c>
      <c r="B25" s="88" t="s">
        <v>175</v>
      </c>
      <c r="C25" s="856"/>
    </row>
    <row r="26" spans="1:3" s="291" customFormat="1" ht="12" customHeight="1" thickBot="1">
      <c r="A26" s="110" t="s">
        <v>46</v>
      </c>
      <c r="B26" s="88" t="s">
        <v>594</v>
      </c>
      <c r="C26" s="851">
        <f>+C27+C28</f>
        <v>0</v>
      </c>
    </row>
    <row r="27" spans="1:3" s="291" customFormat="1" ht="12" customHeight="1">
      <c r="A27" s="284" t="s">
        <v>246</v>
      </c>
      <c r="B27" s="285" t="s">
        <v>387</v>
      </c>
      <c r="C27" s="857"/>
    </row>
    <row r="28" spans="1:3" s="291" customFormat="1" ht="12" customHeight="1">
      <c r="A28" s="284" t="s">
        <v>249</v>
      </c>
      <c r="B28" s="286" t="s">
        <v>389</v>
      </c>
      <c r="C28" s="858"/>
    </row>
    <row r="29" spans="1:3" s="291" customFormat="1" ht="12" customHeight="1" thickBot="1">
      <c r="A29" s="283" t="s">
        <v>250</v>
      </c>
      <c r="B29" s="91" t="s">
        <v>595</v>
      </c>
      <c r="C29" s="859"/>
    </row>
    <row r="30" spans="1:3" s="291" customFormat="1" ht="12" customHeight="1" thickBot="1">
      <c r="A30" s="110" t="s">
        <v>47</v>
      </c>
      <c r="B30" s="88" t="s">
        <v>390</v>
      </c>
      <c r="C30" s="851">
        <f>+C31+C32+C33</f>
        <v>0</v>
      </c>
    </row>
    <row r="31" spans="1:3" s="291" customFormat="1" ht="12" customHeight="1">
      <c r="A31" s="284" t="s">
        <v>115</v>
      </c>
      <c r="B31" s="285" t="s">
        <v>273</v>
      </c>
      <c r="C31" s="857"/>
    </row>
    <row r="32" spans="1:3" s="291" customFormat="1" ht="12" customHeight="1">
      <c r="A32" s="284" t="s">
        <v>116</v>
      </c>
      <c r="B32" s="286" t="s">
        <v>274</v>
      </c>
      <c r="C32" s="858"/>
    </row>
    <row r="33" spans="1:3" s="291" customFormat="1" ht="12" customHeight="1" thickBot="1">
      <c r="A33" s="283" t="s">
        <v>117</v>
      </c>
      <c r="B33" s="91" t="s">
        <v>275</v>
      </c>
      <c r="C33" s="859"/>
    </row>
    <row r="34" spans="1:3" s="239" customFormat="1" ht="12" customHeight="1" thickBot="1">
      <c r="A34" s="110" t="s">
        <v>48</v>
      </c>
      <c r="B34" s="88" t="s">
        <v>361</v>
      </c>
      <c r="C34" s="856"/>
    </row>
    <row r="35" spans="1:3" s="239" customFormat="1" ht="12" customHeight="1" thickBot="1">
      <c r="A35" s="110" t="s">
        <v>49</v>
      </c>
      <c r="B35" s="88" t="s">
        <v>391</v>
      </c>
      <c r="C35" s="860"/>
    </row>
    <row r="36" spans="1:3" s="239" customFormat="1" ht="12" customHeight="1" thickBot="1">
      <c r="A36" s="107" t="s">
        <v>50</v>
      </c>
      <c r="B36" s="88" t="s">
        <v>596</v>
      </c>
      <c r="C36" s="861">
        <f>+C8+C20+C25+C26+C30+C34+C35</f>
        <v>4376190</v>
      </c>
    </row>
    <row r="37" spans="1:3" s="239" customFormat="1" ht="12" customHeight="1" thickBot="1">
      <c r="A37" s="138" t="s">
        <v>51</v>
      </c>
      <c r="B37" s="88" t="s">
        <v>393</v>
      </c>
      <c r="C37" s="861">
        <f>+C38+C39+C40</f>
        <v>73282435</v>
      </c>
    </row>
    <row r="38" spans="1:3" s="239" customFormat="1" ht="12" customHeight="1">
      <c r="A38" s="284" t="s">
        <v>394</v>
      </c>
      <c r="B38" s="285" t="s">
        <v>217</v>
      </c>
      <c r="C38" s="857">
        <v>66655</v>
      </c>
    </row>
    <row r="39" spans="1:3" s="239" customFormat="1" ht="12" customHeight="1">
      <c r="A39" s="284" t="s">
        <v>395</v>
      </c>
      <c r="B39" s="286" t="s">
        <v>32</v>
      </c>
      <c r="C39" s="858"/>
    </row>
    <row r="40" spans="1:3" s="291" customFormat="1" ht="12" customHeight="1" thickBot="1">
      <c r="A40" s="283" t="s">
        <v>396</v>
      </c>
      <c r="B40" s="91" t="s">
        <v>397</v>
      </c>
      <c r="C40" s="859">
        <f>69071526+1512159+184245+90000+2357850</f>
        <v>73215780</v>
      </c>
    </row>
    <row r="41" spans="1:3" s="291" customFormat="1" ht="15" customHeight="1" thickBot="1">
      <c r="A41" s="138" t="s">
        <v>52</v>
      </c>
      <c r="B41" s="139" t="s">
        <v>398</v>
      </c>
      <c r="C41" s="862">
        <f>+C36+C37</f>
        <v>77658625</v>
      </c>
    </row>
    <row r="42" spans="1:3" s="291" customFormat="1" ht="15" customHeight="1">
      <c r="A42" s="140"/>
      <c r="B42" s="141"/>
      <c r="C42" s="863"/>
    </row>
    <row r="43" spans="1:3" ht="13.5" thickBot="1">
      <c r="A43" s="142"/>
      <c r="B43" s="143"/>
      <c r="C43" s="864"/>
    </row>
    <row r="44" spans="1:3" s="290" customFormat="1" ht="16.5" customHeight="1" thickBot="1">
      <c r="A44" s="144"/>
      <c r="B44" s="145" t="s">
        <v>81</v>
      </c>
      <c r="C44" s="862"/>
    </row>
    <row r="45" spans="1:3" s="292" customFormat="1" ht="12" customHeight="1" thickBot="1">
      <c r="A45" s="110" t="s">
        <v>43</v>
      </c>
      <c r="B45" s="88" t="s">
        <v>399</v>
      </c>
      <c r="C45" s="851">
        <f>SUM(C46:C50)</f>
        <v>77218625</v>
      </c>
    </row>
    <row r="46" spans="1:3" ht="12" customHeight="1">
      <c r="A46" s="283" t="s">
        <v>122</v>
      </c>
      <c r="B46" s="8" t="s">
        <v>73</v>
      </c>
      <c r="C46" s="857">
        <f>49257950+1239474+151021</f>
        <v>50648445</v>
      </c>
    </row>
    <row r="47" spans="1:3" ht="12" customHeight="1">
      <c r="A47" s="283" t="s">
        <v>123</v>
      </c>
      <c r="B47" s="7" t="s">
        <v>184</v>
      </c>
      <c r="C47" s="865">
        <f>11047568+272685+33224</f>
        <v>11353477</v>
      </c>
    </row>
    <row r="48" spans="1:3" ht="12" customHeight="1">
      <c r="A48" s="283" t="s">
        <v>124</v>
      </c>
      <c r="B48" s="7" t="s">
        <v>153</v>
      </c>
      <c r="C48" s="865">
        <f>12658535+2558168</f>
        <v>15216703</v>
      </c>
    </row>
    <row r="49" spans="1:3" ht="12" customHeight="1">
      <c r="A49" s="283" t="s">
        <v>125</v>
      </c>
      <c r="B49" s="7" t="s">
        <v>185</v>
      </c>
      <c r="C49" s="865"/>
    </row>
    <row r="50" spans="1:3" ht="12" customHeight="1" thickBot="1">
      <c r="A50" s="283" t="s">
        <v>160</v>
      </c>
      <c r="B50" s="7" t="s">
        <v>186</v>
      </c>
      <c r="C50" s="865"/>
    </row>
    <row r="51" spans="1:3" ht="12" customHeight="1" thickBot="1">
      <c r="A51" s="110" t="s">
        <v>44</v>
      </c>
      <c r="B51" s="88" t="s">
        <v>400</v>
      </c>
      <c r="C51" s="851">
        <f>SUM(C52:C54)</f>
        <v>440000</v>
      </c>
    </row>
    <row r="52" spans="1:3" s="292" customFormat="1" ht="12" customHeight="1">
      <c r="A52" s="283" t="s">
        <v>128</v>
      </c>
      <c r="B52" s="8" t="s">
        <v>208</v>
      </c>
      <c r="C52" s="857">
        <f>350000+90000</f>
        <v>440000</v>
      </c>
    </row>
    <row r="53" spans="1:3" ht="12" customHeight="1">
      <c r="A53" s="283" t="s">
        <v>129</v>
      </c>
      <c r="B53" s="7" t="s">
        <v>188</v>
      </c>
      <c r="C53" s="865"/>
    </row>
    <row r="54" spans="1:3" ht="12" customHeight="1">
      <c r="A54" s="283" t="s">
        <v>130</v>
      </c>
      <c r="B54" s="7" t="s">
        <v>82</v>
      </c>
      <c r="C54" s="865"/>
    </row>
    <row r="55" spans="1:3" ht="12" customHeight="1" thickBot="1">
      <c r="A55" s="283" t="s">
        <v>131</v>
      </c>
      <c r="B55" s="7" t="s">
        <v>586</v>
      </c>
      <c r="C55" s="865"/>
    </row>
    <row r="56" spans="1:3" ht="15" customHeight="1" thickBot="1">
      <c r="A56" s="110" t="s">
        <v>45</v>
      </c>
      <c r="B56" s="88" t="s">
        <v>39</v>
      </c>
      <c r="C56" s="856"/>
    </row>
    <row r="57" spans="1:3" ht="13.5" thickBot="1">
      <c r="A57" s="110" t="s">
        <v>46</v>
      </c>
      <c r="B57" s="146" t="s">
        <v>587</v>
      </c>
      <c r="C57" s="867">
        <f>+C45+C51+C56</f>
        <v>77658625</v>
      </c>
    </row>
    <row r="58" ht="15" customHeight="1" thickBot="1">
      <c r="C58" s="868"/>
    </row>
    <row r="59" spans="1:3" ht="14.25" customHeight="1" thickBot="1">
      <c r="A59" s="149" t="s">
        <v>579</v>
      </c>
      <c r="B59" s="150"/>
      <c r="C59" s="869">
        <v>20</v>
      </c>
    </row>
    <row r="60" spans="1:3" ht="13.5" thickBot="1">
      <c r="A60" s="149" t="s">
        <v>202</v>
      </c>
      <c r="B60" s="150"/>
      <c r="C60" s="86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30. melléklet a 20/2017.(VI.29.)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1">
      <selection activeCell="J4" sqref="J4"/>
    </sheetView>
  </sheetViews>
  <sheetFormatPr defaultColWidth="10.625" defaultRowHeight="12.75"/>
  <cols>
    <col min="1" max="1" width="29.125" style="346" bestFit="1" customWidth="1"/>
    <col min="2" max="2" width="11.125" style="346" bestFit="1" customWidth="1"/>
    <col min="3" max="4" width="12.625" style="346" bestFit="1" customWidth="1"/>
    <col min="5" max="5" width="11.375" style="346" customWidth="1"/>
    <col min="6" max="7" width="11.125" style="346" bestFit="1" customWidth="1"/>
    <col min="8" max="8" width="11.00390625" style="346" customWidth="1"/>
    <col min="9" max="9" width="10.125" style="346" bestFit="1" customWidth="1"/>
    <col min="10" max="10" width="12.625" style="346" bestFit="1" customWidth="1"/>
    <col min="11" max="16384" width="10.625" style="346" customWidth="1"/>
  </cols>
  <sheetData>
    <row r="1" spans="1:10" ht="12.75">
      <c r="A1" s="344"/>
      <c r="B1" s="344"/>
      <c r="C1" s="344"/>
      <c r="D1" s="344"/>
      <c r="E1" s="344"/>
      <c r="F1" s="344"/>
      <c r="H1" s="347"/>
      <c r="I1" s="347"/>
      <c r="J1" s="345"/>
    </row>
    <row r="2" spans="1:10" ht="12.75">
      <c r="A2" s="344"/>
      <c r="B2" s="344"/>
      <c r="C2" s="344"/>
      <c r="D2" s="344"/>
      <c r="E2" s="344"/>
      <c r="F2" s="344"/>
      <c r="G2" s="348"/>
      <c r="H2" s="348"/>
      <c r="I2" s="348"/>
      <c r="J2" s="349"/>
    </row>
    <row r="3" spans="1:10" ht="12.75">
      <c r="A3" s="344"/>
      <c r="B3" s="344"/>
      <c r="C3" s="344"/>
      <c r="D3" s="344"/>
      <c r="E3" s="344"/>
      <c r="F3" s="344"/>
      <c r="G3" s="348"/>
      <c r="H3" s="348"/>
      <c r="I3" s="348"/>
      <c r="J3" s="348"/>
    </row>
    <row r="4" spans="1:10" ht="19.5">
      <c r="A4" s="351" t="s">
        <v>432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0" ht="19.5">
      <c r="A5" s="351" t="s">
        <v>644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0" ht="13.5" thickBot="1">
      <c r="A6" s="344"/>
      <c r="B6" s="344"/>
      <c r="C6" s="344"/>
      <c r="D6" s="344"/>
      <c r="E6" s="344"/>
      <c r="F6" s="344"/>
      <c r="G6" s="344"/>
      <c r="H6" s="344"/>
      <c r="I6" s="344"/>
      <c r="J6" s="708" t="s">
        <v>19</v>
      </c>
    </row>
    <row r="7" spans="1:10" ht="15.75" customHeight="1">
      <c r="A7" s="948" t="s">
        <v>10</v>
      </c>
      <c r="B7" s="951" t="s">
        <v>433</v>
      </c>
      <c r="C7" s="952"/>
      <c r="D7" s="952"/>
      <c r="E7" s="951" t="s">
        <v>434</v>
      </c>
      <c r="F7" s="952"/>
      <c r="G7" s="952"/>
      <c r="H7" s="952"/>
      <c r="I7" s="952"/>
      <c r="J7" s="953"/>
    </row>
    <row r="8" spans="1:10" ht="15.75" customHeight="1">
      <c r="A8" s="949"/>
      <c r="B8" s="709" t="s">
        <v>435</v>
      </c>
      <c r="C8" s="709" t="s">
        <v>436</v>
      </c>
      <c r="D8" s="709" t="s">
        <v>437</v>
      </c>
      <c r="E8" s="709" t="s">
        <v>438</v>
      </c>
      <c r="F8" s="709" t="s">
        <v>439</v>
      </c>
      <c r="G8" s="709" t="s">
        <v>440</v>
      </c>
      <c r="H8" s="709" t="s">
        <v>441</v>
      </c>
      <c r="I8" s="709" t="s">
        <v>442</v>
      </c>
      <c r="J8" s="710" t="s">
        <v>437</v>
      </c>
    </row>
    <row r="9" spans="1:10" ht="15.75" customHeight="1">
      <c r="A9" s="950"/>
      <c r="B9" s="709" t="s">
        <v>443</v>
      </c>
      <c r="C9" s="709" t="s">
        <v>444</v>
      </c>
      <c r="D9" s="709" t="s">
        <v>445</v>
      </c>
      <c r="E9" s="709" t="s">
        <v>446</v>
      </c>
      <c r="F9" s="709" t="s">
        <v>447</v>
      </c>
      <c r="G9" s="709" t="s">
        <v>448</v>
      </c>
      <c r="H9" s="709" t="s">
        <v>449</v>
      </c>
      <c r="I9" s="709" t="s">
        <v>448</v>
      </c>
      <c r="J9" s="710" t="s">
        <v>450</v>
      </c>
    </row>
    <row r="10" spans="1:11" ht="15.75" customHeight="1">
      <c r="A10" s="711" t="s">
        <v>451</v>
      </c>
      <c r="B10" s="874">
        <f>163050202+66900+446694</f>
        <v>163563796</v>
      </c>
      <c r="C10" s="874">
        <f aca="true" t="shared" si="0" ref="C10:C15">J10-B10</f>
        <v>167174460</v>
      </c>
      <c r="D10" s="874">
        <f aca="true" t="shared" si="1" ref="D10:D15">SUM(B10:C10)</f>
        <v>330738256</v>
      </c>
      <c r="E10" s="874">
        <f>81328328-15308800+124089+105973</f>
        <v>66249590</v>
      </c>
      <c r="F10" s="874">
        <f>20074352-3360936+69499</f>
        <v>16782915</v>
      </c>
      <c r="G10" s="874">
        <f>262391117-15811124-124245-133428</f>
        <v>246322320</v>
      </c>
      <c r="H10" s="500"/>
      <c r="I10" s="874">
        <f>1641691-265000+66900-60160</f>
        <v>1383431</v>
      </c>
      <c r="J10" s="875">
        <f aca="true" t="shared" si="2" ref="J10:J15">SUM(E10:I10)</f>
        <v>330738256</v>
      </c>
      <c r="K10" s="361"/>
    </row>
    <row r="11" spans="1:10" ht="15.75" customHeight="1">
      <c r="A11" s="711" t="s">
        <v>7</v>
      </c>
      <c r="B11" s="500">
        <v>12252423</v>
      </c>
      <c r="C11" s="874">
        <f t="shared" si="0"/>
        <v>277544319</v>
      </c>
      <c r="D11" s="874">
        <f t="shared" si="1"/>
        <v>289796742</v>
      </c>
      <c r="E11" s="500">
        <f>175711001+155200</f>
        <v>175866201</v>
      </c>
      <c r="F11" s="500">
        <f>41990053+34144</f>
        <v>42024197</v>
      </c>
      <c r="G11" s="500">
        <f>68610269+651000+30000</f>
        <v>69291269</v>
      </c>
      <c r="H11" s="500"/>
      <c r="I11" s="874">
        <f>1280075+578000+157000+600000</f>
        <v>2615075</v>
      </c>
      <c r="J11" s="875">
        <f t="shared" si="2"/>
        <v>289796742</v>
      </c>
    </row>
    <row r="12" spans="1:10" ht="15.75" customHeight="1">
      <c r="A12" s="711" t="s">
        <v>678</v>
      </c>
      <c r="B12" s="874">
        <f>15823576+1095000</f>
        <v>16918576</v>
      </c>
      <c r="C12" s="874">
        <f t="shared" si="0"/>
        <v>78313502</v>
      </c>
      <c r="D12" s="874">
        <f t="shared" si="1"/>
        <v>95232078</v>
      </c>
      <c r="E12" s="874">
        <f>41685275-382364-1302308+140000+900040</f>
        <v>41040643</v>
      </c>
      <c r="F12" s="874">
        <f>9624930-84120-286508+51864+177100</f>
        <v>9483266</v>
      </c>
      <c r="G12" s="874">
        <f>41615701+281940+80000-191864+276738</f>
        <v>42062515</v>
      </c>
      <c r="H12" s="500"/>
      <c r="I12" s="500">
        <v>2645654</v>
      </c>
      <c r="J12" s="875">
        <f t="shared" si="2"/>
        <v>95232078</v>
      </c>
    </row>
    <row r="13" spans="1:10" s="361" customFormat="1" ht="18" customHeight="1">
      <c r="A13" s="712" t="s">
        <v>630</v>
      </c>
      <c r="B13" s="876">
        <f>203175038+250000+374405</f>
        <v>203799443</v>
      </c>
      <c r="C13" s="874">
        <f t="shared" si="0"/>
        <v>439924543</v>
      </c>
      <c r="D13" s="874">
        <f t="shared" si="1"/>
        <v>643723986</v>
      </c>
      <c r="E13" s="877">
        <f>319870685+41704739+3188310+416250</f>
        <v>365179984</v>
      </c>
      <c r="F13" s="877">
        <f>73973204+8976967+693000-41845</f>
        <v>83601326</v>
      </c>
      <c r="G13" s="877">
        <f>189287740+128500+1232300-29210</f>
        <v>190619330</v>
      </c>
      <c r="H13" s="878"/>
      <c r="I13" s="877">
        <f>3280160+973976+40000+29210</f>
        <v>4323346</v>
      </c>
      <c r="J13" s="879">
        <f t="shared" si="2"/>
        <v>643723986</v>
      </c>
    </row>
    <row r="14" spans="1:10" s="361" customFormat="1" ht="18" customHeight="1">
      <c r="A14" s="712" t="s">
        <v>598</v>
      </c>
      <c r="B14" s="876">
        <f>4242527+200318</f>
        <v>4442845</v>
      </c>
      <c r="C14" s="874">
        <f t="shared" si="0"/>
        <v>73215780</v>
      </c>
      <c r="D14" s="874">
        <f t="shared" si="1"/>
        <v>77658625</v>
      </c>
      <c r="E14" s="878">
        <f>50497424+151021</f>
        <v>50648445</v>
      </c>
      <c r="F14" s="878">
        <f>11320253+33224</f>
        <v>11353477</v>
      </c>
      <c r="G14" s="877">
        <f>12658535+2558168</f>
        <v>15216703</v>
      </c>
      <c r="H14" s="878"/>
      <c r="I14" s="878">
        <f>350000+90000</f>
        <v>440000</v>
      </c>
      <c r="J14" s="879">
        <f t="shared" si="2"/>
        <v>77658625</v>
      </c>
    </row>
    <row r="15" spans="1:10" s="361" customFormat="1" ht="18" customHeight="1">
      <c r="A15" s="712" t="s">
        <v>631</v>
      </c>
      <c r="B15" s="884">
        <f>10334792+447404</f>
        <v>10782196</v>
      </c>
      <c r="C15" s="874">
        <f t="shared" si="0"/>
        <v>216136776</v>
      </c>
      <c r="D15" s="885">
        <f t="shared" si="1"/>
        <v>226918972</v>
      </c>
      <c r="E15" s="886">
        <f>119212000-24000+813600+45000+50000</f>
        <v>120096600</v>
      </c>
      <c r="F15" s="886">
        <f>28323500-10800+178992+10000+21830</f>
        <v>28523522</v>
      </c>
      <c r="G15" s="886">
        <f>52037350-171000+59000+13500+209000</f>
        <v>52147850</v>
      </c>
      <c r="H15" s="878">
        <v>24250000</v>
      </c>
      <c r="I15" s="878">
        <v>1901000</v>
      </c>
      <c r="J15" s="879">
        <f t="shared" si="2"/>
        <v>226918972</v>
      </c>
    </row>
    <row r="16" spans="1:10" s="361" customFormat="1" ht="18" customHeight="1" thickBot="1">
      <c r="A16" s="880" t="s">
        <v>453</v>
      </c>
      <c r="B16" s="881">
        <f aca="true" t="shared" si="3" ref="B16:J16">SUM(B10:B15)</f>
        <v>411759279</v>
      </c>
      <c r="C16" s="881">
        <f t="shared" si="3"/>
        <v>1252309380</v>
      </c>
      <c r="D16" s="881">
        <f t="shared" si="3"/>
        <v>1664068659</v>
      </c>
      <c r="E16" s="881">
        <f t="shared" si="3"/>
        <v>819081463</v>
      </c>
      <c r="F16" s="881">
        <f t="shared" si="3"/>
        <v>191768703</v>
      </c>
      <c r="G16" s="881">
        <f t="shared" si="3"/>
        <v>615659987</v>
      </c>
      <c r="H16" s="881">
        <f t="shared" si="3"/>
        <v>24250000</v>
      </c>
      <c r="I16" s="881">
        <f t="shared" si="3"/>
        <v>13308506</v>
      </c>
      <c r="J16" s="882">
        <f t="shared" si="3"/>
        <v>1664068659</v>
      </c>
    </row>
    <row r="17" spans="3:10" ht="12.75">
      <c r="C17" s="713"/>
      <c r="E17" s="713"/>
      <c r="F17" s="713"/>
      <c r="G17" s="713"/>
      <c r="H17" s="713"/>
      <c r="I17" s="713"/>
      <c r="J17" s="713"/>
    </row>
    <row r="25" ht="12.75">
      <c r="J25" s="459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&amp;R31. melléklet a  20/2017.(VI.29.)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D1:G27"/>
  <sheetViews>
    <sheetView view="pageLayout" workbookViewId="0" topLeftCell="D1">
      <selection activeCell="G18" sqref="G18"/>
    </sheetView>
  </sheetViews>
  <sheetFormatPr defaultColWidth="10.625" defaultRowHeight="12.75"/>
  <cols>
    <col min="1" max="2" width="9.375" style="346" hidden="1" customWidth="1"/>
    <col min="3" max="3" width="58.125" style="346" hidden="1" customWidth="1"/>
    <col min="4" max="4" width="55.00390625" style="346" customWidth="1"/>
    <col min="5" max="5" width="14.375" style="346" customWidth="1"/>
    <col min="6" max="6" width="9.625" style="346" customWidth="1"/>
    <col min="7" max="7" width="10.625" style="346" customWidth="1"/>
    <col min="8" max="16384" width="10.625" style="346" customWidth="1"/>
  </cols>
  <sheetData>
    <row r="1" spans="4:7" ht="12.75">
      <c r="D1" s="344"/>
      <c r="E1" s="345"/>
      <c r="F1" s="344"/>
      <c r="G1" s="344"/>
    </row>
    <row r="2" spans="4:7" ht="12.75">
      <c r="D2" s="344"/>
      <c r="E2" s="956"/>
      <c r="F2" s="956"/>
      <c r="G2" s="344"/>
    </row>
    <row r="3" spans="4:7" ht="12.75">
      <c r="D3" s="344"/>
      <c r="E3" s="344"/>
      <c r="F3" s="344"/>
      <c r="G3" s="344"/>
    </row>
    <row r="4" spans="4:7" ht="19.5">
      <c r="D4" s="350" t="s">
        <v>422</v>
      </c>
      <c r="E4" s="351"/>
      <c r="F4" s="351"/>
      <c r="G4" s="351"/>
    </row>
    <row r="5" spans="4:7" ht="19.5">
      <c r="D5" s="351"/>
      <c r="E5" s="351"/>
      <c r="F5" s="351"/>
      <c r="G5" s="351"/>
    </row>
    <row r="6" spans="4:7" ht="13.5" thickBot="1">
      <c r="D6" s="344"/>
      <c r="E6" s="352"/>
      <c r="F6" s="344"/>
      <c r="G6" s="344"/>
    </row>
    <row r="7" spans="4:7" ht="15.75" customHeight="1">
      <c r="D7" s="353"/>
      <c r="E7" s="954" t="s">
        <v>423</v>
      </c>
      <c r="F7" s="354"/>
      <c r="G7" s="355"/>
    </row>
    <row r="8" spans="4:7" ht="15.75" customHeight="1">
      <c r="D8" s="357" t="s">
        <v>424</v>
      </c>
      <c r="E8" s="955"/>
      <c r="F8" s="356"/>
      <c r="G8" s="356"/>
    </row>
    <row r="9" spans="4:7" ht="15.75" customHeight="1" thickBot="1">
      <c r="D9" s="358" t="s">
        <v>425</v>
      </c>
      <c r="E9" s="453"/>
      <c r="F9" s="356"/>
      <c r="G9" s="356"/>
    </row>
    <row r="10" spans="4:7" s="361" customFormat="1" ht="18" customHeight="1">
      <c r="D10" s="359" t="s">
        <v>426</v>
      </c>
      <c r="E10" s="386">
        <v>28</v>
      </c>
      <c r="F10" s="360"/>
      <c r="G10" s="360"/>
    </row>
    <row r="11" spans="4:7" s="361" customFormat="1" ht="18" customHeight="1">
      <c r="D11" s="359" t="s">
        <v>456</v>
      </c>
      <c r="E11" s="386"/>
      <c r="F11" s="360"/>
      <c r="G11" s="360"/>
    </row>
    <row r="12" spans="4:7" s="361" customFormat="1" ht="18" customHeight="1">
      <c r="D12" s="362" t="s">
        <v>427</v>
      </c>
      <c r="E12" s="371">
        <v>54</v>
      </c>
      <c r="F12" s="363"/>
      <c r="G12" s="360"/>
    </row>
    <row r="13" spans="4:7" s="361" customFormat="1" ht="18" customHeight="1">
      <c r="D13" s="364" t="s">
        <v>16</v>
      </c>
      <c r="E13" s="490">
        <f>17.75-1</f>
        <v>16.75</v>
      </c>
      <c r="F13" s="360"/>
      <c r="G13" s="360"/>
    </row>
    <row r="14" spans="4:7" s="361" customFormat="1" ht="18" customHeight="1">
      <c r="D14" s="365" t="s">
        <v>428</v>
      </c>
      <c r="E14" s="385">
        <v>20</v>
      </c>
      <c r="F14" s="363"/>
      <c r="G14" s="360"/>
    </row>
    <row r="15" spans="4:7" s="361" customFormat="1" ht="18" customHeight="1">
      <c r="D15" s="365" t="s">
        <v>455</v>
      </c>
      <c r="E15" s="385"/>
      <c r="F15" s="363"/>
      <c r="G15" s="360"/>
    </row>
    <row r="16" spans="4:7" s="361" customFormat="1" ht="18" customHeight="1">
      <c r="D16" s="365" t="s">
        <v>624</v>
      </c>
      <c r="E16" s="385">
        <v>142.8</v>
      </c>
      <c r="F16" s="363"/>
      <c r="G16" s="360"/>
    </row>
    <row r="17" spans="4:7" s="361" customFormat="1" ht="18" customHeight="1">
      <c r="D17" s="365" t="s">
        <v>625</v>
      </c>
      <c r="E17" s="385">
        <v>4</v>
      </c>
      <c r="F17" s="363"/>
      <c r="G17" s="360"/>
    </row>
    <row r="18" spans="4:7" s="361" customFormat="1" ht="18" customHeight="1">
      <c r="D18" s="520" t="s">
        <v>627</v>
      </c>
      <c r="E18" s="385">
        <v>32</v>
      </c>
      <c r="F18" s="363"/>
      <c r="G18" s="360"/>
    </row>
    <row r="19" spans="4:7" s="361" customFormat="1" ht="18" customHeight="1">
      <c r="D19" s="520" t="s">
        <v>626</v>
      </c>
      <c r="E19" s="385">
        <v>5</v>
      </c>
      <c r="F19" s="363"/>
      <c r="G19" s="360"/>
    </row>
    <row r="20" spans="4:7" s="344" customFormat="1" ht="13.5" thickBot="1">
      <c r="D20" s="542" t="s">
        <v>631</v>
      </c>
      <c r="E20" s="366">
        <v>44</v>
      </c>
      <c r="F20" s="367"/>
      <c r="G20" s="367"/>
    </row>
    <row r="21" spans="4:7" s="344" customFormat="1" ht="13.5" thickBot="1">
      <c r="D21" s="368" t="s">
        <v>429</v>
      </c>
      <c r="E21" s="473">
        <f>SUM(E10:E20)</f>
        <v>346.55</v>
      </c>
      <c r="F21" s="369"/>
      <c r="G21" s="369"/>
    </row>
    <row r="22" spans="4:7" s="344" customFormat="1" ht="13.5" thickBot="1">
      <c r="D22" s="449" t="s">
        <v>610</v>
      </c>
      <c r="E22" s="473">
        <f>E10+E12+E13+E14+E16+E20</f>
        <v>305.55</v>
      </c>
      <c r="F22" s="369"/>
      <c r="G22" s="369"/>
    </row>
    <row r="23" spans="4:7" s="344" customFormat="1" ht="12.75">
      <c r="D23" s="450" t="s">
        <v>205</v>
      </c>
      <c r="E23" s="692">
        <v>3</v>
      </c>
      <c r="F23" s="369"/>
      <c r="G23" s="369"/>
    </row>
    <row r="24" spans="4:7" s="344" customFormat="1" ht="12.75">
      <c r="D24" s="451" t="s">
        <v>430</v>
      </c>
      <c r="E24" s="494">
        <v>754</v>
      </c>
      <c r="F24" s="360"/>
      <c r="G24" s="360"/>
    </row>
    <row r="25" spans="4:7" s="344" customFormat="1" ht="12.75">
      <c r="D25" s="451" t="s">
        <v>17</v>
      </c>
      <c r="E25" s="494">
        <v>7</v>
      </c>
      <c r="F25" s="360"/>
      <c r="G25" s="360"/>
    </row>
    <row r="26" spans="4:7" s="344" customFormat="1" ht="13.5" thickBot="1">
      <c r="D26" s="370" t="s">
        <v>431</v>
      </c>
      <c r="E26" s="474">
        <f>SUM(E22:E25)</f>
        <v>1069.55</v>
      </c>
      <c r="F26" s="369"/>
      <c r="G26" s="369"/>
    </row>
    <row r="27" spans="4:5" ht="13.5" thickBot="1">
      <c r="D27" s="452" t="s">
        <v>496</v>
      </c>
      <c r="E27" s="475">
        <f>E22+E23</f>
        <v>308.55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 32. melléklet a 20/2017.(VI.29.)önkormányzati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Layout" workbookViewId="0" topLeftCell="A1">
      <selection activeCell="D31" sqref="D31"/>
    </sheetView>
  </sheetViews>
  <sheetFormatPr defaultColWidth="10.625" defaultRowHeight="12.75"/>
  <cols>
    <col min="1" max="1" width="10.00390625" style="303" customWidth="1"/>
    <col min="2" max="2" width="37.375" style="303" customWidth="1"/>
    <col min="3" max="3" width="24.875" style="303" customWidth="1"/>
    <col min="4" max="4" width="22.625" style="303" customWidth="1"/>
    <col min="5" max="5" width="11.625" style="303" bestFit="1" customWidth="1"/>
    <col min="6" max="16384" width="10.625" style="303" customWidth="1"/>
  </cols>
  <sheetData>
    <row r="1" spans="1:4" ht="15.75">
      <c r="A1" s="301"/>
      <c r="B1" s="301"/>
      <c r="C1" s="301"/>
      <c r="D1" s="302"/>
    </row>
    <row r="2" spans="1:4" ht="15.75">
      <c r="A2" s="301"/>
      <c r="B2" s="301"/>
      <c r="C2" s="301"/>
      <c r="D2" s="304"/>
    </row>
    <row r="3" spans="1:4" ht="15.75">
      <c r="A3" s="301"/>
      <c r="B3" s="301"/>
      <c r="C3" s="301"/>
      <c r="D3" s="302"/>
    </row>
    <row r="4" spans="1:4" ht="15.75">
      <c r="A4" s="301"/>
      <c r="B4" s="301"/>
      <c r="C4" s="301"/>
      <c r="D4" s="305"/>
    </row>
    <row r="5" spans="1:4" ht="15.75">
      <c r="A5" s="301"/>
      <c r="B5" s="301"/>
      <c r="C5" s="301"/>
      <c r="D5" s="305"/>
    </row>
    <row r="6" spans="1:4" ht="15.75">
      <c r="A6" s="301"/>
      <c r="B6" s="301"/>
      <c r="C6" s="301"/>
      <c r="D6" s="306"/>
    </row>
    <row r="7" spans="1:4" ht="19.5">
      <c r="A7" s="307" t="s">
        <v>416</v>
      </c>
      <c r="B7" s="307"/>
      <c r="C7" s="307"/>
      <c r="D7" s="308"/>
    </row>
    <row r="8" spans="1:4" ht="19.5">
      <c r="A8" s="307" t="s">
        <v>645</v>
      </c>
      <c r="B8" s="307"/>
      <c r="C8" s="307"/>
      <c r="D8" s="308"/>
    </row>
    <row r="9" spans="1:4" ht="19.5">
      <c r="A9" s="307"/>
      <c r="B9" s="307"/>
      <c r="C9" s="307"/>
      <c r="D9" s="308"/>
    </row>
    <row r="10" spans="1:4" ht="19.5">
      <c r="A10" s="307"/>
      <c r="B10" s="307"/>
      <c r="C10" s="307"/>
      <c r="D10" s="308"/>
    </row>
    <row r="11" spans="1:4" ht="19.5">
      <c r="A11" s="307"/>
      <c r="B11" s="307"/>
      <c r="C11" s="307"/>
      <c r="D11" s="308"/>
    </row>
    <row r="12" spans="1:4" ht="19.5">
      <c r="A12" s="307"/>
      <c r="B12" s="307"/>
      <c r="C12" s="307"/>
      <c r="D12" s="308"/>
    </row>
    <row r="13" spans="1:4" ht="16.5" thickBot="1">
      <c r="A13" s="301"/>
      <c r="B13" s="301"/>
      <c r="C13" s="301"/>
      <c r="D13" s="309" t="s">
        <v>19</v>
      </c>
    </row>
    <row r="14" spans="1:4" s="314" customFormat="1" ht="33" customHeight="1" thickBot="1">
      <c r="A14" s="310" t="s">
        <v>86</v>
      </c>
      <c r="B14" s="311"/>
      <c r="C14" s="312"/>
      <c r="D14" s="313" t="s">
        <v>79</v>
      </c>
    </row>
    <row r="15" spans="1:6" ht="15.75">
      <c r="A15" s="315" t="s">
        <v>83</v>
      </c>
      <c r="B15" s="316"/>
      <c r="C15" s="317"/>
      <c r="D15" s="523">
        <v>14493851</v>
      </c>
      <c r="E15" s="318"/>
      <c r="F15" s="319"/>
    </row>
    <row r="16" spans="1:6" ht="15.75">
      <c r="A16" s="320" t="s">
        <v>418</v>
      </c>
      <c r="B16" s="321"/>
      <c r="C16" s="322"/>
      <c r="D16" s="323"/>
      <c r="E16" s="319"/>
      <c r="F16" s="319"/>
    </row>
    <row r="17" spans="1:6" ht="12.75">
      <c r="A17" s="544" t="s">
        <v>20</v>
      </c>
      <c r="B17" s="325"/>
      <c r="C17" s="326"/>
      <c r="D17" s="327">
        <v>178000</v>
      </c>
      <c r="E17" s="328"/>
      <c r="F17" s="329"/>
    </row>
    <row r="18" spans="1:6" ht="12.75">
      <c r="A18" s="324" t="s">
        <v>419</v>
      </c>
      <c r="B18" s="325"/>
      <c r="C18" s="326"/>
      <c r="D18" s="887">
        <v>500000</v>
      </c>
      <c r="E18" s="330"/>
      <c r="F18" s="329"/>
    </row>
    <row r="19" spans="1:6" ht="12.75">
      <c r="A19" s="324" t="s">
        <v>23</v>
      </c>
      <c r="B19" s="325"/>
      <c r="C19" s="326"/>
      <c r="D19" s="327">
        <v>5200000</v>
      </c>
      <c r="E19" s="330"/>
      <c r="F19" s="329"/>
    </row>
    <row r="20" spans="1:6" ht="12.75">
      <c r="A20" s="331" t="s">
        <v>8</v>
      </c>
      <c r="B20" s="325"/>
      <c r="C20" s="326"/>
      <c r="D20" s="327">
        <f>13945000-7948000</f>
        <v>5997000</v>
      </c>
      <c r="E20" s="330"/>
      <c r="F20" s="332"/>
    </row>
    <row r="21" spans="1:6" ht="12.75">
      <c r="A21" s="324" t="s">
        <v>592</v>
      </c>
      <c r="B21" s="325"/>
      <c r="C21" s="326"/>
      <c r="D21" s="327">
        <v>1005000</v>
      </c>
      <c r="E21" s="330"/>
      <c r="F21" s="332"/>
    </row>
    <row r="22" spans="1:6" ht="12.75">
      <c r="A22" s="324" t="s">
        <v>679</v>
      </c>
      <c r="B22" s="325"/>
      <c r="C22" s="326"/>
      <c r="D22" s="327">
        <v>4075000</v>
      </c>
      <c r="E22" s="330"/>
      <c r="F22" s="332"/>
    </row>
    <row r="23" spans="1:6" ht="12.75">
      <c r="A23" s="333" t="s">
        <v>454</v>
      </c>
      <c r="B23" s="334"/>
      <c r="C23" s="326"/>
      <c r="D23" s="887">
        <f>34480400-3716991</f>
        <v>30763409</v>
      </c>
      <c r="E23" s="330"/>
      <c r="F23" s="329"/>
    </row>
    <row r="24" spans="1:6" ht="12.75">
      <c r="A24" s="333" t="s">
        <v>21</v>
      </c>
      <c r="B24" s="335"/>
      <c r="C24" s="336"/>
      <c r="D24" s="327">
        <v>200000</v>
      </c>
      <c r="E24" s="330"/>
      <c r="F24" s="329"/>
    </row>
    <row r="25" spans="1:6" ht="12.75">
      <c r="A25" s="957" t="s">
        <v>616</v>
      </c>
      <c r="B25" s="958"/>
      <c r="C25" s="326"/>
      <c r="D25" s="327">
        <v>304000</v>
      </c>
      <c r="E25" s="330"/>
      <c r="F25" s="329"/>
    </row>
    <row r="26" spans="1:6" ht="12.75">
      <c r="A26" s="544" t="s">
        <v>18</v>
      </c>
      <c r="B26" s="545"/>
      <c r="C26" s="326"/>
      <c r="D26" s="887">
        <v>7545154</v>
      </c>
      <c r="E26" s="330"/>
      <c r="F26" s="329"/>
    </row>
    <row r="27" spans="1:6" ht="12.75">
      <c r="A27" s="544" t="s">
        <v>22</v>
      </c>
      <c r="B27" s="545"/>
      <c r="C27" s="326"/>
      <c r="D27" s="327">
        <v>3797300</v>
      </c>
      <c r="E27" s="330"/>
      <c r="F27" s="329"/>
    </row>
    <row r="28" spans="1:6" ht="12.75">
      <c r="A28" s="544" t="s">
        <v>24</v>
      </c>
      <c r="B28" s="545"/>
      <c r="C28" s="326"/>
      <c r="D28" s="327">
        <v>400000</v>
      </c>
      <c r="E28" s="330"/>
      <c r="F28" s="329"/>
    </row>
    <row r="29" spans="1:6" ht="12.75">
      <c r="A29" s="544" t="s">
        <v>668</v>
      </c>
      <c r="B29" s="545"/>
      <c r="C29" s="326"/>
      <c r="D29" s="327">
        <v>500000</v>
      </c>
      <c r="E29" s="330"/>
      <c r="F29" s="329"/>
    </row>
    <row r="30" spans="1:6" ht="12.75">
      <c r="A30" s="544" t="s">
        <v>734</v>
      </c>
      <c r="B30" s="545"/>
      <c r="C30" s="326"/>
      <c r="D30" s="887">
        <v>37900000</v>
      </c>
      <c r="E30" s="330"/>
      <c r="F30" s="329"/>
    </row>
    <row r="31" spans="1:6" ht="12.75">
      <c r="A31" s="544" t="s">
        <v>735</v>
      </c>
      <c r="B31" s="545"/>
      <c r="C31" s="326"/>
      <c r="D31" s="887">
        <v>3779393</v>
      </c>
      <c r="E31" s="330"/>
      <c r="F31" s="329"/>
    </row>
    <row r="32" spans="1:4" ht="15.75">
      <c r="A32" s="320" t="s">
        <v>420</v>
      </c>
      <c r="B32" s="337"/>
      <c r="C32" s="338"/>
      <c r="D32" s="339">
        <f>SUM(D17:D31)</f>
        <v>102144256</v>
      </c>
    </row>
    <row r="33" spans="1:4" ht="15.75">
      <c r="A33" s="320"/>
      <c r="B33" s="337"/>
      <c r="C33" s="338"/>
      <c r="D33" s="338"/>
    </row>
    <row r="34" spans="1:4" ht="16.5" thickBot="1">
      <c r="A34" s="340" t="s">
        <v>421</v>
      </c>
      <c r="B34" s="341"/>
      <c r="C34" s="342"/>
      <c r="D34" s="343">
        <f>SUM(D15,D32)</f>
        <v>116638107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 33. melléklet a 20/2017.(VI.29.)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54"/>
  <sheetViews>
    <sheetView view="pageLayout" workbookViewId="0" topLeftCell="B1">
      <selection activeCell="L149" sqref="L149"/>
    </sheetView>
  </sheetViews>
  <sheetFormatPr defaultColWidth="9.00390625" defaultRowHeight="12.75"/>
  <cols>
    <col min="1" max="1" width="9.00390625" style="571" customWidth="1"/>
    <col min="2" max="2" width="75.875" style="571" customWidth="1"/>
    <col min="3" max="4" width="15.50390625" style="571" customWidth="1"/>
    <col min="5" max="5" width="14.375" style="547" hidden="1" customWidth="1"/>
    <col min="6" max="6" width="12.625" style="547" hidden="1" customWidth="1"/>
    <col min="7" max="7" width="14.375" style="547" hidden="1" customWidth="1"/>
    <col min="8" max="16384" width="9.375" style="547" customWidth="1"/>
  </cols>
  <sheetData>
    <row r="1" spans="1:4" ht="15.75" customHeight="1">
      <c r="A1" s="902" t="s">
        <v>40</v>
      </c>
      <c r="B1" s="902"/>
      <c r="C1" s="902"/>
      <c r="D1" s="902"/>
    </row>
    <row r="2" spans="1:4" ht="15.75" customHeight="1" thickBot="1">
      <c r="A2" s="901" t="s">
        <v>163</v>
      </c>
      <c r="B2" s="901"/>
      <c r="C2" s="543"/>
      <c r="D2" s="717" t="str">
        <f>'[1]10.sz.mell'!G8</f>
        <v>Forintban!</v>
      </c>
    </row>
    <row r="3" spans="1:4" ht="37.5" customHeight="1" thickBot="1">
      <c r="A3" s="22" t="s">
        <v>94</v>
      </c>
      <c r="B3" s="23" t="s">
        <v>42</v>
      </c>
      <c r="C3" s="718" t="s">
        <v>25</v>
      </c>
      <c r="D3" s="719" t="str">
        <f>+'[1]1.1.sz.mell.'!C3</f>
        <v>2017. évi előirányzat</v>
      </c>
    </row>
    <row r="4" spans="1:4" s="550" customFormat="1" ht="12" customHeight="1" thickBot="1">
      <c r="A4" s="27" t="s">
        <v>500</v>
      </c>
      <c r="B4" s="28" t="s">
        <v>501</v>
      </c>
      <c r="C4" s="720" t="s">
        <v>555</v>
      </c>
      <c r="D4" s="745" t="s">
        <v>556</v>
      </c>
    </row>
    <row r="5" spans="1:7" s="553" customFormat="1" ht="12" customHeight="1" thickBot="1">
      <c r="A5" s="19" t="s">
        <v>43</v>
      </c>
      <c r="B5" s="20" t="s">
        <v>230</v>
      </c>
      <c r="C5" s="721">
        <f>+C6+C7+C8+C9+C10+C11</f>
        <v>1055342000</v>
      </c>
      <c r="D5" s="170">
        <f>SUM(D6:D11)</f>
        <v>1239018195</v>
      </c>
      <c r="E5" s="552">
        <f>+E6+E7+E8+E9+E10+E11</f>
        <v>1190343400</v>
      </c>
      <c r="F5" s="170">
        <f>+F6+F7+F8+F9+F10+F11</f>
        <v>0</v>
      </c>
      <c r="G5" s="170">
        <f>+G6+G7+G8+G9+G10+G11</f>
        <v>0</v>
      </c>
    </row>
    <row r="6" spans="1:7" s="553" customFormat="1" ht="12" customHeight="1">
      <c r="A6" s="14" t="s">
        <v>122</v>
      </c>
      <c r="B6" s="255" t="s">
        <v>231</v>
      </c>
      <c r="C6" s="722">
        <v>231988000</v>
      </c>
      <c r="D6" s="250">
        <f>SUM(E6:G6)+905743</f>
        <v>228418282</v>
      </c>
      <c r="E6" s="559">
        <v>227512539</v>
      </c>
      <c r="F6" s="293"/>
      <c r="G6" s="293"/>
    </row>
    <row r="7" spans="1:7" s="553" customFormat="1" ht="12" customHeight="1">
      <c r="A7" s="13" t="s">
        <v>123</v>
      </c>
      <c r="B7" s="256" t="s">
        <v>232</v>
      </c>
      <c r="C7" s="723">
        <v>217051000</v>
      </c>
      <c r="D7" s="701">
        <f>SUM(E7:G7)+10461768</f>
        <v>228569062</v>
      </c>
      <c r="E7" s="498">
        <v>218107294</v>
      </c>
      <c r="F7" s="174"/>
      <c r="G7" s="174"/>
    </row>
    <row r="8" spans="1:7" s="553" customFormat="1" ht="12" customHeight="1">
      <c r="A8" s="13" t="s">
        <v>124</v>
      </c>
      <c r="B8" s="256" t="s">
        <v>233</v>
      </c>
      <c r="C8" s="723">
        <v>567601000</v>
      </c>
      <c r="D8" s="701">
        <f>SUM(E8:G8)-35761000</f>
        <v>505153065</v>
      </c>
      <c r="E8" s="498">
        <f>121200000+67844165+118423160+15562200+177597260+4526280+11511000+24250000</f>
        <v>540914065</v>
      </c>
      <c r="F8" s="174"/>
      <c r="G8" s="174"/>
    </row>
    <row r="9" spans="1:7" s="553" customFormat="1" ht="12" customHeight="1">
      <c r="A9" s="13" t="s">
        <v>125</v>
      </c>
      <c r="B9" s="256" t="s">
        <v>234</v>
      </c>
      <c r="C9" s="723">
        <v>26943000</v>
      </c>
      <c r="D9" s="768">
        <f>SUM(E9:G9)-4412740+4412740</f>
        <v>30304060</v>
      </c>
      <c r="E9" s="498">
        <f>4412740+15262320+10629000</f>
        <v>30304060</v>
      </c>
      <c r="F9" s="174"/>
      <c r="G9" s="174"/>
    </row>
    <row r="10" spans="1:7" s="553" customFormat="1" ht="12" customHeight="1">
      <c r="A10" s="13" t="s">
        <v>160</v>
      </c>
      <c r="B10" s="166" t="s">
        <v>503</v>
      </c>
      <c r="C10" s="723">
        <v>10020000</v>
      </c>
      <c r="D10" s="768">
        <f>SUM(E10:G10)+23885805+49094027+4501192-4412740</f>
        <v>246573726</v>
      </c>
      <c r="E10" s="498">
        <f>3551000+1060845+168707597+58000+128000</f>
        <v>173505442</v>
      </c>
      <c r="F10" s="174"/>
      <c r="G10" s="174"/>
    </row>
    <row r="11" spans="1:7" s="553" customFormat="1" ht="12" customHeight="1" thickBot="1">
      <c r="A11" s="15" t="s">
        <v>126</v>
      </c>
      <c r="B11" s="167" t="s">
        <v>504</v>
      </c>
      <c r="C11" s="723">
        <v>1739000</v>
      </c>
      <c r="D11" s="702">
        <f>SUM(E11:G11)</f>
        <v>0</v>
      </c>
      <c r="E11" s="153"/>
      <c r="F11" s="171"/>
      <c r="G11" s="171"/>
    </row>
    <row r="12" spans="1:7" s="553" customFormat="1" ht="12" customHeight="1" thickBot="1">
      <c r="A12" s="19" t="s">
        <v>44</v>
      </c>
      <c r="B12" s="165" t="s">
        <v>235</v>
      </c>
      <c r="C12" s="721">
        <f>+C13+C14+C15+C16+C17</f>
        <v>781978000</v>
      </c>
      <c r="D12" s="170">
        <f>SUM(D13:D17)</f>
        <v>615152497</v>
      </c>
      <c r="E12" s="552">
        <f>+E13+E14+E15+E16+E17</f>
        <v>178283000</v>
      </c>
      <c r="F12" s="170">
        <f>+F13+F14+F15+F16+F17</f>
        <v>0</v>
      </c>
      <c r="G12" s="170">
        <f>+G13+G14+G15+G16+G17</f>
        <v>5485000</v>
      </c>
    </row>
    <row r="13" spans="1:7" s="553" customFormat="1" ht="12" customHeight="1">
      <c r="A13" s="14" t="s">
        <v>128</v>
      </c>
      <c r="B13" s="255" t="s">
        <v>236</v>
      </c>
      <c r="C13" s="722"/>
      <c r="D13" s="250">
        <f>SUM(E13:G13)</f>
        <v>0</v>
      </c>
      <c r="E13" s="554"/>
      <c r="F13" s="172"/>
      <c r="G13" s="172"/>
    </row>
    <row r="14" spans="1:7" s="553" customFormat="1" ht="12" customHeight="1">
      <c r="A14" s="13" t="s">
        <v>129</v>
      </c>
      <c r="B14" s="256" t="s">
        <v>237</v>
      </c>
      <c r="C14" s="723"/>
      <c r="D14" s="749">
        <f>SUM(E14:G14)</f>
        <v>0</v>
      </c>
      <c r="E14" s="153"/>
      <c r="F14" s="171"/>
      <c r="G14" s="171"/>
    </row>
    <row r="15" spans="1:7" s="553" customFormat="1" ht="12" customHeight="1">
      <c r="A15" s="13" t="s">
        <v>130</v>
      </c>
      <c r="B15" s="256" t="s">
        <v>406</v>
      </c>
      <c r="C15" s="723"/>
      <c r="D15" s="749">
        <f>SUM(E15:G15)</f>
        <v>0</v>
      </c>
      <c r="E15" s="153"/>
      <c r="F15" s="171"/>
      <c r="G15" s="171"/>
    </row>
    <row r="16" spans="1:7" s="553" customFormat="1" ht="12" customHeight="1">
      <c r="A16" s="13" t="s">
        <v>131</v>
      </c>
      <c r="B16" s="256" t="s">
        <v>407</v>
      </c>
      <c r="C16" s="723"/>
      <c r="D16" s="749">
        <f>SUM(E16:G16)</f>
        <v>0</v>
      </c>
      <c r="E16" s="153"/>
      <c r="F16" s="171"/>
      <c r="G16" s="171"/>
    </row>
    <row r="17" spans="1:7" s="553" customFormat="1" ht="12" customHeight="1">
      <c r="A17" s="13" t="s">
        <v>132</v>
      </c>
      <c r="B17" s="256" t="s">
        <v>238</v>
      </c>
      <c r="C17" s="723">
        <v>781978000</v>
      </c>
      <c r="D17" s="768">
        <f>SUM(E17:G17)+326152588+94906504+10325405</f>
        <v>615152497</v>
      </c>
      <c r="E17" s="509">
        <f>2285000+210000+110446000+65342000</f>
        <v>178283000</v>
      </c>
      <c r="F17" s="502"/>
      <c r="G17" s="174">
        <v>5485000</v>
      </c>
    </row>
    <row r="18" spans="1:7" s="553" customFormat="1" ht="12" customHeight="1" thickBot="1">
      <c r="A18" s="15" t="s">
        <v>141</v>
      </c>
      <c r="B18" s="167" t="s">
        <v>239</v>
      </c>
      <c r="C18" s="724"/>
      <c r="D18" s="769">
        <v>374405</v>
      </c>
      <c r="E18" s="508"/>
      <c r="F18" s="244"/>
      <c r="G18" s="244"/>
    </row>
    <row r="19" spans="1:7" s="553" customFormat="1" ht="12" customHeight="1" thickBot="1">
      <c r="A19" s="19" t="s">
        <v>45</v>
      </c>
      <c r="B19" s="20" t="s">
        <v>240</v>
      </c>
      <c r="C19" s="721">
        <f>+C20+C21+C22+C23+C24</f>
        <v>37234000</v>
      </c>
      <c r="D19" s="170">
        <f>SUM(D20:D24)</f>
        <v>112681605</v>
      </c>
      <c r="E19" s="552">
        <f>+E20+E21+E22+E23+E24</f>
        <v>3797300</v>
      </c>
      <c r="F19" s="170">
        <f>+F20+F21+F22+F23+F24</f>
        <v>0</v>
      </c>
      <c r="G19" s="170">
        <f>+G20+G21+G22+G23+G24</f>
        <v>0</v>
      </c>
    </row>
    <row r="20" spans="1:7" s="553" customFormat="1" ht="12" customHeight="1">
      <c r="A20" s="14" t="s">
        <v>111</v>
      </c>
      <c r="B20" s="255" t="s">
        <v>241</v>
      </c>
      <c r="C20" s="722">
        <v>20895000</v>
      </c>
      <c r="D20" s="250">
        <f>SUM(E20:G20)</f>
        <v>0</v>
      </c>
      <c r="E20" s="657"/>
      <c r="F20" s="496"/>
      <c r="G20" s="496"/>
    </row>
    <row r="21" spans="1:7" s="553" customFormat="1" ht="12" customHeight="1">
      <c r="A21" s="13" t="s">
        <v>112</v>
      </c>
      <c r="B21" s="256" t="s">
        <v>242</v>
      </c>
      <c r="C21" s="723"/>
      <c r="D21" s="749">
        <f>SUM(E21:G21)</f>
        <v>0</v>
      </c>
      <c r="E21" s="498"/>
      <c r="F21" s="174"/>
      <c r="G21" s="174"/>
    </row>
    <row r="22" spans="1:7" s="553" customFormat="1" ht="12" customHeight="1">
      <c r="A22" s="13" t="s">
        <v>113</v>
      </c>
      <c r="B22" s="256" t="s">
        <v>408</v>
      </c>
      <c r="C22" s="723"/>
      <c r="D22" s="749">
        <f>SUM(E22:G22)</f>
        <v>0</v>
      </c>
      <c r="E22" s="498"/>
      <c r="F22" s="174"/>
      <c r="G22" s="174"/>
    </row>
    <row r="23" spans="1:7" s="553" customFormat="1" ht="12" customHeight="1">
      <c r="A23" s="13" t="s">
        <v>114</v>
      </c>
      <c r="B23" s="256" t="s">
        <v>409</v>
      </c>
      <c r="C23" s="723"/>
      <c r="D23" s="749">
        <f>SUM(E23:G23)</f>
        <v>0</v>
      </c>
      <c r="E23" s="498"/>
      <c r="F23" s="174"/>
      <c r="G23" s="174"/>
    </row>
    <row r="24" spans="1:7" s="553" customFormat="1" ht="12" customHeight="1">
      <c r="A24" s="13" t="s">
        <v>172</v>
      </c>
      <c r="B24" s="256" t="s">
        <v>243</v>
      </c>
      <c r="C24" s="723">
        <v>16339000</v>
      </c>
      <c r="D24" s="768">
        <f>SUM(E24:G24)+15179276+93705029</f>
        <v>112681605</v>
      </c>
      <c r="E24" s="498">
        <f>3797300</f>
        <v>3797300</v>
      </c>
      <c r="F24" s="174"/>
      <c r="G24" s="174"/>
    </row>
    <row r="25" spans="1:7" s="553" customFormat="1" ht="12" customHeight="1" thickBot="1">
      <c r="A25" s="15" t="s">
        <v>173</v>
      </c>
      <c r="B25" s="257" t="s">
        <v>244</v>
      </c>
      <c r="C25" s="724"/>
      <c r="D25" s="769">
        <f>SUM(E25:G25)+91545029</f>
        <v>95342329</v>
      </c>
      <c r="E25" s="508">
        <v>3797300</v>
      </c>
      <c r="F25" s="244"/>
      <c r="G25" s="244"/>
    </row>
    <row r="26" spans="1:7" s="553" customFormat="1" ht="12" customHeight="1" thickBot="1">
      <c r="A26" s="19" t="s">
        <v>174</v>
      </c>
      <c r="B26" s="20" t="s">
        <v>245</v>
      </c>
      <c r="C26" s="725">
        <f>C27+C31+C32+C33</f>
        <v>363460000</v>
      </c>
      <c r="D26" s="170">
        <f>SUM(D27)+SUM(D30:D33)</f>
        <v>319390000</v>
      </c>
      <c r="E26" s="556">
        <f>+E27+E31+E32+E33</f>
        <v>319390000</v>
      </c>
      <c r="F26" s="175">
        <f>+F27+F31+F32+F33</f>
        <v>0</v>
      </c>
      <c r="G26" s="175">
        <f>+G27+G31+G32+G33</f>
        <v>0</v>
      </c>
    </row>
    <row r="27" spans="1:7" s="553" customFormat="1" ht="12" customHeight="1">
      <c r="A27" s="14" t="s">
        <v>246</v>
      </c>
      <c r="B27" s="255" t="s">
        <v>26</v>
      </c>
      <c r="C27" s="722">
        <f>C28+C29+C30</f>
        <v>320640000</v>
      </c>
      <c r="D27" s="250">
        <f>SUM(D28:D29)</f>
        <v>282830000</v>
      </c>
      <c r="E27" s="658">
        <f>SUM(E28:E30)</f>
        <v>282830000</v>
      </c>
      <c r="F27" s="250"/>
      <c r="G27" s="250"/>
    </row>
    <row r="28" spans="1:7" s="553" customFormat="1" ht="12" customHeight="1">
      <c r="A28" s="13" t="s">
        <v>249</v>
      </c>
      <c r="B28" s="256" t="s">
        <v>28</v>
      </c>
      <c r="C28" s="723">
        <v>83000000</v>
      </c>
      <c r="D28" s="749">
        <f>SUM(E28:G28)</f>
        <v>78990000</v>
      </c>
      <c r="E28" s="153">
        <f>8990000+70000000</f>
        <v>78990000</v>
      </c>
      <c r="F28" s="171"/>
      <c r="G28" s="171"/>
    </row>
    <row r="29" spans="1:7" s="553" customFormat="1" ht="12" customHeight="1">
      <c r="A29" s="13" t="s">
        <v>250</v>
      </c>
      <c r="B29" s="256" t="s">
        <v>608</v>
      </c>
      <c r="C29" s="723">
        <v>237500000</v>
      </c>
      <c r="D29" s="749">
        <f>SUM(E29:G29)</f>
        <v>203840000</v>
      </c>
      <c r="E29" s="153">
        <v>203840000</v>
      </c>
      <c r="F29" s="171"/>
      <c r="G29" s="171"/>
    </row>
    <row r="30" spans="1:7" s="553" customFormat="1" ht="12" customHeight="1">
      <c r="A30" s="13" t="s">
        <v>251</v>
      </c>
      <c r="B30" s="256" t="s">
        <v>27</v>
      </c>
      <c r="C30" s="723">
        <v>140000</v>
      </c>
      <c r="D30" s="749">
        <f>SUM(E30:G30)</f>
        <v>0</v>
      </c>
      <c r="E30" s="498"/>
      <c r="F30" s="174"/>
      <c r="G30" s="174"/>
    </row>
    <row r="31" spans="1:7" s="553" customFormat="1" ht="12" customHeight="1">
      <c r="A31" s="13" t="s">
        <v>607</v>
      </c>
      <c r="B31" s="256" t="s">
        <v>254</v>
      </c>
      <c r="C31" s="723">
        <v>28200000</v>
      </c>
      <c r="D31" s="749">
        <f>SUM(E31:G31)</f>
        <v>27000000</v>
      </c>
      <c r="E31" s="153">
        <f>27000000</f>
        <v>27000000</v>
      </c>
      <c r="F31" s="171"/>
      <c r="G31" s="171"/>
    </row>
    <row r="32" spans="1:7" s="553" customFormat="1" ht="12" customHeight="1">
      <c r="A32" s="13" t="s">
        <v>634</v>
      </c>
      <c r="B32" s="256" t="s">
        <v>255</v>
      </c>
      <c r="C32" s="723">
        <v>5620000</v>
      </c>
      <c r="D32" s="749">
        <f>SUM(E32:G32)-4000000</f>
        <v>60000</v>
      </c>
      <c r="E32" s="153">
        <v>4060000</v>
      </c>
      <c r="F32" s="171"/>
      <c r="G32" s="171"/>
    </row>
    <row r="33" spans="1:7" s="553" customFormat="1" ht="12" customHeight="1" thickBot="1">
      <c r="A33" s="15" t="s">
        <v>635</v>
      </c>
      <c r="B33" s="257" t="s">
        <v>256</v>
      </c>
      <c r="C33" s="724">
        <v>9000000</v>
      </c>
      <c r="D33" s="750">
        <f>SUM(E33:G33)+4000000</f>
        <v>9500000</v>
      </c>
      <c r="E33" s="508">
        <v>5500000</v>
      </c>
      <c r="F33" s="244"/>
      <c r="G33" s="244"/>
    </row>
    <row r="34" spans="1:7" s="553" customFormat="1" ht="12" customHeight="1" thickBot="1">
      <c r="A34" s="19" t="s">
        <v>47</v>
      </c>
      <c r="B34" s="20" t="s">
        <v>508</v>
      </c>
      <c r="C34" s="721">
        <f>SUM(C35:C45)</f>
        <v>457659000</v>
      </c>
      <c r="D34" s="170">
        <f>SUM(D35:D45)</f>
        <v>459637174</v>
      </c>
      <c r="E34" s="552">
        <f>SUM(E35:E45)</f>
        <v>48800000</v>
      </c>
      <c r="F34" s="170">
        <f>SUM(F35:F45)</f>
        <v>9416500</v>
      </c>
      <c r="G34" s="170">
        <f>SUM(G35:G45)</f>
        <v>389838178</v>
      </c>
    </row>
    <row r="35" spans="1:7" s="553" customFormat="1" ht="12" customHeight="1">
      <c r="A35" s="14" t="s">
        <v>115</v>
      </c>
      <c r="B35" s="255" t="s">
        <v>259</v>
      </c>
      <c r="C35" s="722">
        <v>13400000</v>
      </c>
      <c r="D35" s="770">
        <f>SUM(E35:G35)+5500000+275371</f>
        <v>18862371</v>
      </c>
      <c r="E35" s="559">
        <f>3937000+4000000+5000000</f>
        <v>12937000</v>
      </c>
      <c r="F35" s="293"/>
      <c r="G35" s="293">
        <v>150000</v>
      </c>
    </row>
    <row r="36" spans="1:7" s="553" customFormat="1" ht="12" customHeight="1">
      <c r="A36" s="13" t="s">
        <v>116</v>
      </c>
      <c r="B36" s="256" t="s">
        <v>260</v>
      </c>
      <c r="C36" s="723">
        <v>98371000</v>
      </c>
      <c r="D36" s="768">
        <f>SUM(E36:G36)+1813568-195228</f>
        <v>89609678</v>
      </c>
      <c r="E36" s="498">
        <f>100000+12004000+160000</f>
        <v>12264000</v>
      </c>
      <c r="F36" s="174">
        <v>7533500</v>
      </c>
      <c r="G36" s="293">
        <v>68193838</v>
      </c>
    </row>
    <row r="37" spans="1:7" s="553" customFormat="1" ht="12" customHeight="1">
      <c r="A37" s="13" t="s">
        <v>117</v>
      </c>
      <c r="B37" s="256" t="s">
        <v>261</v>
      </c>
      <c r="C37" s="723">
        <v>95710000</v>
      </c>
      <c r="D37" s="768">
        <f>SUM(E37:G37)+1061599-195228</f>
        <v>96489711</v>
      </c>
      <c r="E37" s="498">
        <f>8458000+947000</f>
        <v>9405000</v>
      </c>
      <c r="F37" s="174">
        <v>500000</v>
      </c>
      <c r="G37" s="293">
        <v>85718340</v>
      </c>
    </row>
    <row r="38" spans="1:7" s="553" customFormat="1" ht="12" customHeight="1">
      <c r="A38" s="13" t="s">
        <v>176</v>
      </c>
      <c r="B38" s="256" t="s">
        <v>262</v>
      </c>
      <c r="C38" s="723">
        <v>376000</v>
      </c>
      <c r="D38" s="749">
        <f>SUM(E38:G38)</f>
        <v>430000</v>
      </c>
      <c r="E38" s="498">
        <f>430000</f>
        <v>430000</v>
      </c>
      <c r="F38" s="174"/>
      <c r="G38" s="293"/>
    </row>
    <row r="39" spans="1:7" s="553" customFormat="1" ht="12" customHeight="1">
      <c r="A39" s="13" t="s">
        <v>177</v>
      </c>
      <c r="B39" s="256" t="s">
        <v>263</v>
      </c>
      <c r="C39" s="723">
        <v>182275000</v>
      </c>
      <c r="D39" s="749">
        <f>SUM(E39:G39)</f>
        <v>182811402</v>
      </c>
      <c r="E39" s="498"/>
      <c r="F39" s="174"/>
      <c r="G39" s="293">
        <v>182811402</v>
      </c>
    </row>
    <row r="40" spans="1:7" s="553" customFormat="1" ht="12" customHeight="1">
      <c r="A40" s="13" t="s">
        <v>178</v>
      </c>
      <c r="B40" s="256" t="s">
        <v>264</v>
      </c>
      <c r="C40" s="723">
        <v>43482000</v>
      </c>
      <c r="D40" s="768">
        <f>SUM(E40:G40)+270000+1485000+976640+195228+195228</f>
        <v>48855694</v>
      </c>
      <c r="E40" s="498">
        <f>1063000+3242000+5853000+44000+378000+600000+1350000</f>
        <v>12530000</v>
      </c>
      <c r="F40" s="174">
        <v>1283000</v>
      </c>
      <c r="G40" s="293">
        <v>31920598</v>
      </c>
    </row>
    <row r="41" spans="1:7" s="553" customFormat="1" ht="12" customHeight="1">
      <c r="A41" s="13" t="s">
        <v>179</v>
      </c>
      <c r="B41" s="256" t="s">
        <v>265</v>
      </c>
      <c r="C41" s="723">
        <v>22424000</v>
      </c>
      <c r="D41" s="749">
        <f>SUM(E41:G41)</f>
        <v>21034000</v>
      </c>
      <c r="E41" s="498"/>
      <c r="F41" s="174"/>
      <c r="G41" s="293">
        <v>21034000</v>
      </c>
    </row>
    <row r="42" spans="1:7" s="553" customFormat="1" ht="12" customHeight="1">
      <c r="A42" s="13" t="s">
        <v>180</v>
      </c>
      <c r="B42" s="256" t="s">
        <v>636</v>
      </c>
      <c r="C42" s="723">
        <v>21000</v>
      </c>
      <c r="D42" s="749">
        <f>SUM(E42:G42)</f>
        <v>40000</v>
      </c>
      <c r="E42" s="498">
        <v>30000</v>
      </c>
      <c r="F42" s="174"/>
      <c r="G42" s="293">
        <v>10000</v>
      </c>
    </row>
    <row r="43" spans="1:7" s="553" customFormat="1" ht="12" customHeight="1">
      <c r="A43" s="13" t="s">
        <v>257</v>
      </c>
      <c r="B43" s="256" t="s">
        <v>267</v>
      </c>
      <c r="C43" s="726"/>
      <c r="D43" s="749">
        <f>SUM(E43:G43)</f>
        <v>0</v>
      </c>
      <c r="E43" s="498"/>
      <c r="F43" s="174"/>
      <c r="G43" s="293"/>
    </row>
    <row r="44" spans="1:7" s="553" customFormat="1" ht="12" customHeight="1">
      <c r="A44" s="15" t="s">
        <v>258</v>
      </c>
      <c r="B44" s="257" t="s">
        <v>509</v>
      </c>
      <c r="C44" s="727">
        <v>500000</v>
      </c>
      <c r="D44" s="749">
        <f>SUM(E44:G44)</f>
        <v>500000</v>
      </c>
      <c r="E44" s="508">
        <f>500000</f>
        <v>500000</v>
      </c>
      <c r="F44" s="244"/>
      <c r="G44" s="293"/>
    </row>
    <row r="45" spans="1:7" s="553" customFormat="1" ht="12" customHeight="1" thickBot="1">
      <c r="A45" s="15" t="s">
        <v>510</v>
      </c>
      <c r="B45" s="167" t="s">
        <v>268</v>
      </c>
      <c r="C45" s="727">
        <v>1100000</v>
      </c>
      <c r="D45" s="769">
        <f>SUM(E45:G45)+200318</f>
        <v>1004318</v>
      </c>
      <c r="E45" s="508">
        <f>704000</f>
        <v>704000</v>
      </c>
      <c r="F45" s="244">
        <v>100000</v>
      </c>
      <c r="G45" s="293"/>
    </row>
    <row r="46" spans="1:7" s="553" customFormat="1" ht="12" customHeight="1" thickBot="1">
      <c r="A46" s="19" t="s">
        <v>48</v>
      </c>
      <c r="B46" s="20" t="s">
        <v>269</v>
      </c>
      <c r="C46" s="721">
        <f>SUM(C47:C51)</f>
        <v>36253000</v>
      </c>
      <c r="D46" s="170">
        <f>SUM(D47:D51)</f>
        <v>47429000</v>
      </c>
      <c r="E46" s="552">
        <f>SUM(E47:E51)</f>
        <v>25179000</v>
      </c>
      <c r="F46" s="170">
        <f>SUM(F47:F51)</f>
        <v>0</v>
      </c>
      <c r="G46" s="170">
        <f>SUM(G47:G51)</f>
        <v>0</v>
      </c>
    </row>
    <row r="47" spans="1:7" s="553" customFormat="1" ht="12" customHeight="1">
      <c r="A47" s="14" t="s">
        <v>118</v>
      </c>
      <c r="B47" s="255" t="s">
        <v>273</v>
      </c>
      <c r="C47" s="728"/>
      <c r="D47" s="250">
        <f>SUM(E47:G47)</f>
        <v>0</v>
      </c>
      <c r="E47" s="559"/>
      <c r="F47" s="293"/>
      <c r="G47" s="293"/>
    </row>
    <row r="48" spans="1:7" s="553" customFormat="1" ht="12" customHeight="1">
      <c r="A48" s="13" t="s">
        <v>119</v>
      </c>
      <c r="B48" s="256" t="s">
        <v>274</v>
      </c>
      <c r="C48" s="726">
        <v>36043000</v>
      </c>
      <c r="D48" s="749">
        <f>SUM(E48:G48)+22000000</f>
        <v>47179000</v>
      </c>
      <c r="E48" s="498">
        <f>25179000</f>
        <v>25179000</v>
      </c>
      <c r="F48" s="174"/>
      <c r="G48" s="174"/>
    </row>
    <row r="49" spans="1:7" s="553" customFormat="1" ht="12" customHeight="1">
      <c r="A49" s="13" t="s">
        <v>270</v>
      </c>
      <c r="B49" s="256" t="s">
        <v>275</v>
      </c>
      <c r="C49" s="726">
        <v>210000</v>
      </c>
      <c r="D49" s="749">
        <v>250000</v>
      </c>
      <c r="E49" s="498"/>
      <c r="F49" s="174"/>
      <c r="G49" s="174"/>
    </row>
    <row r="50" spans="1:7" s="553" customFormat="1" ht="12" customHeight="1">
      <c r="A50" s="13" t="s">
        <v>271</v>
      </c>
      <c r="B50" s="256" t="s">
        <v>276</v>
      </c>
      <c r="C50" s="726"/>
      <c r="D50" s="749">
        <f>SUM(E50:G50)</f>
        <v>0</v>
      </c>
      <c r="E50" s="498"/>
      <c r="F50" s="174"/>
      <c r="G50" s="174"/>
    </row>
    <row r="51" spans="1:7" s="553" customFormat="1" ht="12" customHeight="1" thickBot="1">
      <c r="A51" s="15" t="s">
        <v>272</v>
      </c>
      <c r="B51" s="167" t="s">
        <v>277</v>
      </c>
      <c r="C51" s="727"/>
      <c r="D51" s="750">
        <f>SUM(E51:G51)</f>
        <v>0</v>
      </c>
      <c r="E51" s="508"/>
      <c r="F51" s="244"/>
      <c r="G51" s="244"/>
    </row>
    <row r="52" spans="1:7" s="553" customFormat="1" ht="12" customHeight="1" thickBot="1">
      <c r="A52" s="19" t="s">
        <v>181</v>
      </c>
      <c r="B52" s="20" t="s">
        <v>278</v>
      </c>
      <c r="C52" s="721">
        <f>SUM(C53:C55)</f>
        <v>17053000</v>
      </c>
      <c r="D52" s="170">
        <f>SUM(D53:D55)</f>
        <v>6024000</v>
      </c>
      <c r="E52" s="552">
        <f>SUM(E53:E55)</f>
        <v>6024000</v>
      </c>
      <c r="F52" s="170">
        <f>SUM(F53:F55)</f>
        <v>0</v>
      </c>
      <c r="G52" s="170">
        <f>SUM(G53:G55)</f>
        <v>0</v>
      </c>
    </row>
    <row r="53" spans="1:7" s="553" customFormat="1" ht="12" customHeight="1">
      <c r="A53" s="14" t="s">
        <v>120</v>
      </c>
      <c r="B53" s="255" t="s">
        <v>279</v>
      </c>
      <c r="C53" s="722"/>
      <c r="D53" s="250">
        <f>SUM(E53:G53)</f>
        <v>0</v>
      </c>
      <c r="E53" s="554"/>
      <c r="F53" s="172"/>
      <c r="G53" s="172"/>
    </row>
    <row r="54" spans="1:7" s="553" customFormat="1" ht="12" customHeight="1">
      <c r="A54" s="13" t="s">
        <v>121</v>
      </c>
      <c r="B54" s="256" t="s">
        <v>410</v>
      </c>
      <c r="C54" s="723">
        <v>3366000</v>
      </c>
      <c r="D54" s="749">
        <f>SUM(E54:G54)</f>
        <v>1949000</v>
      </c>
      <c r="E54" s="498">
        <f>383000+1566000</f>
        <v>1949000</v>
      </c>
      <c r="F54" s="174"/>
      <c r="G54" s="174"/>
    </row>
    <row r="55" spans="1:7" s="553" customFormat="1" ht="12" customHeight="1">
      <c r="A55" s="13" t="s">
        <v>282</v>
      </c>
      <c r="B55" s="256" t="s">
        <v>280</v>
      </c>
      <c r="C55" s="723">
        <v>13687000</v>
      </c>
      <c r="D55" s="749">
        <f>SUM(E55:G55)</f>
        <v>4075000</v>
      </c>
      <c r="E55" s="498">
        <f>4075000</f>
        <v>4075000</v>
      </c>
      <c r="F55" s="174"/>
      <c r="G55" s="174"/>
    </row>
    <row r="56" spans="1:7" s="553" customFormat="1" ht="12" customHeight="1" thickBot="1">
      <c r="A56" s="15" t="s">
        <v>283</v>
      </c>
      <c r="B56" s="167" t="s">
        <v>281</v>
      </c>
      <c r="C56" s="724"/>
      <c r="D56" s="750">
        <f>SUM(E56:G56)</f>
        <v>0</v>
      </c>
      <c r="E56" s="154"/>
      <c r="F56" s="173"/>
      <c r="G56" s="173"/>
    </row>
    <row r="57" spans="1:7" s="553" customFormat="1" ht="12" customHeight="1" thickBot="1">
      <c r="A57" s="19" t="s">
        <v>50</v>
      </c>
      <c r="B57" s="165" t="s">
        <v>284</v>
      </c>
      <c r="C57" s="721">
        <f>SUM(C58:C60)</f>
        <v>4228000</v>
      </c>
      <c r="D57" s="170">
        <f>SUM(D58:D60)</f>
        <v>0</v>
      </c>
      <c r="E57" s="552">
        <f>SUM(E58:E60)</f>
        <v>0</v>
      </c>
      <c r="F57" s="170">
        <f>SUM(F58:F60)</f>
        <v>0</v>
      </c>
      <c r="G57" s="170">
        <f>SUM(G58:G60)</f>
        <v>0</v>
      </c>
    </row>
    <row r="58" spans="1:7" s="553" customFormat="1" ht="12" customHeight="1">
      <c r="A58" s="14" t="s">
        <v>182</v>
      </c>
      <c r="B58" s="255" t="s">
        <v>286</v>
      </c>
      <c r="C58" s="726"/>
      <c r="D58" s="250">
        <f>SUM(E58:G58)</f>
        <v>0</v>
      </c>
      <c r="E58" s="498"/>
      <c r="F58" s="174"/>
      <c r="G58" s="174"/>
    </row>
    <row r="59" spans="1:7" s="553" customFormat="1" ht="12" customHeight="1">
      <c r="A59" s="13" t="s">
        <v>183</v>
      </c>
      <c r="B59" s="256" t="s">
        <v>411</v>
      </c>
      <c r="C59" s="726"/>
      <c r="D59" s="749">
        <f>SUM(E59:G59)</f>
        <v>0</v>
      </c>
      <c r="E59" s="498"/>
      <c r="F59" s="174"/>
      <c r="G59" s="174"/>
    </row>
    <row r="60" spans="1:7" s="553" customFormat="1" ht="12" customHeight="1">
      <c r="A60" s="13" t="s">
        <v>209</v>
      </c>
      <c r="B60" s="256" t="s">
        <v>287</v>
      </c>
      <c r="C60" s="726">
        <v>4228000</v>
      </c>
      <c r="D60" s="749">
        <f>SUM(E60:G60)</f>
        <v>0</v>
      </c>
      <c r="E60" s="498"/>
      <c r="F60" s="174"/>
      <c r="G60" s="174"/>
    </row>
    <row r="61" spans="1:7" s="553" customFormat="1" ht="12" customHeight="1" thickBot="1">
      <c r="A61" s="15" t="s">
        <v>285</v>
      </c>
      <c r="B61" s="167" t="s">
        <v>288</v>
      </c>
      <c r="C61" s="726"/>
      <c r="D61" s="750">
        <f>SUM(E61:G61)</f>
        <v>0</v>
      </c>
      <c r="E61" s="498"/>
      <c r="F61" s="174"/>
      <c r="G61" s="174"/>
    </row>
    <row r="62" spans="1:7" s="553" customFormat="1" ht="12" customHeight="1" thickBot="1">
      <c r="A62" s="477" t="s">
        <v>511</v>
      </c>
      <c r="B62" s="20" t="s">
        <v>289</v>
      </c>
      <c r="C62" s="725">
        <f>+C5+C12+C19+C26+C34+C46+C52+C57</f>
        <v>2753207000</v>
      </c>
      <c r="D62" s="170">
        <f>D57+D52+D46+D34+D26+D19+D12+D5</f>
        <v>2799332471</v>
      </c>
      <c r="E62" s="556">
        <f>+E5+E12+E19+E26+E34+E46+E52+E57</f>
        <v>1771816700</v>
      </c>
      <c r="F62" s="175">
        <f>+F5+F12+F19+F26+F34+F46+F52+F57</f>
        <v>9416500</v>
      </c>
      <c r="G62" s="175">
        <f>+G5+G12+G19+G26+G34+G46+G52+G57</f>
        <v>395323178</v>
      </c>
    </row>
    <row r="63" spans="1:7" s="553" customFormat="1" ht="12" customHeight="1" thickBot="1">
      <c r="A63" s="478" t="s">
        <v>290</v>
      </c>
      <c r="B63" s="165" t="s">
        <v>637</v>
      </c>
      <c r="C63" s="721">
        <f>SUM(C64:C66)</f>
        <v>160303000</v>
      </c>
      <c r="D63" s="484">
        <f>SUM(D64:D66)</f>
        <v>182000000</v>
      </c>
      <c r="E63" s="552">
        <f>SUM(E64:E66)</f>
        <v>144100000</v>
      </c>
      <c r="F63" s="170">
        <f>SUM(F64:F66)</f>
        <v>0</v>
      </c>
      <c r="G63" s="170">
        <f>SUM(G64:G66)</f>
        <v>0</v>
      </c>
    </row>
    <row r="64" spans="1:7" s="553" customFormat="1" ht="12" customHeight="1">
      <c r="A64" s="14" t="s">
        <v>322</v>
      </c>
      <c r="B64" s="255" t="s">
        <v>292</v>
      </c>
      <c r="C64" s="726">
        <v>60303000</v>
      </c>
      <c r="D64" s="770">
        <f>SUM(E64:G64)+37900000</f>
        <v>82000000</v>
      </c>
      <c r="E64" s="498">
        <v>44100000</v>
      </c>
      <c r="F64" s="174"/>
      <c r="G64" s="174"/>
    </row>
    <row r="65" spans="1:7" s="553" customFormat="1" ht="12" customHeight="1">
      <c r="A65" s="13" t="s">
        <v>331</v>
      </c>
      <c r="B65" s="256" t="s">
        <v>293</v>
      </c>
      <c r="C65" s="726">
        <v>100000000</v>
      </c>
      <c r="D65" s="749">
        <f>SUM(E65:G65)</f>
        <v>100000000</v>
      </c>
      <c r="E65" s="498">
        <v>100000000</v>
      </c>
      <c r="F65" s="174"/>
      <c r="G65" s="174"/>
    </row>
    <row r="66" spans="1:7" s="553" customFormat="1" ht="12" customHeight="1" thickBot="1">
      <c r="A66" s="15" t="s">
        <v>332</v>
      </c>
      <c r="B66" s="479" t="s">
        <v>512</v>
      </c>
      <c r="C66" s="726"/>
      <c r="D66" s="750">
        <f>SUM(E66:G66)</f>
        <v>0</v>
      </c>
      <c r="E66" s="498"/>
      <c r="F66" s="174"/>
      <c r="G66" s="174"/>
    </row>
    <row r="67" spans="1:7" s="553" customFormat="1" ht="12" customHeight="1" thickBot="1">
      <c r="A67" s="478" t="s">
        <v>295</v>
      </c>
      <c r="B67" s="165" t="s">
        <v>296</v>
      </c>
      <c r="C67" s="721">
        <f>SUM(C68:C71)</f>
        <v>0</v>
      </c>
      <c r="D67" s="751">
        <f>SUM(D68:D71)</f>
        <v>0</v>
      </c>
      <c r="E67" s="552">
        <f>SUM(E68:E71)</f>
        <v>0</v>
      </c>
      <c r="F67" s="170">
        <f>SUM(F68:F71)</f>
        <v>0</v>
      </c>
      <c r="G67" s="170">
        <f>SUM(G68:G71)</f>
        <v>0</v>
      </c>
    </row>
    <row r="68" spans="1:7" s="553" customFormat="1" ht="12" customHeight="1">
      <c r="A68" s="14" t="s">
        <v>161</v>
      </c>
      <c r="B68" s="255" t="s">
        <v>297</v>
      </c>
      <c r="C68" s="726"/>
      <c r="D68" s="250">
        <f>SUM(E68:G68)</f>
        <v>0</v>
      </c>
      <c r="E68" s="498"/>
      <c r="F68" s="174"/>
      <c r="G68" s="174"/>
    </row>
    <row r="69" spans="1:7" s="553" customFormat="1" ht="17.25" customHeight="1">
      <c r="A69" s="13" t="s">
        <v>162</v>
      </c>
      <c r="B69" s="256" t="s">
        <v>298</v>
      </c>
      <c r="C69" s="726"/>
      <c r="D69" s="749">
        <f>SUM(E69:G69)</f>
        <v>0</v>
      </c>
      <c r="E69" s="498"/>
      <c r="F69" s="174"/>
      <c r="G69" s="174"/>
    </row>
    <row r="70" spans="1:7" s="553" customFormat="1" ht="12" customHeight="1">
      <c r="A70" s="13" t="s">
        <v>323</v>
      </c>
      <c r="B70" s="256" t="s">
        <v>299</v>
      </c>
      <c r="C70" s="726"/>
      <c r="D70" s="749">
        <f>SUM(E70:G70)</f>
        <v>0</v>
      </c>
      <c r="E70" s="498"/>
      <c r="F70" s="174"/>
      <c r="G70" s="174"/>
    </row>
    <row r="71" spans="1:7" s="553" customFormat="1" ht="12" customHeight="1" thickBot="1">
      <c r="A71" s="15" t="s">
        <v>324</v>
      </c>
      <c r="B71" s="167" t="s">
        <v>300</v>
      </c>
      <c r="C71" s="726"/>
      <c r="D71" s="750">
        <f>SUM(E71:G71)</f>
        <v>0</v>
      </c>
      <c r="E71" s="498"/>
      <c r="F71" s="174"/>
      <c r="G71" s="174"/>
    </row>
    <row r="72" spans="1:7" s="553" customFormat="1" ht="12" customHeight="1" thickBot="1">
      <c r="A72" s="478" t="s">
        <v>301</v>
      </c>
      <c r="B72" s="165" t="s">
        <v>302</v>
      </c>
      <c r="C72" s="721">
        <f>SUM(C73:C74)</f>
        <v>264948000</v>
      </c>
      <c r="D72" s="170">
        <f>SUM(D73:D74)</f>
        <v>292999415</v>
      </c>
      <c r="E72" s="552">
        <f>SUM(E73:E74)</f>
        <v>289331423</v>
      </c>
      <c r="F72" s="170">
        <f>SUM(F73:F74)</f>
        <v>447404</v>
      </c>
      <c r="G72" s="170">
        <f>SUM(G73:G74)</f>
        <v>3220588</v>
      </c>
    </row>
    <row r="73" spans="1:7" s="553" customFormat="1" ht="12" customHeight="1">
      <c r="A73" s="14" t="s">
        <v>325</v>
      </c>
      <c r="B73" s="255" t="s">
        <v>303</v>
      </c>
      <c r="C73" s="726">
        <v>264948000</v>
      </c>
      <c r="D73" s="250">
        <f>SUM(E73:G73)</f>
        <v>292999415</v>
      </c>
      <c r="E73" s="498">
        <v>289331423</v>
      </c>
      <c r="F73" s="174">
        <v>447404</v>
      </c>
      <c r="G73" s="174">
        <v>3220588</v>
      </c>
    </row>
    <row r="74" spans="1:7" s="553" customFormat="1" ht="12" customHeight="1" thickBot="1">
      <c r="A74" s="15" t="s">
        <v>326</v>
      </c>
      <c r="B74" s="167" t="s">
        <v>304</v>
      </c>
      <c r="C74" s="726"/>
      <c r="D74" s="750">
        <f>SUM(E74:G74)</f>
        <v>0</v>
      </c>
      <c r="E74" s="498"/>
      <c r="F74" s="174"/>
      <c r="G74" s="174"/>
    </row>
    <row r="75" spans="1:7" s="553" customFormat="1" ht="12" customHeight="1" thickBot="1">
      <c r="A75" s="478" t="s">
        <v>305</v>
      </c>
      <c r="B75" s="165" t="s">
        <v>306</v>
      </c>
      <c r="C75" s="721">
        <f>SUM(C76:C78)</f>
        <v>0</v>
      </c>
      <c r="D75" s="751">
        <f>SUM(D76:D78)</f>
        <v>0</v>
      </c>
      <c r="E75" s="552">
        <f>SUM(E76:E78)</f>
        <v>0</v>
      </c>
      <c r="F75" s="170">
        <f>SUM(F76:F78)</f>
        <v>0</v>
      </c>
      <c r="G75" s="170">
        <f>SUM(G76:G78)</f>
        <v>0</v>
      </c>
    </row>
    <row r="76" spans="1:7" s="553" customFormat="1" ht="12" customHeight="1">
      <c r="A76" s="14" t="s">
        <v>327</v>
      </c>
      <c r="B76" s="255" t="s">
        <v>307</v>
      </c>
      <c r="C76" s="726"/>
      <c r="D76" s="250">
        <f>SUM(E76:G76)</f>
        <v>0</v>
      </c>
      <c r="E76" s="498"/>
      <c r="F76" s="174"/>
      <c r="G76" s="174"/>
    </row>
    <row r="77" spans="1:7" s="553" customFormat="1" ht="12" customHeight="1">
      <c r="A77" s="13" t="s">
        <v>328</v>
      </c>
      <c r="B77" s="256" t="s">
        <v>308</v>
      </c>
      <c r="C77" s="726"/>
      <c r="D77" s="749">
        <f>SUM(E77:G77)</f>
        <v>0</v>
      </c>
      <c r="E77" s="498"/>
      <c r="F77" s="174"/>
      <c r="G77" s="174"/>
    </row>
    <row r="78" spans="1:7" s="553" customFormat="1" ht="12" customHeight="1" thickBot="1">
      <c r="A78" s="15" t="s">
        <v>329</v>
      </c>
      <c r="B78" s="167" t="s">
        <v>309</v>
      </c>
      <c r="C78" s="726"/>
      <c r="D78" s="750">
        <f>SUM(E78:G78)</f>
        <v>0</v>
      </c>
      <c r="E78" s="498"/>
      <c r="F78" s="174"/>
      <c r="G78" s="174"/>
    </row>
    <row r="79" spans="1:7" s="553" customFormat="1" ht="12" customHeight="1" thickBot="1">
      <c r="A79" s="478" t="s">
        <v>310</v>
      </c>
      <c r="B79" s="165" t="s">
        <v>330</v>
      </c>
      <c r="C79" s="721">
        <f>SUM(C80:C83)</f>
        <v>0</v>
      </c>
      <c r="D79" s="751">
        <f>SUM(D80:D83)</f>
        <v>0</v>
      </c>
      <c r="E79" s="552">
        <f>SUM(E80:E83)</f>
        <v>0</v>
      </c>
      <c r="F79" s="170">
        <f>SUM(F80:F83)</f>
        <v>0</v>
      </c>
      <c r="G79" s="170">
        <f>SUM(G80:G83)</f>
        <v>0</v>
      </c>
    </row>
    <row r="80" spans="1:7" s="553" customFormat="1" ht="12" customHeight="1">
      <c r="A80" s="259" t="s">
        <v>311</v>
      </c>
      <c r="B80" s="255" t="s">
        <v>312</v>
      </c>
      <c r="C80" s="726"/>
      <c r="D80" s="250">
        <f aca="true" t="shared" si="0" ref="D80:D85">SUM(E80:G80)</f>
        <v>0</v>
      </c>
      <c r="E80" s="498"/>
      <c r="F80" s="174"/>
      <c r="G80" s="174"/>
    </row>
    <row r="81" spans="1:7" s="553" customFormat="1" ht="12" customHeight="1">
      <c r="A81" s="260" t="s">
        <v>313</v>
      </c>
      <c r="B81" s="256" t="s">
        <v>314</v>
      </c>
      <c r="C81" s="726"/>
      <c r="D81" s="749">
        <f t="shared" si="0"/>
        <v>0</v>
      </c>
      <c r="E81" s="498"/>
      <c r="F81" s="174"/>
      <c r="G81" s="174"/>
    </row>
    <row r="82" spans="1:7" s="553" customFormat="1" ht="12" customHeight="1">
      <c r="A82" s="260" t="s">
        <v>315</v>
      </c>
      <c r="B82" s="256" t="s">
        <v>316</v>
      </c>
      <c r="C82" s="726"/>
      <c r="D82" s="749">
        <f t="shared" si="0"/>
        <v>0</v>
      </c>
      <c r="E82" s="498"/>
      <c r="F82" s="174"/>
      <c r="G82" s="174"/>
    </row>
    <row r="83" spans="1:7" s="553" customFormat="1" ht="12" customHeight="1" thickBot="1">
      <c r="A83" s="261" t="s">
        <v>317</v>
      </c>
      <c r="B83" s="167" t="s">
        <v>318</v>
      </c>
      <c r="C83" s="726"/>
      <c r="D83" s="750">
        <f t="shared" si="0"/>
        <v>0</v>
      </c>
      <c r="E83" s="498"/>
      <c r="F83" s="174"/>
      <c r="G83" s="174"/>
    </row>
    <row r="84" spans="1:7" s="553" customFormat="1" ht="12" customHeight="1" thickBot="1">
      <c r="A84" s="478" t="s">
        <v>319</v>
      </c>
      <c r="B84" s="165" t="s">
        <v>513</v>
      </c>
      <c r="C84" s="729"/>
      <c r="D84" s="169">
        <f t="shared" si="0"/>
        <v>0</v>
      </c>
      <c r="E84" s="560"/>
      <c r="F84" s="294"/>
      <c r="G84" s="294"/>
    </row>
    <row r="85" spans="1:7" s="553" customFormat="1" ht="12" customHeight="1" thickBot="1">
      <c r="A85" s="478" t="s">
        <v>321</v>
      </c>
      <c r="B85" s="165" t="s">
        <v>320</v>
      </c>
      <c r="C85" s="729"/>
      <c r="D85" s="170">
        <f t="shared" si="0"/>
        <v>0</v>
      </c>
      <c r="E85" s="560"/>
      <c r="F85" s="294"/>
      <c r="G85" s="294"/>
    </row>
    <row r="86" spans="1:7" s="553" customFormat="1" ht="12" customHeight="1" thickBot="1">
      <c r="A86" s="478" t="s">
        <v>333</v>
      </c>
      <c r="B86" s="262" t="s">
        <v>514</v>
      </c>
      <c r="C86" s="725">
        <f>+C63+C67+C72+C75+C79+C85+C84</f>
        <v>425251000</v>
      </c>
      <c r="D86" s="170">
        <f>D85+D84+D79+D75+D72+D67+D63</f>
        <v>474999415</v>
      </c>
      <c r="E86" s="556">
        <f>+E63+E67+E72+E75+E79+E85+E84</f>
        <v>433431423</v>
      </c>
      <c r="F86" s="175">
        <f>+F63+F67+F72+F75+F79+F85+F84</f>
        <v>447404</v>
      </c>
      <c r="G86" s="175">
        <f>+G63+G67+G72+G75+G79+G85+G84</f>
        <v>3220588</v>
      </c>
    </row>
    <row r="87" spans="1:7" s="553" customFormat="1" ht="12" customHeight="1" thickBot="1">
      <c r="A87" s="480" t="s">
        <v>515</v>
      </c>
      <c r="B87" s="263" t="s">
        <v>516</v>
      </c>
      <c r="C87" s="725">
        <f>+C62+C86</f>
        <v>3178458000</v>
      </c>
      <c r="D87" s="170">
        <f>D62+D86</f>
        <v>3274331886</v>
      </c>
      <c r="E87" s="556">
        <f>+E62+E86</f>
        <v>2205248123</v>
      </c>
      <c r="F87" s="175">
        <f>+F62+F86</f>
        <v>9863904</v>
      </c>
      <c r="G87" s="175">
        <f>+G62+G86</f>
        <v>398543766</v>
      </c>
    </row>
    <row r="88" spans="1:4" s="553" customFormat="1" ht="12" customHeight="1">
      <c r="A88" s="561"/>
      <c r="B88" s="562"/>
      <c r="C88" s="563"/>
      <c r="D88" s="746"/>
    </row>
    <row r="89" spans="1:4" s="553" customFormat="1" ht="12" customHeight="1">
      <c r="A89" s="902" t="s">
        <v>71</v>
      </c>
      <c r="B89" s="902"/>
      <c r="C89" s="902"/>
      <c r="D89" s="902"/>
    </row>
    <row r="90" spans="1:4" s="553" customFormat="1" ht="12" customHeight="1" thickBot="1">
      <c r="A90" s="903" t="s">
        <v>164</v>
      </c>
      <c r="B90" s="903"/>
      <c r="C90" s="543"/>
      <c r="D90" s="179" t="str">
        <f>D2</f>
        <v>Forintban!</v>
      </c>
    </row>
    <row r="91" spans="1:4" s="553" customFormat="1" ht="24" customHeight="1" thickBot="1">
      <c r="A91" s="22" t="s">
        <v>41</v>
      </c>
      <c r="B91" s="23" t="s">
        <v>72</v>
      </c>
      <c r="C91" s="23" t="str">
        <f>+C3</f>
        <v>2016. évi módosított előirányzat</v>
      </c>
      <c r="D91" s="548" t="str">
        <f>+D3</f>
        <v>2017. évi előirányzat</v>
      </c>
    </row>
    <row r="92" spans="1:4" s="553" customFormat="1" ht="12" customHeight="1" thickBot="1">
      <c r="A92" s="27" t="s">
        <v>500</v>
      </c>
      <c r="B92" s="28" t="s">
        <v>501</v>
      </c>
      <c r="C92" s="28" t="s">
        <v>555</v>
      </c>
      <c r="D92" s="549" t="s">
        <v>556</v>
      </c>
    </row>
    <row r="93" spans="1:7" s="553" customFormat="1" ht="15" customHeight="1" thickBot="1">
      <c r="A93" s="21" t="s">
        <v>43</v>
      </c>
      <c r="B93" s="26" t="s">
        <v>554</v>
      </c>
      <c r="C93" s="747">
        <f>C94+C95+C96+C97+C98+C111</f>
        <v>2906143000</v>
      </c>
      <c r="D93" s="752">
        <f>SUM(D94:D98)+SUM(D111)</f>
        <v>2842355965</v>
      </c>
      <c r="E93" s="564">
        <f>+E94+E95+E96+E97+E98+E111</f>
        <v>694146130</v>
      </c>
      <c r="F93" s="169">
        <f>+F94+F95+F96+F97+F98+F111</f>
        <v>223822850</v>
      </c>
      <c r="G93" s="656">
        <f>G94+G95+G96+G97+G98+G111</f>
        <v>1388014694</v>
      </c>
    </row>
    <row r="94" spans="1:7" s="553" customFormat="1" ht="12.75" customHeight="1">
      <c r="A94" s="16" t="s">
        <v>122</v>
      </c>
      <c r="B94" s="9" t="s">
        <v>73</v>
      </c>
      <c r="C94" s="730">
        <v>1371432000</v>
      </c>
      <c r="D94" s="773">
        <f>SUM(E94:G94)+252096521+85501355+27232396-1393308+7410662</f>
        <v>1350158197</v>
      </c>
      <c r="E94" s="659">
        <f>25364000+485000+6010000+3749000+165142000+48000+105000</f>
        <v>200903000</v>
      </c>
      <c r="F94" s="517">
        <v>119212000</v>
      </c>
      <c r="G94" s="526">
        <v>659195571</v>
      </c>
    </row>
    <row r="95" spans="1:7" ht="16.5" customHeight="1">
      <c r="A95" s="13" t="s">
        <v>123</v>
      </c>
      <c r="B95" s="7" t="s">
        <v>184</v>
      </c>
      <c r="C95" s="723">
        <v>295923000</v>
      </c>
      <c r="D95" s="774">
        <f>SUM(E95:G95)+28812821+9405149+5800271-280382+2089507-570939</f>
        <v>256023788</v>
      </c>
      <c r="E95" s="498">
        <f>5239000+143000+1233000+14000+1652000+19299000+10000+23000</f>
        <v>27613000</v>
      </c>
      <c r="F95" s="174">
        <v>28323500</v>
      </c>
      <c r="G95" s="502">
        <v>154830861</v>
      </c>
    </row>
    <row r="96" spans="1:7" ht="15.75">
      <c r="A96" s="13" t="s">
        <v>124</v>
      </c>
      <c r="B96" s="7" t="s">
        <v>153</v>
      </c>
      <c r="C96" s="724">
        <v>893999000</v>
      </c>
      <c r="D96" s="774">
        <f>SUM(E96:G96)+41579904+1600000+22320920+28158088+9295882+11813400+570939</f>
        <v>967736575</v>
      </c>
      <c r="E96" s="508">
        <f>11475000+835000+4801000+2722822+944166+8715000+1817000+17736000+735000+300000+8485000+34925000+628800+40773000+3429000+11212000+576000+3351000+1682000+16980000+46750042+1200000+4573000+1350000+376000</f>
        <v>226371830</v>
      </c>
      <c r="F96" s="244">
        <v>52037350</v>
      </c>
      <c r="G96" s="502">
        <v>573988262</v>
      </c>
    </row>
    <row r="97" spans="1:7" s="550" customFormat="1" ht="12" customHeight="1">
      <c r="A97" s="13" t="s">
        <v>125</v>
      </c>
      <c r="B97" s="10" t="s">
        <v>185</v>
      </c>
      <c r="C97" s="724">
        <v>76171000</v>
      </c>
      <c r="D97" s="771">
        <f>SUM(E97:G97)</f>
        <v>95230000</v>
      </c>
      <c r="E97" s="508">
        <f>70980000</f>
        <v>70980000</v>
      </c>
      <c r="F97" s="244">
        <v>24250000</v>
      </c>
      <c r="G97" s="525"/>
    </row>
    <row r="98" spans="1:7" ht="12" customHeight="1">
      <c r="A98" s="13" t="s">
        <v>136</v>
      </c>
      <c r="B98" s="18" t="s">
        <v>186</v>
      </c>
      <c r="C98" s="724">
        <v>183928000</v>
      </c>
      <c r="D98" s="771">
        <f>SUM(E98:G98)+1500+3500000+6600000+9302798</f>
        <v>56569298</v>
      </c>
      <c r="E98" s="508">
        <f>SUM(E99:E110)</f>
        <v>37165000</v>
      </c>
      <c r="F98" s="244">
        <f>SUM(F99:F110)</f>
        <v>0</v>
      </c>
      <c r="G98" s="525"/>
    </row>
    <row r="99" spans="1:7" ht="12" customHeight="1">
      <c r="A99" s="13" t="s">
        <v>126</v>
      </c>
      <c r="B99" s="7" t="s">
        <v>517</v>
      </c>
      <c r="C99" s="724">
        <v>6599000</v>
      </c>
      <c r="D99" s="771">
        <f>SUM(E99:G99)+1500+7242044</f>
        <v>7243544</v>
      </c>
      <c r="E99" s="508"/>
      <c r="F99" s="244"/>
      <c r="G99" s="525"/>
    </row>
    <row r="100" spans="1:7" ht="12" customHeight="1">
      <c r="A100" s="13" t="s">
        <v>127</v>
      </c>
      <c r="B100" s="94" t="s">
        <v>518</v>
      </c>
      <c r="C100" s="724"/>
      <c r="D100" s="771">
        <f>SUM(E100:G100)</f>
        <v>0</v>
      </c>
      <c r="E100" s="508"/>
      <c r="F100" s="244"/>
      <c r="G100" s="525"/>
    </row>
    <row r="101" spans="1:7" ht="12" customHeight="1">
      <c r="A101" s="13" t="s">
        <v>137</v>
      </c>
      <c r="B101" s="94" t="s">
        <v>519</v>
      </c>
      <c r="C101" s="724"/>
      <c r="D101" s="771">
        <f>SUM(E101:G101)</f>
        <v>0</v>
      </c>
      <c r="E101" s="508"/>
      <c r="F101" s="244"/>
      <c r="G101" s="525"/>
    </row>
    <row r="102" spans="1:7" ht="12" customHeight="1">
      <c r="A102" s="13" t="s">
        <v>138</v>
      </c>
      <c r="B102" s="92" t="s">
        <v>336</v>
      </c>
      <c r="C102" s="724"/>
      <c r="D102" s="771">
        <f>SUM(E102:G102)</f>
        <v>0</v>
      </c>
      <c r="E102" s="508"/>
      <c r="F102" s="244"/>
      <c r="G102" s="525"/>
    </row>
    <row r="103" spans="1:7" ht="12" customHeight="1">
      <c r="A103" s="13" t="s">
        <v>139</v>
      </c>
      <c r="B103" s="93" t="s">
        <v>337</v>
      </c>
      <c r="C103" s="724"/>
      <c r="D103" s="771">
        <f>SUM(E103:G103)</f>
        <v>0</v>
      </c>
      <c r="E103" s="508"/>
      <c r="F103" s="244"/>
      <c r="G103" s="525"/>
    </row>
    <row r="104" spans="1:7" ht="12" customHeight="1">
      <c r="A104" s="13" t="s">
        <v>140</v>
      </c>
      <c r="B104" s="93" t="s">
        <v>338</v>
      </c>
      <c r="C104" s="724"/>
      <c r="D104" s="771">
        <f>SUM(E104:G104)</f>
        <v>0</v>
      </c>
      <c r="E104" s="508"/>
      <c r="F104" s="244"/>
      <c r="G104" s="525"/>
    </row>
    <row r="105" spans="1:7" ht="12" customHeight="1">
      <c r="A105" s="13" t="s">
        <v>142</v>
      </c>
      <c r="B105" s="92" t="s">
        <v>339</v>
      </c>
      <c r="C105" s="724">
        <v>113427000</v>
      </c>
      <c r="D105" s="771">
        <f>SUM(E105:G105)+60754</f>
        <v>60754</v>
      </c>
      <c r="E105" s="508"/>
      <c r="F105" s="244"/>
      <c r="G105" s="525"/>
    </row>
    <row r="106" spans="1:7" ht="12" customHeight="1">
      <c r="A106" s="13" t="s">
        <v>187</v>
      </c>
      <c r="B106" s="92" t="s">
        <v>340</v>
      </c>
      <c r="C106" s="724"/>
      <c r="D106" s="771">
        <f>SUM(E106:G106)</f>
        <v>0</v>
      </c>
      <c r="E106" s="508"/>
      <c r="F106" s="244"/>
      <c r="G106" s="525"/>
    </row>
    <row r="107" spans="1:7" ht="12" customHeight="1">
      <c r="A107" s="13" t="s">
        <v>334</v>
      </c>
      <c r="B107" s="93" t="s">
        <v>341</v>
      </c>
      <c r="C107" s="724"/>
      <c r="D107" s="771">
        <f>SUM(E107:G107)</f>
        <v>0</v>
      </c>
      <c r="E107" s="508"/>
      <c r="F107" s="244"/>
      <c r="G107" s="525"/>
    </row>
    <row r="108" spans="1:7" ht="12" customHeight="1">
      <c r="A108" s="12" t="s">
        <v>335</v>
      </c>
      <c r="B108" s="94" t="s">
        <v>342</v>
      </c>
      <c r="C108" s="724"/>
      <c r="D108" s="771">
        <f>SUM(E108:G108)</f>
        <v>0</v>
      </c>
      <c r="E108" s="508"/>
      <c r="F108" s="244"/>
      <c r="G108" s="525"/>
    </row>
    <row r="109" spans="1:7" ht="12" customHeight="1">
      <c r="A109" s="13" t="s">
        <v>520</v>
      </c>
      <c r="B109" s="94" t="s">
        <v>343</v>
      </c>
      <c r="C109" s="724"/>
      <c r="D109" s="771">
        <f>SUM(E109:G109)</f>
        <v>0</v>
      </c>
      <c r="E109" s="508"/>
      <c r="F109" s="244"/>
      <c r="G109" s="525"/>
    </row>
    <row r="110" spans="1:7" ht="12" customHeight="1">
      <c r="A110" s="15" t="s">
        <v>521</v>
      </c>
      <c r="B110" s="94" t="s">
        <v>344</v>
      </c>
      <c r="C110" s="724">
        <v>63902000</v>
      </c>
      <c r="D110" s="771">
        <f>SUM(E110:G110)+3500000+6600000+2000000</f>
        <v>49265000</v>
      </c>
      <c r="E110" s="498">
        <f>536000+11389000+8562000+16678000</f>
        <v>37165000</v>
      </c>
      <c r="F110" s="174"/>
      <c r="G110" s="525"/>
    </row>
    <row r="111" spans="1:7" ht="12" customHeight="1">
      <c r="A111" s="13" t="s">
        <v>522</v>
      </c>
      <c r="B111" s="10" t="s">
        <v>74</v>
      </c>
      <c r="C111" s="723">
        <v>84690000</v>
      </c>
      <c r="D111" s="771">
        <f>SUM(D112:D113)</f>
        <v>116638107</v>
      </c>
      <c r="E111" s="498">
        <f>E112+E113</f>
        <v>131113300</v>
      </c>
      <c r="F111" s="174"/>
      <c r="G111" s="502">
        <f>G112+G113</f>
        <v>0</v>
      </c>
    </row>
    <row r="112" spans="1:7" ht="12" customHeight="1">
      <c r="A112" s="13" t="s">
        <v>523</v>
      </c>
      <c r="B112" s="7" t="s">
        <v>524</v>
      </c>
      <c r="C112" s="723">
        <v>908000</v>
      </c>
      <c r="D112" s="774">
        <f>SUM(E112:G112)-9172313+8719388-4010722-1042502</f>
        <v>14493851</v>
      </c>
      <c r="E112" s="508">
        <v>20000000</v>
      </c>
      <c r="F112" s="244"/>
      <c r="G112" s="502"/>
    </row>
    <row r="113" spans="1:7" ht="12" customHeight="1" thickBot="1">
      <c r="A113" s="17" t="s">
        <v>525</v>
      </c>
      <c r="B113" s="481" t="s">
        <v>526</v>
      </c>
      <c r="C113" s="731">
        <v>83782000</v>
      </c>
      <c r="D113" s="775">
        <f>SUM(E113:G113)-8373330-1600000-8539600-6323156-7948000-7343244+31158286</f>
        <v>102144256</v>
      </c>
      <c r="E113" s="660">
        <f>110613300+500000</f>
        <v>111113300</v>
      </c>
      <c r="F113" s="529"/>
      <c r="G113" s="527"/>
    </row>
    <row r="114" spans="1:7" ht="12" customHeight="1" thickBot="1">
      <c r="A114" s="482" t="s">
        <v>44</v>
      </c>
      <c r="B114" s="483" t="s">
        <v>345</v>
      </c>
      <c r="C114" s="748">
        <f>+C115+C117+C119</f>
        <v>135468000</v>
      </c>
      <c r="D114" s="752">
        <f>D115+D117+D119</f>
        <v>293649989</v>
      </c>
      <c r="E114" s="552">
        <f>+E115+E117+E119</f>
        <v>158172900</v>
      </c>
      <c r="F114" s="170">
        <f>+F115+F117+F119</f>
        <v>1901000</v>
      </c>
      <c r="G114" s="484">
        <f>+G115+G117+G119</f>
        <v>9272287</v>
      </c>
    </row>
    <row r="115" spans="1:7" ht="12" customHeight="1">
      <c r="A115" s="14" t="s">
        <v>128</v>
      </c>
      <c r="B115" s="7" t="s">
        <v>208</v>
      </c>
      <c r="C115" s="722">
        <v>78647000</v>
      </c>
      <c r="D115" s="773">
        <f>SUM(E115:G115)+15239176+979170-265000+63976+93988736</f>
        <v>157122245</v>
      </c>
      <c r="E115" s="559">
        <f>6621000+2963001+787402+10624171+3081125+300001+529000+1654000+447000+2237000+90200+6604000+301000+204000</f>
        <v>36442900</v>
      </c>
      <c r="F115" s="293">
        <v>1901000</v>
      </c>
      <c r="G115" s="528">
        <v>8772287</v>
      </c>
    </row>
    <row r="116" spans="1:7" ht="15.75">
      <c r="A116" s="14" t="s">
        <v>129</v>
      </c>
      <c r="B116" s="11" t="s">
        <v>349</v>
      </c>
      <c r="C116" s="722"/>
      <c r="D116" s="774">
        <f>SUM(E116:G116)-1000000+87765636</f>
        <v>101258334</v>
      </c>
      <c r="E116" s="559">
        <v>14492698</v>
      </c>
      <c r="F116" s="293"/>
      <c r="G116" s="528"/>
    </row>
    <row r="117" spans="1:7" ht="12" customHeight="1">
      <c r="A117" s="14" t="s">
        <v>130</v>
      </c>
      <c r="B117" s="11" t="s">
        <v>188</v>
      </c>
      <c r="C117" s="723">
        <v>46476000</v>
      </c>
      <c r="D117" s="774">
        <f>SUM(E117:G117)-134607+7509510+735000+1000000+839841</f>
        <v>90107744</v>
      </c>
      <c r="E117" s="498">
        <f>53340000+21000000+1513000+2996000+809000</f>
        <v>79658000</v>
      </c>
      <c r="F117" s="174"/>
      <c r="G117" s="502">
        <v>500000</v>
      </c>
    </row>
    <row r="118" spans="1:7" ht="12" customHeight="1">
      <c r="A118" s="14" t="s">
        <v>131</v>
      </c>
      <c r="B118" s="11" t="s">
        <v>350</v>
      </c>
      <c r="C118" s="723"/>
      <c r="D118" s="771">
        <f>SUM(E118:G118)+1000000</f>
        <v>54340000</v>
      </c>
      <c r="E118" s="498">
        <v>53340000</v>
      </c>
      <c r="F118" s="521"/>
      <c r="G118" s="498"/>
    </row>
    <row r="119" spans="1:7" ht="12" customHeight="1">
      <c r="A119" s="14" t="s">
        <v>132</v>
      </c>
      <c r="B119" s="167" t="s">
        <v>210</v>
      </c>
      <c r="C119" s="723">
        <v>10345000</v>
      </c>
      <c r="D119" s="771">
        <f>SUM(E119:G119)+2400000+1348000+600000</f>
        <v>46420000</v>
      </c>
      <c r="E119" s="498">
        <f>SUM(E120:E127)</f>
        <v>42072000</v>
      </c>
      <c r="F119" s="498"/>
      <c r="G119" s="498"/>
    </row>
    <row r="120" spans="1:7" ht="12" customHeight="1">
      <c r="A120" s="14" t="s">
        <v>141</v>
      </c>
      <c r="B120" s="166" t="s">
        <v>412</v>
      </c>
      <c r="C120" s="723"/>
      <c r="D120" s="771">
        <f aca="true" t="shared" si="1" ref="D120:D126">SUM(E120:G120)</f>
        <v>0</v>
      </c>
      <c r="E120" s="153"/>
      <c r="F120" s="153"/>
      <c r="G120" s="498"/>
    </row>
    <row r="121" spans="1:7" ht="12" customHeight="1">
      <c r="A121" s="14" t="s">
        <v>143</v>
      </c>
      <c r="B121" s="251" t="s">
        <v>355</v>
      </c>
      <c r="C121" s="723"/>
      <c r="D121" s="771">
        <f t="shared" si="1"/>
        <v>0</v>
      </c>
      <c r="E121" s="153"/>
      <c r="F121" s="153"/>
      <c r="G121" s="498"/>
    </row>
    <row r="122" spans="1:7" ht="12" customHeight="1">
      <c r="A122" s="14" t="s">
        <v>189</v>
      </c>
      <c r="B122" s="93" t="s">
        <v>338</v>
      </c>
      <c r="C122" s="723"/>
      <c r="D122" s="771">
        <f t="shared" si="1"/>
        <v>0</v>
      </c>
      <c r="E122" s="153"/>
      <c r="F122" s="153"/>
      <c r="G122" s="498"/>
    </row>
    <row r="123" spans="1:7" ht="12" customHeight="1">
      <c r="A123" s="14" t="s">
        <v>190</v>
      </c>
      <c r="B123" s="93" t="s">
        <v>354</v>
      </c>
      <c r="C123" s="723"/>
      <c r="D123" s="771">
        <f t="shared" si="1"/>
        <v>0</v>
      </c>
      <c r="E123" s="153"/>
      <c r="F123" s="153"/>
      <c r="G123" s="498"/>
    </row>
    <row r="124" spans="1:7" ht="12" customHeight="1">
      <c r="A124" s="14" t="s">
        <v>191</v>
      </c>
      <c r="B124" s="93" t="s">
        <v>353</v>
      </c>
      <c r="C124" s="723"/>
      <c r="D124" s="771">
        <f t="shared" si="1"/>
        <v>0</v>
      </c>
      <c r="E124" s="153"/>
      <c r="F124" s="153"/>
      <c r="G124" s="498"/>
    </row>
    <row r="125" spans="1:7" ht="12" customHeight="1">
      <c r="A125" s="14" t="s">
        <v>346</v>
      </c>
      <c r="B125" s="93" t="s">
        <v>341</v>
      </c>
      <c r="C125" s="723"/>
      <c r="D125" s="771">
        <f t="shared" si="1"/>
        <v>0</v>
      </c>
      <c r="E125" s="153"/>
      <c r="F125" s="153"/>
      <c r="G125" s="498"/>
    </row>
    <row r="126" spans="1:7" ht="12" customHeight="1">
      <c r="A126" s="14" t="s">
        <v>347</v>
      </c>
      <c r="B126" s="93" t="s">
        <v>352</v>
      </c>
      <c r="C126" s="723"/>
      <c r="D126" s="771">
        <f t="shared" si="1"/>
        <v>0</v>
      </c>
      <c r="E126" s="153"/>
      <c r="F126" s="153"/>
      <c r="G126" s="498"/>
    </row>
    <row r="127" spans="1:7" ht="12" customHeight="1" thickBot="1">
      <c r="A127" s="12" t="s">
        <v>348</v>
      </c>
      <c r="B127" s="93" t="s">
        <v>351</v>
      </c>
      <c r="C127" s="724">
        <v>10345000</v>
      </c>
      <c r="D127" s="772">
        <f>SUM(E127:G127)+2400000+1348000+600000</f>
        <v>46420000</v>
      </c>
      <c r="E127" s="508">
        <v>42072000</v>
      </c>
      <c r="F127" s="508"/>
      <c r="G127" s="508"/>
    </row>
    <row r="128" spans="1:7" ht="12" customHeight="1" thickBot="1">
      <c r="A128" s="19" t="s">
        <v>45</v>
      </c>
      <c r="B128" s="88" t="s">
        <v>527</v>
      </c>
      <c r="C128" s="551">
        <f>+C93+C114</f>
        <v>3041611000</v>
      </c>
      <c r="D128" s="752">
        <f>D114+D93</f>
        <v>3136005954</v>
      </c>
      <c r="E128" s="552">
        <f>+E93+E114</f>
        <v>852319030</v>
      </c>
      <c r="F128" s="170">
        <f>+F93+F114</f>
        <v>225723850</v>
      </c>
      <c r="G128" s="170">
        <f>+G93+G114</f>
        <v>1397286981</v>
      </c>
    </row>
    <row r="129" spans="1:7" ht="12" customHeight="1" thickBot="1">
      <c r="A129" s="19" t="s">
        <v>46</v>
      </c>
      <c r="B129" s="88" t="s">
        <v>528</v>
      </c>
      <c r="C129" s="551">
        <f>+C130+C131+C132</f>
        <v>103545000</v>
      </c>
      <c r="D129" s="752">
        <f>SUM(D130:D132)</f>
        <v>103161000</v>
      </c>
      <c r="E129" s="552">
        <f>+E130+E131+E132</f>
        <v>103161000</v>
      </c>
      <c r="F129" s="170">
        <f>+F130+F131+F132</f>
        <v>0</v>
      </c>
      <c r="G129" s="170">
        <f>+G130+G131+G132</f>
        <v>0</v>
      </c>
    </row>
    <row r="130" spans="1:7" ht="12" customHeight="1">
      <c r="A130" s="14" t="s">
        <v>246</v>
      </c>
      <c r="B130" s="11" t="s">
        <v>529</v>
      </c>
      <c r="C130" s="723">
        <v>3545000</v>
      </c>
      <c r="D130" s="754">
        <f>SUM(E130:G130)</f>
        <v>3161000</v>
      </c>
      <c r="E130" s="498">
        <v>3161000</v>
      </c>
      <c r="F130" s="498"/>
      <c r="G130" s="498"/>
    </row>
    <row r="131" spans="1:7" ht="12" customHeight="1">
      <c r="A131" s="14" t="s">
        <v>249</v>
      </c>
      <c r="B131" s="11" t="s">
        <v>530</v>
      </c>
      <c r="C131" s="723">
        <v>100000000</v>
      </c>
      <c r="D131" s="753">
        <f>SUM(E131:G131)</f>
        <v>100000000</v>
      </c>
      <c r="E131" s="153">
        <v>100000000</v>
      </c>
      <c r="F131" s="153"/>
      <c r="G131" s="153"/>
    </row>
    <row r="132" spans="1:7" ht="12" customHeight="1" thickBot="1">
      <c r="A132" s="12" t="s">
        <v>250</v>
      </c>
      <c r="B132" s="11" t="s">
        <v>531</v>
      </c>
      <c r="C132" s="723"/>
      <c r="D132" s="755">
        <f>SUM(E132:G132)</f>
        <v>0</v>
      </c>
      <c r="E132" s="153"/>
      <c r="F132" s="153"/>
      <c r="G132" s="153"/>
    </row>
    <row r="133" spans="1:7" ht="12" customHeight="1" thickBot="1">
      <c r="A133" s="19" t="s">
        <v>47</v>
      </c>
      <c r="B133" s="88" t="s">
        <v>532</v>
      </c>
      <c r="C133" s="551">
        <f>SUM(C134:C139)</f>
        <v>0</v>
      </c>
      <c r="D133" s="756">
        <f>SUM(D134:D139)</f>
        <v>0</v>
      </c>
      <c r="E133" s="552">
        <f>+E134+E135+E136+E137+E138+E139</f>
        <v>0</v>
      </c>
      <c r="F133" s="170">
        <f>+F134+F135+F136+F137+F138+F139</f>
        <v>0</v>
      </c>
      <c r="G133" s="170">
        <f>SUM(G134:G139)</f>
        <v>0</v>
      </c>
    </row>
    <row r="134" spans="1:7" ht="12" customHeight="1">
      <c r="A134" s="14" t="s">
        <v>115</v>
      </c>
      <c r="B134" s="8" t="s">
        <v>533</v>
      </c>
      <c r="C134" s="723"/>
      <c r="D134" s="754">
        <f aca="true" t="shared" si="2" ref="D134:D139">SUM(E134:G134)</f>
        <v>0</v>
      </c>
      <c r="E134" s="153"/>
      <c r="F134" s="153"/>
      <c r="G134" s="153"/>
    </row>
    <row r="135" spans="1:7" ht="12" customHeight="1">
      <c r="A135" s="14" t="s">
        <v>116</v>
      </c>
      <c r="B135" s="8" t="s">
        <v>534</v>
      </c>
      <c r="C135" s="723"/>
      <c r="D135" s="753">
        <f t="shared" si="2"/>
        <v>0</v>
      </c>
      <c r="E135" s="153"/>
      <c r="F135" s="153"/>
      <c r="G135" s="153"/>
    </row>
    <row r="136" spans="1:7" ht="12" customHeight="1">
      <c r="A136" s="14" t="s">
        <v>117</v>
      </c>
      <c r="B136" s="8" t="s">
        <v>535</v>
      </c>
      <c r="C136" s="723"/>
      <c r="D136" s="753">
        <f t="shared" si="2"/>
        <v>0</v>
      </c>
      <c r="E136" s="153"/>
      <c r="F136" s="153"/>
      <c r="G136" s="153"/>
    </row>
    <row r="137" spans="1:7" ht="12" customHeight="1">
      <c r="A137" s="14" t="s">
        <v>176</v>
      </c>
      <c r="B137" s="8" t="s">
        <v>536</v>
      </c>
      <c r="C137" s="723"/>
      <c r="D137" s="753">
        <f t="shared" si="2"/>
        <v>0</v>
      </c>
      <c r="E137" s="153"/>
      <c r="F137" s="153"/>
      <c r="G137" s="153"/>
    </row>
    <row r="138" spans="1:7" ht="12" customHeight="1">
      <c r="A138" s="14" t="s">
        <v>177</v>
      </c>
      <c r="B138" s="8" t="s">
        <v>537</v>
      </c>
      <c r="C138" s="723"/>
      <c r="D138" s="753">
        <f t="shared" si="2"/>
        <v>0</v>
      </c>
      <c r="E138" s="153"/>
      <c r="F138" s="153"/>
      <c r="G138" s="153"/>
    </row>
    <row r="139" spans="1:7" ht="12" customHeight="1" thickBot="1">
      <c r="A139" s="12" t="s">
        <v>178</v>
      </c>
      <c r="B139" s="8" t="s">
        <v>538</v>
      </c>
      <c r="C139" s="723"/>
      <c r="D139" s="755">
        <f t="shared" si="2"/>
        <v>0</v>
      </c>
      <c r="E139" s="153"/>
      <c r="F139" s="153"/>
      <c r="G139" s="153"/>
    </row>
    <row r="140" spans="1:7" ht="12" customHeight="1" thickBot="1">
      <c r="A140" s="19" t="s">
        <v>48</v>
      </c>
      <c r="B140" s="88" t="s">
        <v>539</v>
      </c>
      <c r="C140" s="555">
        <f>+C141+C142+C143+C144</f>
        <v>33302000</v>
      </c>
      <c r="D140" s="752">
        <f>SUM(D141:D144)</f>
        <v>35164932</v>
      </c>
      <c r="E140" s="556">
        <f>+E141+E142+E143+E144</f>
        <v>35164932</v>
      </c>
      <c r="F140" s="175">
        <f>+F141+F142+F143+F144</f>
        <v>0</v>
      </c>
      <c r="G140" s="175">
        <f>+G141+G142+G143+G144</f>
        <v>0</v>
      </c>
    </row>
    <row r="141" spans="1:7" ht="12" customHeight="1">
      <c r="A141" s="14" t="s">
        <v>118</v>
      </c>
      <c r="B141" s="8" t="s">
        <v>356</v>
      </c>
      <c r="C141" s="723"/>
      <c r="D141" s="754">
        <f>SUM(E141:G141)</f>
        <v>0</v>
      </c>
      <c r="E141" s="153"/>
      <c r="F141" s="153"/>
      <c r="G141" s="153"/>
    </row>
    <row r="142" spans="1:7" ht="12" customHeight="1">
      <c r="A142" s="14" t="s">
        <v>119</v>
      </c>
      <c r="B142" s="8" t="s">
        <v>357</v>
      </c>
      <c r="C142" s="723">
        <v>33302000</v>
      </c>
      <c r="D142" s="753">
        <f>SUM(E142:G142)</f>
        <v>35164932</v>
      </c>
      <c r="E142" s="153">
        <f>35164932</f>
        <v>35164932</v>
      </c>
      <c r="F142" s="153"/>
      <c r="G142" s="153"/>
    </row>
    <row r="143" spans="1:7" ht="12" customHeight="1">
      <c r="A143" s="14" t="s">
        <v>270</v>
      </c>
      <c r="B143" s="8" t="s">
        <v>540</v>
      </c>
      <c r="C143" s="723"/>
      <c r="D143" s="753">
        <f>SUM(E143:G143)</f>
        <v>0</v>
      </c>
      <c r="E143" s="153"/>
      <c r="F143" s="153"/>
      <c r="G143" s="153"/>
    </row>
    <row r="144" spans="1:7" ht="12" customHeight="1" thickBot="1">
      <c r="A144" s="12" t="s">
        <v>271</v>
      </c>
      <c r="B144" s="6" t="s">
        <v>375</v>
      </c>
      <c r="C144" s="723"/>
      <c r="D144" s="755">
        <f>SUM(E144:G144)</f>
        <v>0</v>
      </c>
      <c r="E144" s="153"/>
      <c r="F144" s="153"/>
      <c r="G144" s="153"/>
    </row>
    <row r="145" spans="1:7" ht="12" customHeight="1" thickBot="1">
      <c r="A145" s="19" t="s">
        <v>49</v>
      </c>
      <c r="B145" s="88" t="s">
        <v>541</v>
      </c>
      <c r="C145" s="566">
        <f>SUM(C146:C150)</f>
        <v>0</v>
      </c>
      <c r="D145" s="756">
        <f>SUM(D146:D150)</f>
        <v>0</v>
      </c>
      <c r="E145" s="567">
        <f>+E146+E147+E148+E149+E150</f>
        <v>0</v>
      </c>
      <c r="F145" s="178">
        <f>+F146+F147+F148+F149+F150</f>
        <v>0</v>
      </c>
      <c r="G145" s="178">
        <f>SUM(G146:G150)</f>
        <v>0</v>
      </c>
    </row>
    <row r="146" spans="1:7" ht="12" customHeight="1">
      <c r="A146" s="14" t="s">
        <v>120</v>
      </c>
      <c r="B146" s="8" t="s">
        <v>542</v>
      </c>
      <c r="C146" s="723"/>
      <c r="D146" s="754">
        <f aca="true" t="shared" si="3" ref="D146:D152">SUM(E146:G146)</f>
        <v>0</v>
      </c>
      <c r="E146" s="153"/>
      <c r="F146" s="153"/>
      <c r="G146" s="153"/>
    </row>
    <row r="147" spans="1:7" ht="12" customHeight="1">
      <c r="A147" s="14" t="s">
        <v>121</v>
      </c>
      <c r="B147" s="8" t="s">
        <v>543</v>
      </c>
      <c r="C147" s="723"/>
      <c r="D147" s="753">
        <f t="shared" si="3"/>
        <v>0</v>
      </c>
      <c r="E147" s="153"/>
      <c r="F147" s="153"/>
      <c r="G147" s="153"/>
    </row>
    <row r="148" spans="1:7" ht="12" customHeight="1">
      <c r="A148" s="14" t="s">
        <v>282</v>
      </c>
      <c r="B148" s="8" t="s">
        <v>544</v>
      </c>
      <c r="C148" s="723"/>
      <c r="D148" s="753">
        <f t="shared" si="3"/>
        <v>0</v>
      </c>
      <c r="E148" s="153"/>
      <c r="F148" s="153"/>
      <c r="G148" s="153"/>
    </row>
    <row r="149" spans="1:7" ht="12" customHeight="1">
      <c r="A149" s="14" t="s">
        <v>283</v>
      </c>
      <c r="B149" s="8" t="s">
        <v>545</v>
      </c>
      <c r="C149" s="723"/>
      <c r="D149" s="753">
        <f t="shared" si="3"/>
        <v>0</v>
      </c>
      <c r="E149" s="153"/>
      <c r="F149" s="153"/>
      <c r="G149" s="153"/>
    </row>
    <row r="150" spans="1:7" ht="12" customHeight="1" thickBot="1">
      <c r="A150" s="14" t="s">
        <v>546</v>
      </c>
      <c r="B150" s="8" t="s">
        <v>547</v>
      </c>
      <c r="C150" s="723"/>
      <c r="D150" s="755">
        <f t="shared" si="3"/>
        <v>0</v>
      </c>
      <c r="E150" s="154"/>
      <c r="F150" s="154"/>
      <c r="G150" s="153"/>
    </row>
    <row r="151" spans="1:7" ht="12" customHeight="1" thickBot="1">
      <c r="A151" s="19" t="s">
        <v>50</v>
      </c>
      <c r="B151" s="88" t="s">
        <v>548</v>
      </c>
      <c r="C151" s="568"/>
      <c r="D151" s="756">
        <f t="shared" si="3"/>
        <v>0</v>
      </c>
      <c r="E151" s="567"/>
      <c r="F151" s="178"/>
      <c r="G151" s="485"/>
    </row>
    <row r="152" spans="1:7" ht="12" customHeight="1" thickBot="1">
      <c r="A152" s="19" t="s">
        <v>51</v>
      </c>
      <c r="B152" s="88" t="s">
        <v>549</v>
      </c>
      <c r="C152" s="568"/>
      <c r="D152" s="756">
        <f t="shared" si="3"/>
        <v>0</v>
      </c>
      <c r="E152" s="567"/>
      <c r="F152" s="178"/>
      <c r="G152" s="485"/>
    </row>
    <row r="153" spans="1:7" ht="15" customHeight="1" thickBot="1">
      <c r="A153" s="19" t="s">
        <v>52</v>
      </c>
      <c r="B153" s="88" t="s">
        <v>550</v>
      </c>
      <c r="C153" s="569">
        <f>+C129+C133+C140+C145+C151+C152</f>
        <v>136847000</v>
      </c>
      <c r="D153" s="752">
        <f>D152+D151+D145+D140+D133+D129</f>
        <v>138325932</v>
      </c>
      <c r="E153" s="570">
        <f>+E129+E133+E140+E145+E151+E152</f>
        <v>138325932</v>
      </c>
      <c r="F153" s="265">
        <f>+F129+F133+F140+F145+F151+F152</f>
        <v>0</v>
      </c>
      <c r="G153" s="265">
        <f>+G129+G133+G140+G145+G151+G152</f>
        <v>0</v>
      </c>
    </row>
    <row r="154" spans="1:7" s="553" customFormat="1" ht="12.75" customHeight="1" thickBot="1">
      <c r="A154" s="168" t="s">
        <v>53</v>
      </c>
      <c r="B154" s="240" t="s">
        <v>551</v>
      </c>
      <c r="C154" s="569">
        <f>+C128+C153</f>
        <v>3178458000</v>
      </c>
      <c r="D154" s="752">
        <f>D153+D128</f>
        <v>3274331886</v>
      </c>
      <c r="E154" s="570">
        <f>+E128+E153</f>
        <v>990644962</v>
      </c>
      <c r="F154" s="265">
        <f>+F128+F153</f>
        <v>225723850</v>
      </c>
      <c r="G154" s="265">
        <f>+G128+G153</f>
        <v>1397286981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 34. melléklet a 20/2017.(VI.29.) önkormányzati rendelethez
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Layout" workbookViewId="0" topLeftCell="A1">
      <selection activeCell="K7" sqref="K7"/>
    </sheetView>
  </sheetViews>
  <sheetFormatPr defaultColWidth="9.00390625" defaultRowHeight="12.75"/>
  <cols>
    <col min="1" max="1" width="6.875" style="33" customWidth="1"/>
    <col min="2" max="2" width="49.625" style="32" customWidth="1"/>
    <col min="3" max="8" width="12.875" style="32" customWidth="1"/>
    <col min="9" max="9" width="13.875" style="32" customWidth="1"/>
    <col min="10" max="16384" width="9.375" style="32" customWidth="1"/>
  </cols>
  <sheetData>
    <row r="1" spans="1:9" ht="27.75" customHeight="1">
      <c r="A1" s="921" t="s">
        <v>33</v>
      </c>
      <c r="B1" s="921"/>
      <c r="C1" s="921"/>
      <c r="D1" s="921"/>
      <c r="E1" s="921"/>
      <c r="F1" s="921"/>
      <c r="G1" s="921"/>
      <c r="H1" s="921"/>
      <c r="I1" s="921"/>
    </row>
    <row r="2" spans="2:9" ht="20.25" customHeight="1" thickBot="1">
      <c r="B2" s="373"/>
      <c r="I2" s="374" t="s">
        <v>680</v>
      </c>
    </row>
    <row r="3" spans="1:9" s="375" customFormat="1" ht="22.5" customHeight="1">
      <c r="A3" s="966" t="s">
        <v>94</v>
      </c>
      <c r="B3" s="961" t="s">
        <v>108</v>
      </c>
      <c r="C3" s="966" t="s">
        <v>109</v>
      </c>
      <c r="D3" s="966" t="s">
        <v>632</v>
      </c>
      <c r="E3" s="963" t="s">
        <v>93</v>
      </c>
      <c r="F3" s="964"/>
      <c r="G3" s="964"/>
      <c r="H3" s="965"/>
      <c r="I3" s="961" t="s">
        <v>75</v>
      </c>
    </row>
    <row r="4" spans="1:9" s="376" customFormat="1" ht="17.25" customHeight="1" thickBot="1">
      <c r="A4" s="967"/>
      <c r="B4" s="962"/>
      <c r="C4" s="962"/>
      <c r="D4" s="967"/>
      <c r="E4" s="155">
        <v>2017</v>
      </c>
      <c r="F4" s="155">
        <v>2018</v>
      </c>
      <c r="G4" s="155">
        <v>2019</v>
      </c>
      <c r="H4" s="156" t="s">
        <v>633</v>
      </c>
      <c r="I4" s="962"/>
    </row>
    <row r="5" spans="1:9" s="377" customFormat="1" ht="12.75" customHeight="1" thickBot="1">
      <c r="A5" s="615">
        <v>1</v>
      </c>
      <c r="B5" s="613">
        <v>2</v>
      </c>
      <c r="C5" s="614">
        <v>3</v>
      </c>
      <c r="D5" s="613">
        <v>4</v>
      </c>
      <c r="E5" s="615">
        <v>5</v>
      </c>
      <c r="F5" s="614">
        <v>6</v>
      </c>
      <c r="G5" s="614">
        <v>7</v>
      </c>
      <c r="H5" s="616">
        <v>8</v>
      </c>
      <c r="I5" s="159" t="s">
        <v>110</v>
      </c>
    </row>
    <row r="6" spans="1:9" ht="24.75" customHeight="1">
      <c r="A6" s="645" t="s">
        <v>44</v>
      </c>
      <c r="B6" s="646" t="s">
        <v>34</v>
      </c>
      <c r="C6" s="647"/>
      <c r="D6" s="636"/>
      <c r="E6" s="636"/>
      <c r="F6" s="636"/>
      <c r="G6" s="636"/>
      <c r="H6" s="636"/>
      <c r="I6" s="648">
        <f aca="true" t="shared" si="0" ref="I6:I14">SUM(D6:H6)</f>
        <v>0</v>
      </c>
    </row>
    <row r="7" spans="1:9" ht="24.75" customHeight="1" thickBot="1">
      <c r="A7" s="649" t="s">
        <v>45</v>
      </c>
      <c r="B7" s="650" t="s">
        <v>589</v>
      </c>
      <c r="C7" s="651">
        <v>2017</v>
      </c>
      <c r="D7" s="641">
        <v>0</v>
      </c>
      <c r="E7" s="641">
        <v>0</v>
      </c>
      <c r="F7" s="641"/>
      <c r="G7" s="641"/>
      <c r="H7" s="641"/>
      <c r="I7" s="642">
        <f t="shared" si="0"/>
        <v>0</v>
      </c>
    </row>
    <row r="8" spans="1:9" ht="24" customHeight="1" thickBot="1">
      <c r="A8" s="612" t="s">
        <v>46</v>
      </c>
      <c r="B8" s="643" t="s">
        <v>35</v>
      </c>
      <c r="C8" s="609"/>
      <c r="D8" s="644"/>
      <c r="E8" s="644"/>
      <c r="F8" s="644"/>
      <c r="G8" s="644"/>
      <c r="H8" s="644"/>
      <c r="I8" s="621">
        <f>SUM(I9:I14)</f>
        <v>105183704</v>
      </c>
    </row>
    <row r="9" spans="1:9" ht="23.25" customHeight="1" thickBot="1">
      <c r="A9" s="157" t="s">
        <v>47</v>
      </c>
      <c r="B9" s="634" t="s">
        <v>590</v>
      </c>
      <c r="C9" s="635">
        <v>2013</v>
      </c>
      <c r="D9" s="636">
        <v>1650000</v>
      </c>
      <c r="E9" s="637">
        <v>660000</v>
      </c>
      <c r="F9" s="637">
        <v>570704</v>
      </c>
      <c r="G9" s="637">
        <v>0</v>
      </c>
      <c r="H9" s="638">
        <v>0</v>
      </c>
      <c r="I9" s="639">
        <f t="shared" si="0"/>
        <v>2880704</v>
      </c>
    </row>
    <row r="10" spans="1:9" ht="32.25" customHeight="1" thickBot="1">
      <c r="A10" s="157" t="s">
        <v>48</v>
      </c>
      <c r="B10" s="626" t="s">
        <v>681</v>
      </c>
      <c r="C10" s="378">
        <v>2016</v>
      </c>
      <c r="D10" s="491">
        <v>0</v>
      </c>
      <c r="E10" s="611">
        <v>0</v>
      </c>
      <c r="F10" s="787">
        <v>4444000</v>
      </c>
      <c r="G10" s="787">
        <v>4444000</v>
      </c>
      <c r="H10" s="788">
        <v>31112000</v>
      </c>
      <c r="I10" s="640">
        <f t="shared" si="0"/>
        <v>40000000</v>
      </c>
    </row>
    <row r="11" spans="1:9" ht="33" customHeight="1" thickBot="1">
      <c r="A11" s="612" t="s">
        <v>49</v>
      </c>
      <c r="B11" s="626" t="s">
        <v>682</v>
      </c>
      <c r="C11" s="378">
        <v>2016</v>
      </c>
      <c r="D11" s="491">
        <v>0</v>
      </c>
      <c r="E11" s="611">
        <v>0</v>
      </c>
      <c r="F11" s="611">
        <v>1472000</v>
      </c>
      <c r="G11" s="611">
        <v>1472000</v>
      </c>
      <c r="H11" s="625">
        <v>7359000</v>
      </c>
      <c r="I11" s="640">
        <f t="shared" si="0"/>
        <v>10303000</v>
      </c>
    </row>
    <row r="12" spans="1:9" ht="35.25" customHeight="1" thickBot="1">
      <c r="A12" s="157" t="s">
        <v>50</v>
      </c>
      <c r="B12" s="626" t="s">
        <v>683</v>
      </c>
      <c r="C12" s="378">
        <v>2016</v>
      </c>
      <c r="D12" s="491">
        <v>221750</v>
      </c>
      <c r="E12" s="491">
        <v>1108750</v>
      </c>
      <c r="F12" s="491">
        <v>887000</v>
      </c>
      <c r="G12" s="491">
        <v>887000</v>
      </c>
      <c r="H12" s="491">
        <v>1330461</v>
      </c>
      <c r="I12" s="640">
        <f t="shared" si="0"/>
        <v>4434961</v>
      </c>
    </row>
    <row r="13" spans="1:9" ht="30" customHeight="1" thickBot="1">
      <c r="A13" s="157" t="s">
        <v>51</v>
      </c>
      <c r="B13" s="626" t="s">
        <v>684</v>
      </c>
      <c r="C13" s="378">
        <v>2016</v>
      </c>
      <c r="D13" s="491">
        <v>278250</v>
      </c>
      <c r="E13" s="491">
        <v>1391250</v>
      </c>
      <c r="F13" s="491">
        <v>1113000</v>
      </c>
      <c r="G13" s="491">
        <v>1113000</v>
      </c>
      <c r="H13" s="491">
        <v>1669539</v>
      </c>
      <c r="I13" s="640">
        <f t="shared" si="0"/>
        <v>5565039</v>
      </c>
    </row>
    <row r="14" spans="1:9" ht="30" customHeight="1" thickBot="1">
      <c r="A14" s="157" t="s">
        <v>52</v>
      </c>
      <c r="B14" s="693" t="s">
        <v>712</v>
      </c>
      <c r="C14" s="694">
        <v>2017</v>
      </c>
      <c r="D14" s="695">
        <v>0</v>
      </c>
      <c r="E14" s="695">
        <v>0</v>
      </c>
      <c r="F14" s="695">
        <v>2333334</v>
      </c>
      <c r="G14" s="695">
        <v>4666668</v>
      </c>
      <c r="H14" s="695">
        <v>34999998</v>
      </c>
      <c r="I14" s="696">
        <f t="shared" si="0"/>
        <v>42000000</v>
      </c>
    </row>
    <row r="15" spans="1:9" ht="19.5" customHeight="1" thickBot="1">
      <c r="A15" s="157" t="s">
        <v>53</v>
      </c>
      <c r="B15" s="646" t="s">
        <v>203</v>
      </c>
      <c r="C15" s="653"/>
      <c r="D15" s="636"/>
      <c r="E15" s="636"/>
      <c r="F15" s="636"/>
      <c r="G15" s="636"/>
      <c r="H15" s="636"/>
      <c r="I15" s="639">
        <f>SUM(I16:I17)</f>
        <v>97046707</v>
      </c>
    </row>
    <row r="16" spans="1:9" ht="29.25" customHeight="1" thickBot="1">
      <c r="A16" s="157"/>
      <c r="B16" s="626" t="s">
        <v>681</v>
      </c>
      <c r="C16" s="627">
        <v>2016</v>
      </c>
      <c r="D16" s="491">
        <v>0</v>
      </c>
      <c r="E16" s="491">
        <v>22100002</v>
      </c>
      <c r="F16" s="628">
        <v>0</v>
      </c>
      <c r="G16" s="628">
        <v>0</v>
      </c>
      <c r="H16" s="491">
        <v>0</v>
      </c>
      <c r="I16" s="640">
        <f>SUM(E16:H16)</f>
        <v>22100002</v>
      </c>
    </row>
    <row r="17" spans="1:9" ht="23.25" thickBot="1">
      <c r="A17" s="157"/>
      <c r="B17" s="654" t="s">
        <v>689</v>
      </c>
      <c r="C17" s="655">
        <v>2016</v>
      </c>
      <c r="D17" s="641">
        <v>449720</v>
      </c>
      <c r="E17" s="641">
        <v>74496985</v>
      </c>
      <c r="F17" s="641">
        <v>0</v>
      </c>
      <c r="G17" s="641">
        <v>0</v>
      </c>
      <c r="H17" s="641">
        <v>0</v>
      </c>
      <c r="I17" s="642">
        <f>SUM(D17:H17)</f>
        <v>74946705</v>
      </c>
    </row>
    <row r="18" spans="1:10" ht="19.5" customHeight="1" thickBot="1">
      <c r="A18" s="612" t="s">
        <v>55</v>
      </c>
      <c r="B18" s="652" t="s">
        <v>204</v>
      </c>
      <c r="C18" s="633"/>
      <c r="D18" s="631"/>
      <c r="E18" s="631"/>
      <c r="F18" s="631"/>
      <c r="G18" s="631"/>
      <c r="H18" s="631"/>
      <c r="I18" s="632">
        <f>SUM(D18:H18)</f>
        <v>0</v>
      </c>
      <c r="J18" s="379"/>
    </row>
    <row r="19" spans="1:10" ht="19.5" customHeight="1" thickBot="1">
      <c r="A19" s="157"/>
      <c r="B19" s="624"/>
      <c r="C19" s="630"/>
      <c r="D19" s="491"/>
      <c r="E19" s="491"/>
      <c r="F19" s="491"/>
      <c r="G19" s="491"/>
      <c r="H19" s="491"/>
      <c r="I19" s="622"/>
      <c r="J19" s="379"/>
    </row>
    <row r="20" spans="1:10" ht="19.5" customHeight="1" thickBot="1">
      <c r="A20" s="157"/>
      <c r="B20" s="624"/>
      <c r="C20" s="630"/>
      <c r="D20" s="491"/>
      <c r="E20" s="491"/>
      <c r="F20" s="491"/>
      <c r="G20" s="491"/>
      <c r="H20" s="491"/>
      <c r="I20" s="622"/>
      <c r="J20" s="379"/>
    </row>
    <row r="21" spans="1:10" ht="19.5" customHeight="1" thickBot="1">
      <c r="A21" s="157"/>
      <c r="B21" s="624"/>
      <c r="C21" s="630"/>
      <c r="D21" s="491"/>
      <c r="E21" s="491"/>
      <c r="F21" s="491"/>
      <c r="G21" s="491"/>
      <c r="H21" s="491"/>
      <c r="I21" s="622"/>
      <c r="J21" s="379"/>
    </row>
    <row r="22" spans="1:10" ht="19.5" customHeight="1" thickBot="1">
      <c r="A22" s="157"/>
      <c r="B22" s="624"/>
      <c r="C22" s="630"/>
      <c r="D22" s="491"/>
      <c r="E22" s="491"/>
      <c r="F22" s="491"/>
      <c r="G22" s="491"/>
      <c r="H22" s="491"/>
      <c r="I22" s="622"/>
      <c r="J22" s="379"/>
    </row>
    <row r="23" spans="1:9" ht="19.5" customHeight="1" thickBot="1">
      <c r="A23" s="157"/>
      <c r="B23" s="624"/>
      <c r="C23" s="630"/>
      <c r="D23" s="491"/>
      <c r="E23" s="491"/>
      <c r="F23" s="491"/>
      <c r="G23" s="491"/>
      <c r="H23" s="491"/>
      <c r="I23" s="622"/>
    </row>
    <row r="24" spans="1:9" ht="19.5" customHeight="1" thickBot="1">
      <c r="A24" s="157"/>
      <c r="B24" s="629"/>
      <c r="C24" s="623"/>
      <c r="D24" s="491"/>
      <c r="E24" s="491"/>
      <c r="F24" s="491"/>
      <c r="G24" s="491"/>
      <c r="H24" s="491"/>
      <c r="I24" s="622">
        <f>SUM(D24:H24)</f>
        <v>0</v>
      </c>
    </row>
    <row r="25" spans="1:9" ht="19.5" customHeight="1" thickBot="1">
      <c r="A25" s="959" t="s">
        <v>76</v>
      </c>
      <c r="B25" s="960"/>
      <c r="C25" s="617"/>
      <c r="D25" s="619">
        <f>SUM(D6:D24)</f>
        <v>2599720</v>
      </c>
      <c r="E25" s="619">
        <f>SUM(E6:E24)</f>
        <v>99756987</v>
      </c>
      <c r="F25" s="620">
        <f>SUM(F6:F24)</f>
        <v>10820038</v>
      </c>
      <c r="G25" s="620">
        <f>SUM(G6:G24)</f>
        <v>12582668</v>
      </c>
      <c r="H25" s="621">
        <f>SUM(H6:H24)</f>
        <v>76470998</v>
      </c>
      <c r="I25" s="618">
        <f>I15+I18+I8+I6</f>
        <v>202230411</v>
      </c>
    </row>
    <row r="27" spans="2:8" ht="15">
      <c r="B27" s="96" t="s">
        <v>591</v>
      </c>
      <c r="C27" s="96"/>
      <c r="D27" s="96"/>
      <c r="E27" s="96"/>
      <c r="F27" s="96"/>
      <c r="G27" s="96"/>
      <c r="H27" s="96"/>
    </row>
    <row r="29" ht="15.75">
      <c r="B29" s="380"/>
    </row>
    <row r="30" spans="2:8" ht="15.75">
      <c r="B30" s="380"/>
      <c r="C30" s="381"/>
      <c r="D30" s="381"/>
      <c r="E30" s="381"/>
      <c r="F30" s="381"/>
      <c r="G30" s="381"/>
      <c r="H30" s="381"/>
    </row>
    <row r="31" spans="2:3" ht="12.75">
      <c r="B31" s="381"/>
      <c r="C31" s="33"/>
    </row>
    <row r="32" spans="2:3" ht="12.75">
      <c r="B32" s="381"/>
      <c r="C32" s="33"/>
    </row>
    <row r="33" spans="2:3" ht="12.75">
      <c r="B33" s="381"/>
      <c r="C33" s="382"/>
    </row>
    <row r="34" spans="2:3" ht="12.75">
      <c r="B34" s="381"/>
      <c r="C34" s="33"/>
    </row>
    <row r="35" spans="2:3" ht="12.75">
      <c r="B35" s="381"/>
      <c r="C35" s="33"/>
    </row>
    <row r="36" spans="2:3" ht="12.75">
      <c r="B36" s="381"/>
      <c r="C36" s="33"/>
    </row>
    <row r="37" spans="2:3" ht="12.75">
      <c r="B37" s="381"/>
      <c r="C37" s="33"/>
    </row>
    <row r="38" spans="2:3" ht="12.75">
      <c r="B38" s="381"/>
      <c r="C38" s="33"/>
    </row>
    <row r="39" spans="2:3" ht="12.75">
      <c r="B39" s="381"/>
      <c r="C39" s="33"/>
    </row>
    <row r="40" spans="2:3" ht="17.25" customHeight="1">
      <c r="B40" s="383"/>
      <c r="C40" s="382"/>
    </row>
    <row r="41" ht="12.75">
      <c r="B41" s="381"/>
    </row>
    <row r="42" spans="2:3" ht="12.75">
      <c r="B42" s="384"/>
      <c r="C42" s="382"/>
    </row>
    <row r="43" spans="3:4" ht="12.75">
      <c r="C43" s="33"/>
      <c r="D43" s="33"/>
    </row>
    <row r="44" spans="3:4" ht="12.75">
      <c r="C44" s="33"/>
      <c r="D44" s="33"/>
    </row>
    <row r="45" spans="3:4" ht="12.75">
      <c r="C45" s="33"/>
      <c r="D45" s="33"/>
    </row>
    <row r="47" spans="2:3" ht="12.75">
      <c r="B47" s="384"/>
      <c r="C47" s="382"/>
    </row>
    <row r="48" ht="12.75">
      <c r="D48" s="33"/>
    </row>
    <row r="49" ht="12.75">
      <c r="D49" s="33"/>
    </row>
    <row r="50" ht="12.75">
      <c r="D50" s="33"/>
    </row>
  </sheetData>
  <sheetProtection/>
  <mergeCells count="8">
    <mergeCell ref="A1:I1"/>
    <mergeCell ref="A25:B25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72" r:id="rId1"/>
  <headerFooter alignWithMargins="0">
    <oddHeader xml:space="preserve">&amp;R35. számú tájékoztató tábla a  20/2017.(VI.29.) önkormányzati rendelethez    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view="pageLayout" zoomScaleNormal="85" workbookViewId="0" topLeftCell="E1">
      <selection activeCell="R27" sqref="R27"/>
    </sheetView>
  </sheetViews>
  <sheetFormatPr defaultColWidth="9.00390625" defaultRowHeight="12.75"/>
  <cols>
    <col min="1" max="1" width="4.875" style="69" customWidth="1"/>
    <col min="2" max="2" width="31.125" style="82" customWidth="1"/>
    <col min="3" max="10" width="11.125" style="82" bestFit="1" customWidth="1"/>
    <col min="11" max="11" width="12.625" style="82" bestFit="1" customWidth="1"/>
    <col min="12" max="12" width="11.875" style="82" bestFit="1" customWidth="1"/>
    <col min="13" max="14" width="11.125" style="82" bestFit="1" customWidth="1"/>
    <col min="15" max="15" width="12.625" style="69" customWidth="1"/>
    <col min="16" max="16384" width="9.375" style="82" customWidth="1"/>
  </cols>
  <sheetData>
    <row r="1" spans="1:15" ht="31.5" customHeight="1">
      <c r="A1" s="971" t="s">
        <v>646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</row>
    <row r="2" ht="16.5" thickBot="1">
      <c r="O2" s="3" t="s">
        <v>652</v>
      </c>
    </row>
    <row r="3" spans="1:15" s="69" customFormat="1" ht="35.25" customHeight="1" thickBot="1">
      <c r="A3" s="66" t="s">
        <v>41</v>
      </c>
      <c r="B3" s="67" t="s">
        <v>86</v>
      </c>
      <c r="C3" s="67" t="s">
        <v>95</v>
      </c>
      <c r="D3" s="67" t="s">
        <v>96</v>
      </c>
      <c r="E3" s="67" t="s">
        <v>97</v>
      </c>
      <c r="F3" s="67" t="s">
        <v>98</v>
      </c>
      <c r="G3" s="67" t="s">
        <v>99</v>
      </c>
      <c r="H3" s="67" t="s">
        <v>100</v>
      </c>
      <c r="I3" s="67" t="s">
        <v>101</v>
      </c>
      <c r="J3" s="67" t="s">
        <v>102</v>
      </c>
      <c r="K3" s="67" t="s">
        <v>103</v>
      </c>
      <c r="L3" s="67" t="s">
        <v>104</v>
      </c>
      <c r="M3" s="67" t="s">
        <v>105</v>
      </c>
      <c r="N3" s="67" t="s">
        <v>106</v>
      </c>
      <c r="O3" s="68" t="s">
        <v>76</v>
      </c>
    </row>
    <row r="4" spans="1:15" s="71" customFormat="1" ht="15" customHeight="1" thickBot="1">
      <c r="A4" s="70" t="s">
        <v>43</v>
      </c>
      <c r="B4" s="968" t="s">
        <v>80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70"/>
    </row>
    <row r="5" spans="1:15" s="71" customFormat="1" ht="22.5">
      <c r="A5" s="72" t="s">
        <v>44</v>
      </c>
      <c r="B5" s="296" t="s">
        <v>359</v>
      </c>
      <c r="C5" s="505">
        <f>89000000-286000</f>
        <v>88714000</v>
      </c>
      <c r="D5" s="505">
        <f>89128000-280000</f>
        <v>88848000</v>
      </c>
      <c r="E5" s="505">
        <f>89000000-285000+5359522</f>
        <v>94074522</v>
      </c>
      <c r="F5" s="505">
        <f>89000000-285000+10461768+5359522</f>
        <v>104536290</v>
      </c>
      <c r="G5" s="505">
        <f>104000000-283192+5359522</f>
        <v>109076330</v>
      </c>
      <c r="H5" s="505">
        <f>109000000-283000+5359522</f>
        <v>114076522</v>
      </c>
      <c r="I5" s="505">
        <f>115000000-1280000+5359522</f>
        <v>119079522</v>
      </c>
      <c r="J5" s="505">
        <f>110000000-1280000+5359522</f>
        <v>114079522</v>
      </c>
      <c r="K5" s="505">
        <f>100000000-1280000+5359522</f>
        <v>104079522</v>
      </c>
      <c r="L5" s="505">
        <f>96000000-1280000+5359522</f>
        <v>100079522</v>
      </c>
      <c r="M5" s="505">
        <f>97000000-1280000+5359522</f>
        <v>101079522</v>
      </c>
      <c r="N5" s="505">
        <f>97215400-1280000+5359521</f>
        <v>101294921</v>
      </c>
      <c r="O5" s="506">
        <f aca="true" t="shared" si="0" ref="O5:O14">SUM(C5:N5)</f>
        <v>1239018195</v>
      </c>
    </row>
    <row r="6" spans="1:15" s="75" customFormat="1" ht="22.5">
      <c r="A6" s="73" t="s">
        <v>45</v>
      </c>
      <c r="B6" s="162" t="s">
        <v>403</v>
      </c>
      <c r="C6" s="467">
        <f>40000000+3000000</f>
        <v>43000000</v>
      </c>
      <c r="D6" s="467">
        <v>43000000</v>
      </c>
      <c r="E6" s="467">
        <f>38000000+40000000</f>
        <v>78000000</v>
      </c>
      <c r="F6" s="467">
        <f>30000000+40000000+362000+30000000</f>
        <v>100362000</v>
      </c>
      <c r="G6" s="467">
        <f>15000000+40000000+14906504</f>
        <v>69906504</v>
      </c>
      <c r="H6" s="467">
        <f>40000000+10000000+6840000</f>
        <v>56840000</v>
      </c>
      <c r="I6" s="467">
        <f>50000000+3111000+374405</f>
        <v>53485405</v>
      </c>
      <c r="J6" s="467">
        <f>60000000</f>
        <v>60000000</v>
      </c>
      <c r="K6" s="467">
        <f>50000000</f>
        <v>50000000</v>
      </c>
      <c r="L6" s="467">
        <f>46790588</f>
        <v>46790588</v>
      </c>
      <c r="M6" s="467"/>
      <c r="N6" s="467">
        <f>13768000</f>
        <v>13768000</v>
      </c>
      <c r="O6" s="888">
        <f t="shared" si="0"/>
        <v>615152497</v>
      </c>
    </row>
    <row r="7" spans="1:15" s="75" customFormat="1" ht="22.5">
      <c r="A7" s="73" t="s">
        <v>46</v>
      </c>
      <c r="B7" s="161" t="s">
        <v>404</v>
      </c>
      <c r="C7" s="468"/>
      <c r="D7" s="468"/>
      <c r="E7" s="468">
        <v>500000</v>
      </c>
      <c r="F7" s="468">
        <v>5000000</v>
      </c>
      <c r="G7" s="468">
        <f>3797300+3679276</f>
        <v>7476576</v>
      </c>
      <c r="H7" s="468">
        <f>6000000+71809476+2160000</f>
        <v>79969476</v>
      </c>
      <c r="I7" s="468">
        <v>15956160</v>
      </c>
      <c r="J7" s="468"/>
      <c r="K7" s="468"/>
      <c r="L7" s="468">
        <v>3779393</v>
      </c>
      <c r="M7" s="468"/>
      <c r="N7" s="468"/>
      <c r="O7" s="888">
        <f t="shared" si="0"/>
        <v>112681605</v>
      </c>
    </row>
    <row r="8" spans="1:15" s="75" customFormat="1" ht="13.5" customHeight="1">
      <c r="A8" s="73" t="s">
        <v>47</v>
      </c>
      <c r="B8" s="160" t="s">
        <v>175</v>
      </c>
      <c r="C8" s="467">
        <v>5000000</v>
      </c>
      <c r="D8" s="467">
        <v>5000000</v>
      </c>
      <c r="E8" s="467">
        <v>120000000</v>
      </c>
      <c r="F8" s="467">
        <v>8390000</v>
      </c>
      <c r="G8" s="467">
        <v>5000000</v>
      </c>
      <c r="H8" s="467">
        <f>3000000</f>
        <v>3000000</v>
      </c>
      <c r="I8" s="467">
        <v>3000000</v>
      </c>
      <c r="J8" s="467">
        <v>3000000</v>
      </c>
      <c r="K8" s="467">
        <v>120000000</v>
      </c>
      <c r="L8" s="467">
        <v>10000000</v>
      </c>
      <c r="M8" s="467">
        <v>7000000</v>
      </c>
      <c r="N8" s="467">
        <v>30000000</v>
      </c>
      <c r="O8" s="507">
        <f t="shared" si="0"/>
        <v>319390000</v>
      </c>
    </row>
    <row r="9" spans="1:15" s="75" customFormat="1" ht="13.5" customHeight="1">
      <c r="A9" s="73" t="s">
        <v>48</v>
      </c>
      <c r="B9" s="160" t="s">
        <v>405</v>
      </c>
      <c r="C9" s="467">
        <v>37000000</v>
      </c>
      <c r="D9" s="467">
        <v>37000000</v>
      </c>
      <c r="E9" s="467">
        <v>37000000</v>
      </c>
      <c r="F9" s="467">
        <v>37000000</v>
      </c>
      <c r="G9" s="467">
        <v>37000000</v>
      </c>
      <c r="H9" s="467">
        <f>37000000+270000</f>
        <v>37270000</v>
      </c>
      <c r="I9" s="467">
        <f>37000000+4327496</f>
        <v>41327496</v>
      </c>
      <c r="J9" s="467">
        <v>37000000</v>
      </c>
      <c r="K9" s="467">
        <v>39000000</v>
      </c>
      <c r="L9" s="467">
        <f>39000000+6985000</f>
        <v>45985000</v>
      </c>
      <c r="M9" s="467">
        <v>37054678</v>
      </c>
      <c r="N9" s="467">
        <v>37000000</v>
      </c>
      <c r="O9" s="888">
        <f t="shared" si="0"/>
        <v>459637174</v>
      </c>
    </row>
    <row r="10" spans="1:15" s="75" customFormat="1" ht="13.5" customHeight="1">
      <c r="A10" s="73" t="s">
        <v>49</v>
      </c>
      <c r="B10" s="160" t="s">
        <v>36</v>
      </c>
      <c r="C10" s="467">
        <v>1920000</v>
      </c>
      <c r="D10" s="467">
        <v>3500000</v>
      </c>
      <c r="E10" s="467">
        <v>250000</v>
      </c>
      <c r="F10" s="467"/>
      <c r="G10" s="467">
        <v>19759000</v>
      </c>
      <c r="H10" s="467">
        <v>1000000</v>
      </c>
      <c r="I10" s="467">
        <v>11000000</v>
      </c>
      <c r="J10" s="467">
        <v>10000000</v>
      </c>
      <c r="K10" s="467"/>
      <c r="L10" s="467"/>
      <c r="M10" s="467"/>
      <c r="N10" s="467"/>
      <c r="O10" s="507">
        <f t="shared" si="0"/>
        <v>47429000</v>
      </c>
    </row>
    <row r="11" spans="1:15" s="75" customFormat="1" ht="13.5" customHeight="1">
      <c r="A11" s="73" t="s">
        <v>50</v>
      </c>
      <c r="B11" s="160" t="s">
        <v>361</v>
      </c>
      <c r="C11" s="467">
        <v>500000</v>
      </c>
      <c r="D11" s="467">
        <v>500000</v>
      </c>
      <c r="E11" s="467">
        <v>550000</v>
      </c>
      <c r="F11" s="467">
        <v>442000</v>
      </c>
      <c r="G11" s="467">
        <v>450000</v>
      </c>
      <c r="H11" s="467">
        <v>450000</v>
      </c>
      <c r="I11" s="467">
        <v>400000</v>
      </c>
      <c r="J11" s="467">
        <v>300000</v>
      </c>
      <c r="K11" s="467">
        <v>300000</v>
      </c>
      <c r="L11" s="467">
        <v>1666000</v>
      </c>
      <c r="M11" s="467">
        <v>300000</v>
      </c>
      <c r="N11" s="467">
        <v>166000</v>
      </c>
      <c r="O11" s="507">
        <f t="shared" si="0"/>
        <v>6024000</v>
      </c>
    </row>
    <row r="12" spans="1:15" s="75" customFormat="1" ht="22.5">
      <c r="A12" s="73" t="s">
        <v>51</v>
      </c>
      <c r="B12" s="162" t="s">
        <v>391</v>
      </c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507">
        <f t="shared" si="0"/>
        <v>0</v>
      </c>
    </row>
    <row r="13" spans="1:15" s="75" customFormat="1" ht="13.5" customHeight="1" thickBot="1">
      <c r="A13" s="73" t="s">
        <v>52</v>
      </c>
      <c r="B13" s="160" t="s">
        <v>37</v>
      </c>
      <c r="C13" s="74">
        <v>292999415</v>
      </c>
      <c r="D13" s="74"/>
      <c r="E13" s="74">
        <v>10000000</v>
      </c>
      <c r="F13" s="74"/>
      <c r="G13" s="74"/>
      <c r="H13" s="74">
        <v>20000000</v>
      </c>
      <c r="I13" s="74">
        <v>64100000</v>
      </c>
      <c r="J13" s="74">
        <v>20000000</v>
      </c>
      <c r="K13" s="74">
        <v>10000000</v>
      </c>
      <c r="L13" s="74"/>
      <c r="M13" s="74">
        <f>20000000+37900000</f>
        <v>57900000</v>
      </c>
      <c r="N13" s="467"/>
      <c r="O13" s="888">
        <f t="shared" si="0"/>
        <v>474999415</v>
      </c>
    </row>
    <row r="14" spans="1:15" s="71" customFormat="1" ht="15.75" customHeight="1" thickBot="1">
      <c r="A14" s="70" t="s">
        <v>53</v>
      </c>
      <c r="B14" s="30" t="s">
        <v>133</v>
      </c>
      <c r="C14" s="76">
        <f aca="true" t="shared" si="1" ref="C14:N14">SUM(C5:C13)</f>
        <v>469133415</v>
      </c>
      <c r="D14" s="76">
        <f t="shared" si="1"/>
        <v>177848000</v>
      </c>
      <c r="E14" s="76">
        <f t="shared" si="1"/>
        <v>340374522</v>
      </c>
      <c r="F14" s="76">
        <f t="shared" si="1"/>
        <v>255730290</v>
      </c>
      <c r="G14" s="76">
        <f t="shared" si="1"/>
        <v>248668410</v>
      </c>
      <c r="H14" s="76">
        <f t="shared" si="1"/>
        <v>312605998</v>
      </c>
      <c r="I14" s="76">
        <f t="shared" si="1"/>
        <v>308348583</v>
      </c>
      <c r="J14" s="76">
        <f t="shared" si="1"/>
        <v>244379522</v>
      </c>
      <c r="K14" s="76">
        <f t="shared" si="1"/>
        <v>323379522</v>
      </c>
      <c r="L14" s="76">
        <f t="shared" si="1"/>
        <v>208300503</v>
      </c>
      <c r="M14" s="76">
        <f t="shared" si="1"/>
        <v>203334200</v>
      </c>
      <c r="N14" s="76">
        <f t="shared" si="1"/>
        <v>182228921</v>
      </c>
      <c r="O14" s="77">
        <f t="shared" si="0"/>
        <v>3274331886</v>
      </c>
    </row>
    <row r="15" spans="1:15" s="71" customFormat="1" ht="15" customHeight="1" thickBot="1">
      <c r="A15" s="70" t="s">
        <v>54</v>
      </c>
      <c r="B15" s="968" t="s">
        <v>81</v>
      </c>
      <c r="C15" s="969"/>
      <c r="D15" s="969"/>
      <c r="E15" s="969"/>
      <c r="F15" s="969"/>
      <c r="G15" s="969"/>
      <c r="H15" s="969"/>
      <c r="I15" s="969"/>
      <c r="J15" s="969"/>
      <c r="K15" s="969"/>
      <c r="L15" s="969"/>
      <c r="M15" s="969"/>
      <c r="N15" s="969"/>
      <c r="O15" s="970"/>
    </row>
    <row r="16" spans="1:15" s="75" customFormat="1" ht="13.5" customHeight="1">
      <c r="A16" s="78" t="s">
        <v>55</v>
      </c>
      <c r="B16" s="163" t="s">
        <v>87</v>
      </c>
      <c r="C16" s="468">
        <v>83000000</v>
      </c>
      <c r="D16" s="468">
        <v>83105000</v>
      </c>
      <c r="E16" s="468">
        <f>83000000+31471300</f>
        <v>114471300</v>
      </c>
      <c r="F16" s="468">
        <f>81000000+31471300+326126+3025822</f>
        <v>115823248</v>
      </c>
      <c r="G16" s="468">
        <f>81000000+31471300+12214480+3025822</f>
        <v>127711602</v>
      </c>
      <c r="H16" s="468">
        <f>82000000+31471300+12214480+3025821-199044+76000+1000000</f>
        <v>129588557</v>
      </c>
      <c r="I16" s="468">
        <f>81000000+31471300+12214480+3025822-199044+15000+622444</f>
        <v>128150002</v>
      </c>
      <c r="J16" s="468">
        <f>81000000+31471300+12214480+3025822-199044+1275000+622444</f>
        <v>129410002</v>
      </c>
      <c r="K16" s="468">
        <f>81000000+31471300+12214480+3025822-199044+15000+1275000+622443</f>
        <v>129425001</v>
      </c>
      <c r="L16" s="468">
        <f>81205571+31471295+12214480+3025821-199044+622443</f>
        <v>128340566</v>
      </c>
      <c r="M16" s="468">
        <f>81000000+12214480-5+3025822-199044+622444</f>
        <v>96663697</v>
      </c>
      <c r="N16" s="468">
        <f>81000000+3025822-199044+20000+622444</f>
        <v>84469222</v>
      </c>
      <c r="O16" s="889">
        <f aca="true" t="shared" si="2" ref="O16:O26">SUM(C16:N16)</f>
        <v>1350158197</v>
      </c>
    </row>
    <row r="17" spans="1:15" s="75" customFormat="1" ht="27" customHeight="1">
      <c r="A17" s="73" t="s">
        <v>56</v>
      </c>
      <c r="B17" s="162" t="s">
        <v>184</v>
      </c>
      <c r="C17" s="467">
        <f>17840000+340000</f>
        <v>18180000</v>
      </c>
      <c r="D17" s="467">
        <f>17863000+335000</f>
        <v>18198000</v>
      </c>
      <c r="E17" s="467">
        <f>17840000+3461842+407211</f>
        <v>21709053</v>
      </c>
      <c r="F17" s="467">
        <f>17400000+3461842+35874+644474</f>
        <v>21542190</v>
      </c>
      <c r="G17" s="467">
        <f>17400000+364361+3461842+1343593+644475</f>
        <v>23214271</v>
      </c>
      <c r="H17" s="467">
        <f>17620000+3461842+1343593+644474-40055+37984+220000</f>
        <v>23287838</v>
      </c>
      <c r="I17" s="467">
        <f>17400000+3461842+1343593+644475-40054+6000+112959</f>
        <v>22928815</v>
      </c>
      <c r="J17" s="467">
        <f>17400000+3461842+1343593+644474-40055+280500+112959</f>
        <v>23203313</v>
      </c>
      <c r="K17" s="467">
        <f>17400000+3461842+1343593+644475-40055+6000+280500+112959</f>
        <v>23209314</v>
      </c>
      <c r="L17" s="467">
        <f>17440000+3461842+1343593+644474-40054+112959</f>
        <v>22962814</v>
      </c>
      <c r="M17" s="467">
        <f>17400000+1343593-2+644475-40055+112959</f>
        <v>19460970</v>
      </c>
      <c r="N17" s="467">
        <f>17400000+644475-40054+9830+112959</f>
        <v>18127210</v>
      </c>
      <c r="O17" s="888">
        <f t="shared" si="2"/>
        <v>256023788</v>
      </c>
    </row>
    <row r="18" spans="1:15" s="75" customFormat="1" ht="13.5" customHeight="1">
      <c r="A18" s="73" t="s">
        <v>57</v>
      </c>
      <c r="B18" s="160" t="s">
        <v>153</v>
      </c>
      <c r="C18" s="467">
        <v>84000000</v>
      </c>
      <c r="D18" s="467">
        <v>84000000</v>
      </c>
      <c r="E18" s="467">
        <f>84000000+4158000</f>
        <v>88158000</v>
      </c>
      <c r="F18" s="467">
        <f>75000000+4158000</f>
        <v>79158000</v>
      </c>
      <c r="G18" s="467">
        <f>74000000+4158000+200000+3939600+3519761</f>
        <v>85817361</v>
      </c>
      <c r="H18" s="467">
        <f>52397442+4158000+200000+270000+3800000+3519761+3000000</f>
        <v>67345203</v>
      </c>
      <c r="I18" s="467">
        <f>60000000+4158000+200000+3800000+3519761+3000000</f>
        <v>74677761</v>
      </c>
      <c r="J18" s="467">
        <f>60000000+4158000+200000+3800000+3519761+1000000+2000000</f>
        <v>74677761</v>
      </c>
      <c r="K18" s="467">
        <f>55000000+4158000+200000+3800000+3519761+2295882+3000000</f>
        <v>71973643</v>
      </c>
      <c r="L18" s="467">
        <f>65000000+4158000+200000+3800000+3519761+3000000+1384339</f>
        <v>81062100</v>
      </c>
      <c r="M18" s="467">
        <f>75000000+4158000+200000+3800000+3519761+1500000</f>
        <v>88177761</v>
      </c>
      <c r="N18" s="467">
        <f>84000000+4158000-96+200000-8488680+3800000+3519761+1500000</f>
        <v>88688985</v>
      </c>
      <c r="O18" s="888">
        <f t="shared" si="2"/>
        <v>967736575</v>
      </c>
    </row>
    <row r="19" spans="1:15" s="75" customFormat="1" ht="13.5" customHeight="1">
      <c r="A19" s="73" t="s">
        <v>58</v>
      </c>
      <c r="B19" s="160" t="s">
        <v>185</v>
      </c>
      <c r="C19" s="467">
        <v>4000000</v>
      </c>
      <c r="D19" s="467">
        <v>4000000</v>
      </c>
      <c r="E19" s="467">
        <v>5000000</v>
      </c>
      <c r="F19" s="467">
        <v>4000000</v>
      </c>
      <c r="G19" s="467">
        <v>5000000</v>
      </c>
      <c r="H19" s="467">
        <v>5000000</v>
      </c>
      <c r="I19" s="467">
        <v>4000000</v>
      </c>
      <c r="J19" s="467">
        <v>17000000</v>
      </c>
      <c r="K19" s="467">
        <v>5000000</v>
      </c>
      <c r="L19" s="467">
        <v>4230000</v>
      </c>
      <c r="M19" s="467">
        <v>17000000</v>
      </c>
      <c r="N19" s="467">
        <v>21000000</v>
      </c>
      <c r="O19" s="507">
        <f t="shared" si="2"/>
        <v>95230000</v>
      </c>
    </row>
    <row r="20" spans="1:15" s="75" customFormat="1" ht="13.5" customHeight="1">
      <c r="A20" s="73" t="s">
        <v>59</v>
      </c>
      <c r="B20" s="160" t="s">
        <v>38</v>
      </c>
      <c r="C20" s="467">
        <v>1500</v>
      </c>
      <c r="D20" s="467"/>
      <c r="E20" s="467">
        <f>8000000+3500000</f>
        <v>11500000</v>
      </c>
      <c r="F20" s="467">
        <v>2000000</v>
      </c>
      <c r="G20" s="467">
        <f>2000000+6600000+7242044+60754+2000000</f>
        <v>17902798</v>
      </c>
      <c r="H20" s="467">
        <v>10000000</v>
      </c>
      <c r="I20" s="467">
        <v>1165000</v>
      </c>
      <c r="J20" s="467">
        <v>1000000</v>
      </c>
      <c r="K20" s="467">
        <v>8000000</v>
      </c>
      <c r="L20" s="467">
        <v>2000000</v>
      </c>
      <c r="M20" s="467">
        <v>2000000</v>
      </c>
      <c r="N20" s="467">
        <v>1000000</v>
      </c>
      <c r="O20" s="507">
        <f t="shared" si="2"/>
        <v>56569298</v>
      </c>
    </row>
    <row r="21" spans="1:16" s="75" customFormat="1" ht="13.5" customHeight="1">
      <c r="A21" s="73" t="s">
        <v>60</v>
      </c>
      <c r="B21" s="160" t="s">
        <v>208</v>
      </c>
      <c r="C21" s="467">
        <v>2000000</v>
      </c>
      <c r="D21" s="467">
        <v>2000000</v>
      </c>
      <c r="E21" s="467">
        <v>2500000</v>
      </c>
      <c r="F21" s="467">
        <f>4500000+979170</f>
        <v>5479170</v>
      </c>
      <c r="G21" s="467">
        <f>8000000-265000</f>
        <v>7735000</v>
      </c>
      <c r="H21" s="467">
        <f>8500000+63976</f>
        <v>8563976</v>
      </c>
      <c r="I21" s="467">
        <f>2500000+18116187+2239176+988736</f>
        <v>23844099</v>
      </c>
      <c r="J21" s="467">
        <v>3000000</v>
      </c>
      <c r="K21" s="467">
        <v>2000000</v>
      </c>
      <c r="L21" s="467">
        <f>2000000+70000000</f>
        <v>72000000</v>
      </c>
      <c r="M21" s="467">
        <f>3000000+16000000</f>
        <v>19000000</v>
      </c>
      <c r="N21" s="467">
        <f>2000000+7000000</f>
        <v>9000000</v>
      </c>
      <c r="O21" s="888">
        <f t="shared" si="2"/>
        <v>157122245</v>
      </c>
      <c r="P21" s="503"/>
    </row>
    <row r="22" spans="1:15" s="75" customFormat="1" ht="15.75">
      <c r="A22" s="73" t="s">
        <v>61</v>
      </c>
      <c r="B22" s="162" t="s">
        <v>188</v>
      </c>
      <c r="C22" s="467"/>
      <c r="D22" s="467"/>
      <c r="E22" s="467">
        <v>365393</v>
      </c>
      <c r="F22" s="467">
        <v>1794600</v>
      </c>
      <c r="G22" s="467">
        <f>2158000+578000+157000</f>
        <v>2893000</v>
      </c>
      <c r="H22" s="467">
        <f>2000000+1000000+239841</f>
        <v>3239841</v>
      </c>
      <c r="I22" s="467">
        <f>70000000+600000</f>
        <v>70600000</v>
      </c>
      <c r="J22" s="467">
        <v>3000000</v>
      </c>
      <c r="K22" s="467"/>
      <c r="L22" s="467">
        <f>2500000+5714910</f>
        <v>8214910</v>
      </c>
      <c r="M22" s="467"/>
      <c r="N22" s="467"/>
      <c r="O22" s="507">
        <f t="shared" si="2"/>
        <v>90107744</v>
      </c>
    </row>
    <row r="23" spans="1:15" s="75" customFormat="1" ht="13.5" customHeight="1">
      <c r="A23" s="73" t="s">
        <v>62</v>
      </c>
      <c r="B23" s="160" t="s">
        <v>210</v>
      </c>
      <c r="C23" s="467"/>
      <c r="D23" s="467"/>
      <c r="E23" s="467"/>
      <c r="F23" s="467">
        <v>2400000</v>
      </c>
      <c r="G23" s="467">
        <v>1348000</v>
      </c>
      <c r="H23" s="467">
        <v>600000</v>
      </c>
      <c r="I23" s="467">
        <v>42072000</v>
      </c>
      <c r="J23" s="467"/>
      <c r="K23" s="467"/>
      <c r="L23" s="467"/>
      <c r="M23" s="467"/>
      <c r="N23" s="467"/>
      <c r="O23" s="507">
        <f t="shared" si="2"/>
        <v>46420000</v>
      </c>
    </row>
    <row r="24" spans="1:15" s="75" customFormat="1" ht="13.5" customHeight="1">
      <c r="A24" s="73" t="s">
        <v>63</v>
      </c>
      <c r="B24" s="160" t="s">
        <v>74</v>
      </c>
      <c r="C24" s="467"/>
      <c r="D24" s="467"/>
      <c r="E24" s="467">
        <v>500000</v>
      </c>
      <c r="F24" s="467">
        <f>14000000-1700000-1600000-8539600</f>
        <v>2160400</v>
      </c>
      <c r="G24" s="467">
        <f>14000000-1700000+2396232-7948000</f>
        <v>6748232</v>
      </c>
      <c r="H24" s="467">
        <f>15000000-1700000-1000000-7343244+30115784</f>
        <v>35072540</v>
      </c>
      <c r="I24" s="467">
        <f>15000000-1700000-1000000</f>
        <v>12300000</v>
      </c>
      <c r="J24" s="467">
        <f>15000000-1700000-1000000</f>
        <v>12300000</v>
      </c>
      <c r="K24" s="467">
        <f>14613300-1700000-1010722</f>
        <v>11902578</v>
      </c>
      <c r="L24" s="467">
        <f>14500000-1700000</f>
        <v>12800000</v>
      </c>
      <c r="M24" s="467">
        <f>14000000-1700000</f>
        <v>12300000</v>
      </c>
      <c r="N24" s="467">
        <f>14000000-1700000-1745643</f>
        <v>10554357</v>
      </c>
      <c r="O24" s="888">
        <f t="shared" si="2"/>
        <v>116638107</v>
      </c>
    </row>
    <row r="25" spans="1:15" s="75" customFormat="1" ht="13.5" customHeight="1" thickBot="1">
      <c r="A25" s="73" t="s">
        <v>64</v>
      </c>
      <c r="B25" s="160" t="s">
        <v>39</v>
      </c>
      <c r="C25" s="74">
        <v>35164932</v>
      </c>
      <c r="D25" s="74"/>
      <c r="E25" s="74">
        <v>790000</v>
      </c>
      <c r="F25" s="467"/>
      <c r="G25" s="74"/>
      <c r="H25" s="74">
        <v>790000</v>
      </c>
      <c r="I25" s="74"/>
      <c r="J25" s="74"/>
      <c r="K25" s="74">
        <v>791000</v>
      </c>
      <c r="L25" s="74">
        <v>70000000</v>
      </c>
      <c r="M25" s="74"/>
      <c r="N25" s="74">
        <v>30790000</v>
      </c>
      <c r="O25" s="507">
        <f t="shared" si="2"/>
        <v>138325932</v>
      </c>
    </row>
    <row r="26" spans="1:15" s="71" customFormat="1" ht="15.75" customHeight="1" thickBot="1">
      <c r="A26" s="79" t="s">
        <v>65</v>
      </c>
      <c r="B26" s="30" t="s">
        <v>134</v>
      </c>
      <c r="C26" s="76">
        <f aca="true" t="shared" si="3" ref="C26:N26">SUM(C16:C25)</f>
        <v>226346432</v>
      </c>
      <c r="D26" s="76">
        <f t="shared" si="3"/>
        <v>191303000</v>
      </c>
      <c r="E26" s="76">
        <f t="shared" si="3"/>
        <v>244993746</v>
      </c>
      <c r="F26" s="76">
        <f t="shared" si="3"/>
        <v>234357608</v>
      </c>
      <c r="G26" s="76">
        <f t="shared" si="3"/>
        <v>278370264</v>
      </c>
      <c r="H26" s="76">
        <f t="shared" si="3"/>
        <v>283487955</v>
      </c>
      <c r="I26" s="76">
        <f t="shared" si="3"/>
        <v>379737677</v>
      </c>
      <c r="J26" s="76">
        <f t="shared" si="3"/>
        <v>263591076</v>
      </c>
      <c r="K26" s="76">
        <f t="shared" si="3"/>
        <v>252301536</v>
      </c>
      <c r="L26" s="76">
        <f t="shared" si="3"/>
        <v>401610390</v>
      </c>
      <c r="M26" s="76">
        <f t="shared" si="3"/>
        <v>254602428</v>
      </c>
      <c r="N26" s="76">
        <f t="shared" si="3"/>
        <v>263629774</v>
      </c>
      <c r="O26" s="77">
        <f t="shared" si="2"/>
        <v>3274331886</v>
      </c>
    </row>
    <row r="27" spans="1:15" ht="16.5" thickBot="1">
      <c r="A27" s="79" t="s">
        <v>66</v>
      </c>
      <c r="B27" s="164" t="s">
        <v>135</v>
      </c>
      <c r="C27" s="80">
        <f aca="true" t="shared" si="4" ref="C27:O27">C14-C26</f>
        <v>242786983</v>
      </c>
      <c r="D27" s="80">
        <f t="shared" si="4"/>
        <v>-13455000</v>
      </c>
      <c r="E27" s="80">
        <f t="shared" si="4"/>
        <v>95380776</v>
      </c>
      <c r="F27" s="80">
        <f t="shared" si="4"/>
        <v>21372682</v>
      </c>
      <c r="G27" s="80">
        <f t="shared" si="4"/>
        <v>-29701854</v>
      </c>
      <c r="H27" s="80">
        <f t="shared" si="4"/>
        <v>29118043</v>
      </c>
      <c r="I27" s="80">
        <f t="shared" si="4"/>
        <v>-71389094</v>
      </c>
      <c r="J27" s="80">
        <f t="shared" si="4"/>
        <v>-19211554</v>
      </c>
      <c r="K27" s="80">
        <f t="shared" si="4"/>
        <v>71077986</v>
      </c>
      <c r="L27" s="80">
        <f t="shared" si="4"/>
        <v>-193309887</v>
      </c>
      <c r="M27" s="80">
        <f t="shared" si="4"/>
        <v>-51268228</v>
      </c>
      <c r="N27" s="80">
        <f t="shared" si="4"/>
        <v>-81400853</v>
      </c>
      <c r="O27" s="81">
        <f t="shared" si="4"/>
        <v>0</v>
      </c>
    </row>
    <row r="28" ht="15.75">
      <c r="A28" s="83"/>
    </row>
    <row r="29" spans="2:15" ht="15.75">
      <c r="B29" s="84"/>
      <c r="C29" s="85"/>
      <c r="D29" s="85"/>
      <c r="O29" s="82"/>
    </row>
    <row r="30" ht="15.75">
      <c r="O30" s="82"/>
    </row>
    <row r="31" ht="15.75">
      <c r="O31" s="82"/>
    </row>
    <row r="32" ht="15.75">
      <c r="O32" s="82"/>
    </row>
    <row r="33" ht="15.75">
      <c r="O33" s="82"/>
    </row>
    <row r="34" ht="15.75">
      <c r="O34" s="82"/>
    </row>
    <row r="35" ht="15.75">
      <c r="O35" s="82"/>
    </row>
    <row r="36" ht="15.75">
      <c r="O36" s="82"/>
    </row>
    <row r="37" ht="15.75">
      <c r="O37" s="82"/>
    </row>
    <row r="38" ht="15.75">
      <c r="O38" s="82"/>
    </row>
    <row r="39" ht="15.75">
      <c r="O39" s="82"/>
    </row>
    <row r="40" ht="15.75">
      <c r="O40" s="82"/>
    </row>
    <row r="41" ht="15.75">
      <c r="O41" s="82"/>
    </row>
    <row r="42" ht="15.75">
      <c r="O42" s="82"/>
    </row>
    <row r="43" ht="15.75">
      <c r="O43" s="82"/>
    </row>
    <row r="44" ht="15.75">
      <c r="O44" s="82"/>
    </row>
    <row r="45" ht="15.75">
      <c r="O45" s="82"/>
    </row>
    <row r="46" ht="15.75">
      <c r="O46" s="82"/>
    </row>
    <row r="47" ht="15.75">
      <c r="O47" s="82"/>
    </row>
    <row r="48" ht="15.75">
      <c r="O48" s="82"/>
    </row>
    <row r="49" ht="15.75">
      <c r="O49" s="82"/>
    </row>
    <row r="50" ht="15.75">
      <c r="O50" s="82"/>
    </row>
    <row r="51" ht="15.75">
      <c r="O51" s="82"/>
    </row>
    <row r="52" ht="15.75">
      <c r="O52" s="82"/>
    </row>
    <row r="53" ht="15.75">
      <c r="O53" s="82"/>
    </row>
    <row r="54" ht="15.75">
      <c r="O54" s="82"/>
    </row>
    <row r="55" ht="15.75">
      <c r="O55" s="82"/>
    </row>
    <row r="56" ht="15.75">
      <c r="O56" s="82"/>
    </row>
    <row r="57" ht="15.75">
      <c r="O57" s="82"/>
    </row>
    <row r="58" ht="15.75">
      <c r="O58" s="82"/>
    </row>
    <row r="59" ht="15.75">
      <c r="O59" s="82"/>
    </row>
    <row r="60" ht="15.75">
      <c r="O60" s="82"/>
    </row>
    <row r="61" ht="15.75">
      <c r="O61" s="82"/>
    </row>
    <row r="62" ht="15.75">
      <c r="O62" s="82"/>
    </row>
    <row r="63" ht="15.75">
      <c r="O63" s="82"/>
    </row>
    <row r="64" ht="15.75">
      <c r="O64" s="82"/>
    </row>
    <row r="65" ht="15.75">
      <c r="O65" s="82"/>
    </row>
    <row r="66" ht="15.75">
      <c r="O66" s="82"/>
    </row>
    <row r="67" ht="15.75">
      <c r="O67" s="82"/>
    </row>
    <row r="68" ht="15.75">
      <c r="O68" s="82"/>
    </row>
    <row r="69" ht="15.75">
      <c r="O69" s="82"/>
    </row>
    <row r="70" ht="15.75">
      <c r="O70" s="82"/>
    </row>
    <row r="71" ht="15.75">
      <c r="O71" s="82"/>
    </row>
    <row r="72" ht="15.75">
      <c r="O72" s="82"/>
    </row>
    <row r="73" ht="15.75">
      <c r="O73" s="82"/>
    </row>
    <row r="74" ht="15.75">
      <c r="O74" s="82"/>
    </row>
    <row r="75" ht="15.75">
      <c r="O75" s="82"/>
    </row>
    <row r="76" ht="15.75">
      <c r="O76" s="82"/>
    </row>
    <row r="77" ht="15.75">
      <c r="O77" s="82"/>
    </row>
    <row r="78" ht="15.75">
      <c r="O78" s="82"/>
    </row>
    <row r="79" ht="15.75">
      <c r="O79" s="82"/>
    </row>
    <row r="80" ht="15.75">
      <c r="O80" s="82"/>
    </row>
    <row r="81" ht="15.75">
      <c r="O81" s="82"/>
    </row>
    <row r="82" ht="15.75">
      <c r="O82" s="8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 36. melléklet a  20/2017.(VI.29.) önkormányzati rendelethez
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0"/>
  <sheetViews>
    <sheetView tabSelected="1" view="pageLayout" workbookViewId="0" topLeftCell="A1">
      <selection activeCell="K4" sqref="K4"/>
    </sheetView>
  </sheetViews>
  <sheetFormatPr defaultColWidth="10.625" defaultRowHeight="12.75"/>
  <cols>
    <col min="1" max="1" width="42.375" style="387" customWidth="1"/>
    <col min="2" max="2" width="12.625" style="388" bestFit="1" customWidth="1"/>
    <col min="3" max="4" width="11.125" style="388" bestFit="1" customWidth="1"/>
    <col min="5" max="5" width="11.375" style="388" bestFit="1" customWidth="1"/>
    <col min="6" max="6" width="11.125" style="388" bestFit="1" customWidth="1"/>
    <col min="7" max="7" width="12.625" style="389" bestFit="1" customWidth="1"/>
    <col min="8" max="8" width="1.12109375" style="389" customWidth="1"/>
    <col min="9" max="9" width="12.625" style="387" bestFit="1" customWidth="1"/>
    <col min="10" max="10" width="11.125" style="387" bestFit="1" customWidth="1"/>
    <col min="11" max="11" width="12.625" style="387" bestFit="1" customWidth="1"/>
    <col min="12" max="13" width="11.125" style="387" bestFit="1" customWidth="1"/>
    <col min="14" max="14" width="15.125" style="390" bestFit="1" customWidth="1"/>
    <col min="15" max="16384" width="10.625" style="387" customWidth="1"/>
  </cols>
  <sheetData>
    <row r="1" spans="10:13" ht="12.75">
      <c r="J1" s="974"/>
      <c r="K1" s="974"/>
      <c r="L1" s="974"/>
      <c r="M1" s="974"/>
    </row>
    <row r="2" spans="1:14" ht="12.75">
      <c r="A2" s="391"/>
      <c r="E2" s="504"/>
      <c r="I2" s="391"/>
      <c r="J2" s="973"/>
      <c r="K2" s="973"/>
      <c r="L2" s="973"/>
      <c r="M2" s="973"/>
      <c r="N2" s="392"/>
    </row>
    <row r="3" spans="1:14" ht="17.25" customHeight="1">
      <c r="A3" s="393" t="s">
        <v>647</v>
      </c>
      <c r="B3" s="394"/>
      <c r="C3" s="394"/>
      <c r="D3" s="394"/>
      <c r="E3" s="394"/>
      <c r="F3" s="394"/>
      <c r="G3" s="395"/>
      <c r="H3" s="395"/>
      <c r="I3" s="396"/>
      <c r="J3" s="396"/>
      <c r="K3" s="396"/>
      <c r="L3" s="396"/>
      <c r="M3" s="396"/>
      <c r="N3" s="397"/>
    </row>
    <row r="4" spans="1:14" ht="19.5">
      <c r="A4" s="398" t="s">
        <v>457</v>
      </c>
      <c r="B4" s="394"/>
      <c r="C4" s="394"/>
      <c r="D4" s="394"/>
      <c r="E4" s="394"/>
      <c r="F4" s="394"/>
      <c r="G4" s="395"/>
      <c r="H4" s="395"/>
      <c r="I4" s="396"/>
      <c r="J4" s="396"/>
      <c r="K4" s="396"/>
      <c r="L4" s="396"/>
      <c r="M4" s="396"/>
      <c r="N4" s="397"/>
    </row>
    <row r="5" spans="1:14" ht="0.75" customHeight="1" thickBot="1">
      <c r="A5" s="399"/>
      <c r="B5" s="394"/>
      <c r="C5" s="394"/>
      <c r="D5" s="394"/>
      <c r="E5" s="394"/>
      <c r="F5" s="394"/>
      <c r="G5" s="395"/>
      <c r="H5" s="395"/>
      <c r="I5" s="396"/>
      <c r="J5" s="396"/>
      <c r="K5" s="396"/>
      <c r="L5" s="396"/>
      <c r="M5" s="396"/>
      <c r="N5" s="392" t="s">
        <v>417</v>
      </c>
    </row>
    <row r="6" spans="1:14" ht="15.75">
      <c r="A6" s="400" t="s">
        <v>199</v>
      </c>
      <c r="B6" s="975" t="s">
        <v>458</v>
      </c>
      <c r="C6" s="976"/>
      <c r="D6" s="976"/>
      <c r="E6" s="976"/>
      <c r="F6" s="976"/>
      <c r="G6" s="977"/>
      <c r="H6" s="401"/>
      <c r="I6" s="975" t="s">
        <v>459</v>
      </c>
      <c r="J6" s="976"/>
      <c r="K6" s="976"/>
      <c r="L6" s="976"/>
      <c r="M6" s="976"/>
      <c r="N6" s="977"/>
    </row>
    <row r="7" spans="1:14" ht="12.75">
      <c r="A7" s="402"/>
      <c r="B7" s="403" t="s">
        <v>460</v>
      </c>
      <c r="C7" s="404" t="s">
        <v>442</v>
      </c>
      <c r="D7" s="404" t="s">
        <v>484</v>
      </c>
      <c r="E7" s="404" t="s">
        <v>461</v>
      </c>
      <c r="F7" s="404" t="s">
        <v>613</v>
      </c>
      <c r="G7" s="405" t="s">
        <v>649</v>
      </c>
      <c r="H7" s="406"/>
      <c r="I7" s="403" t="s">
        <v>460</v>
      </c>
      <c r="J7" s="404" t="s">
        <v>442</v>
      </c>
      <c r="K7" s="404" t="s">
        <v>493</v>
      </c>
      <c r="L7" s="404" t="s">
        <v>147</v>
      </c>
      <c r="M7" s="404" t="s">
        <v>485</v>
      </c>
      <c r="N7" s="405" t="s">
        <v>650</v>
      </c>
    </row>
    <row r="8" spans="1:14" ht="13.5" thickBot="1">
      <c r="A8" s="407"/>
      <c r="B8" s="408" t="s">
        <v>462</v>
      </c>
      <c r="C8" s="409" t="s">
        <v>462</v>
      </c>
      <c r="D8" s="409" t="s">
        <v>462</v>
      </c>
      <c r="E8" s="409" t="s">
        <v>463</v>
      </c>
      <c r="F8" s="409"/>
      <c r="G8" s="410" t="s">
        <v>464</v>
      </c>
      <c r="H8" s="411"/>
      <c r="I8" s="408" t="s">
        <v>465</v>
      </c>
      <c r="J8" s="409" t="s">
        <v>448</v>
      </c>
      <c r="K8" s="409" t="s">
        <v>444</v>
      </c>
      <c r="L8" s="409"/>
      <c r="M8" s="409"/>
      <c r="N8" s="410" t="s">
        <v>466</v>
      </c>
    </row>
    <row r="9" spans="1:194" ht="12.75">
      <c r="A9" s="596" t="s">
        <v>486</v>
      </c>
      <c r="B9" s="591">
        <v>4075000</v>
      </c>
      <c r="C9" s="412"/>
      <c r="D9" s="891"/>
      <c r="E9" s="412"/>
      <c r="F9" s="412"/>
      <c r="G9" s="413">
        <f>SUM(B9:F9)</f>
        <v>4075000</v>
      </c>
      <c r="H9" s="414"/>
      <c r="I9" s="513"/>
      <c r="J9" s="412"/>
      <c r="K9" s="415"/>
      <c r="L9" s="412"/>
      <c r="M9" s="412"/>
      <c r="N9" s="890">
        <f aca="true" t="shared" si="0" ref="N9:N16">SUM(I9:M9)</f>
        <v>0</v>
      </c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6"/>
      <c r="DR9" s="416"/>
      <c r="DS9" s="416"/>
      <c r="DT9" s="416"/>
      <c r="DU9" s="416"/>
      <c r="DV9" s="416"/>
      <c r="DW9" s="416"/>
      <c r="DX9" s="416"/>
      <c r="DY9" s="416"/>
      <c r="DZ9" s="416"/>
      <c r="EA9" s="416"/>
      <c r="EB9" s="416"/>
      <c r="EC9" s="416"/>
      <c r="ED9" s="416"/>
      <c r="EE9" s="416"/>
      <c r="EF9" s="416"/>
      <c r="EG9" s="416"/>
      <c r="EH9" s="416"/>
      <c r="EI9" s="416"/>
      <c r="EJ9" s="416"/>
      <c r="EK9" s="416"/>
      <c r="EL9" s="416"/>
      <c r="EM9" s="416"/>
      <c r="EN9" s="416"/>
      <c r="EO9" s="416"/>
      <c r="EP9" s="416"/>
      <c r="EQ9" s="416"/>
      <c r="ER9" s="416"/>
      <c r="ES9" s="416"/>
      <c r="ET9" s="416"/>
      <c r="EU9" s="416"/>
      <c r="EV9" s="416"/>
      <c r="EW9" s="416"/>
      <c r="EX9" s="416"/>
      <c r="EY9" s="416"/>
      <c r="EZ9" s="416"/>
      <c r="FA9" s="416"/>
      <c r="FB9" s="416"/>
      <c r="FC9" s="416"/>
      <c r="FD9" s="416"/>
      <c r="FE9" s="416"/>
      <c r="FF9" s="416"/>
      <c r="FG9" s="416"/>
      <c r="FH9" s="416"/>
      <c r="FI9" s="416"/>
      <c r="FJ9" s="416"/>
      <c r="FK9" s="416"/>
      <c r="FL9" s="416"/>
      <c r="FM9" s="416"/>
      <c r="FN9" s="416"/>
      <c r="FO9" s="416"/>
      <c r="FP9" s="416"/>
      <c r="FQ9" s="416"/>
      <c r="FR9" s="416"/>
      <c r="FS9" s="416"/>
      <c r="FT9" s="416"/>
      <c r="FU9" s="416"/>
      <c r="FV9" s="416"/>
      <c r="FW9" s="416"/>
      <c r="FX9" s="416"/>
      <c r="FY9" s="416"/>
      <c r="FZ9" s="416"/>
      <c r="GA9" s="416"/>
      <c r="GB9" s="416"/>
      <c r="GC9" s="416"/>
      <c r="GD9" s="416"/>
      <c r="GE9" s="416"/>
      <c r="GF9" s="416"/>
      <c r="GG9" s="416"/>
      <c r="GH9" s="416"/>
      <c r="GI9" s="416"/>
      <c r="GJ9" s="416"/>
      <c r="GK9" s="416"/>
      <c r="GL9" s="416"/>
    </row>
    <row r="10" spans="1:14" ht="12.75">
      <c r="A10" s="465" t="s">
        <v>599</v>
      </c>
      <c r="B10" s="592"/>
      <c r="C10" s="422"/>
      <c r="D10" s="422"/>
      <c r="E10" s="422"/>
      <c r="F10" s="422"/>
      <c r="G10" s="418">
        <f>SUM(B10:F10)</f>
        <v>0</v>
      </c>
      <c r="H10" s="419"/>
      <c r="I10" s="420">
        <v>12011000</v>
      </c>
      <c r="J10" s="422"/>
      <c r="K10" s="422"/>
      <c r="L10" s="422"/>
      <c r="M10" s="422"/>
      <c r="N10" s="423">
        <f t="shared" si="0"/>
        <v>12011000</v>
      </c>
    </row>
    <row r="11" spans="1:14" ht="12.75">
      <c r="A11" s="597" t="s">
        <v>617</v>
      </c>
      <c r="B11" s="592"/>
      <c r="C11" s="422"/>
      <c r="D11" s="422"/>
      <c r="E11" s="422"/>
      <c r="F11" s="422"/>
      <c r="G11" s="418">
        <f>SUM(B11:F11)</f>
        <v>0</v>
      </c>
      <c r="H11" s="419"/>
      <c r="I11" s="420"/>
      <c r="J11" s="422"/>
      <c r="K11" s="422"/>
      <c r="L11" s="422"/>
      <c r="M11" s="422"/>
      <c r="N11" s="423">
        <f t="shared" si="0"/>
        <v>0</v>
      </c>
    </row>
    <row r="12" spans="1:14" ht="12.75">
      <c r="A12" s="597" t="s">
        <v>618</v>
      </c>
      <c r="B12" s="592"/>
      <c r="C12" s="422"/>
      <c r="D12" s="422"/>
      <c r="E12" s="422"/>
      <c r="F12" s="422"/>
      <c r="G12" s="418"/>
      <c r="H12" s="437"/>
      <c r="I12" s="420"/>
      <c r="J12" s="893">
        <f>6621000+4226991</f>
        <v>10847991</v>
      </c>
      <c r="K12" s="422"/>
      <c r="L12" s="422"/>
      <c r="M12" s="422"/>
      <c r="N12" s="423">
        <f t="shared" si="0"/>
        <v>10847991</v>
      </c>
    </row>
    <row r="13" spans="1:14" ht="12.75">
      <c r="A13" s="597" t="s">
        <v>487</v>
      </c>
      <c r="B13" s="592"/>
      <c r="C13" s="892"/>
      <c r="D13" s="422"/>
      <c r="E13" s="422"/>
      <c r="F13" s="422"/>
      <c r="G13" s="418">
        <f aca="true" t="shared" si="1" ref="G13:G19">SUM(B13:F13)</f>
        <v>0</v>
      </c>
      <c r="H13" s="456" t="e">
        <f>SUM(#REF!)</f>
        <v>#REF!</v>
      </c>
      <c r="I13" s="420"/>
      <c r="J13" s="422"/>
      <c r="K13" s="422"/>
      <c r="L13" s="422"/>
      <c r="M13" s="422"/>
      <c r="N13" s="423">
        <f t="shared" si="0"/>
        <v>0</v>
      </c>
    </row>
    <row r="14" spans="1:14" ht="12.75">
      <c r="A14" s="598" t="s">
        <v>600</v>
      </c>
      <c r="B14" s="592">
        <f>7285000+5500000+1485000</f>
        <v>14270000</v>
      </c>
      <c r="C14" s="425"/>
      <c r="D14" s="422"/>
      <c r="E14" s="425"/>
      <c r="F14" s="425"/>
      <c r="G14" s="423">
        <f t="shared" si="1"/>
        <v>14270000</v>
      </c>
      <c r="H14" s="419"/>
      <c r="I14" s="420">
        <f>4801000+5200000+1647000+900000-162000</f>
        <v>12386000</v>
      </c>
      <c r="J14" s="422"/>
      <c r="K14" s="425"/>
      <c r="L14" s="425"/>
      <c r="M14" s="425"/>
      <c r="N14" s="423">
        <f t="shared" si="0"/>
        <v>12386000</v>
      </c>
    </row>
    <row r="15" spans="1:14" ht="12.75">
      <c r="A15" s="465" t="s">
        <v>467</v>
      </c>
      <c r="B15" s="592"/>
      <c r="C15" s="422"/>
      <c r="D15" s="422"/>
      <c r="E15" s="422"/>
      <c r="F15" s="422"/>
      <c r="G15" s="418">
        <f t="shared" si="1"/>
        <v>0</v>
      </c>
      <c r="H15" s="419"/>
      <c r="I15" s="420">
        <f>8715000+638680+172444</f>
        <v>9526124</v>
      </c>
      <c r="J15" s="422">
        <v>529000</v>
      </c>
      <c r="K15" s="422"/>
      <c r="L15" s="422"/>
      <c r="M15" s="422"/>
      <c r="N15" s="423">
        <f t="shared" si="0"/>
        <v>10055124</v>
      </c>
    </row>
    <row r="16" spans="1:14" ht="12.75">
      <c r="A16" s="465" t="s">
        <v>468</v>
      </c>
      <c r="B16" s="592">
        <v>100000</v>
      </c>
      <c r="C16" s="422"/>
      <c r="D16" s="422"/>
      <c r="E16" s="422"/>
      <c r="F16" s="422"/>
      <c r="G16" s="418">
        <f t="shared" si="1"/>
        <v>100000</v>
      </c>
      <c r="H16" s="419"/>
      <c r="I16" s="420">
        <v>1817000</v>
      </c>
      <c r="J16" s="422">
        <v>1513000</v>
      </c>
      <c r="K16" s="422"/>
      <c r="L16" s="422"/>
      <c r="M16" s="422"/>
      <c r="N16" s="423">
        <f t="shared" si="0"/>
        <v>3330000</v>
      </c>
    </row>
    <row r="17" spans="1:14" ht="12.75">
      <c r="A17" s="465" t="s">
        <v>469</v>
      </c>
      <c r="B17" s="592"/>
      <c r="C17" s="422"/>
      <c r="D17" s="422"/>
      <c r="E17" s="422"/>
      <c r="F17" s="422"/>
      <c r="G17" s="418">
        <f t="shared" si="1"/>
        <v>0</v>
      </c>
      <c r="H17" s="419"/>
      <c r="I17" s="420"/>
      <c r="J17" s="422"/>
      <c r="K17" s="422"/>
      <c r="L17" s="422"/>
      <c r="M17" s="422"/>
      <c r="N17" s="423">
        <f aca="true" t="shared" si="2" ref="N17:N50">SUM(I17:M17)</f>
        <v>0</v>
      </c>
    </row>
    <row r="18" spans="1:14" ht="12.75">
      <c r="A18" s="465" t="s">
        <v>470</v>
      </c>
      <c r="B18" s="896">
        <v>6840000</v>
      </c>
      <c r="C18" s="898">
        <v>2160000</v>
      </c>
      <c r="D18" s="425"/>
      <c r="E18" s="425"/>
      <c r="F18" s="425"/>
      <c r="G18" s="423">
        <f t="shared" si="1"/>
        <v>9000000</v>
      </c>
      <c r="H18" s="424"/>
      <c r="I18" s="897">
        <f>31466000+66000-231000-45738+6840000</f>
        <v>38095262</v>
      </c>
      <c r="J18" s="893">
        <v>2160000</v>
      </c>
      <c r="K18" s="425"/>
      <c r="L18" s="425"/>
      <c r="M18" s="425"/>
      <c r="N18" s="423">
        <f t="shared" si="2"/>
        <v>40255262</v>
      </c>
    </row>
    <row r="19" spans="1:14" ht="12.75">
      <c r="A19" s="599" t="s">
        <v>471</v>
      </c>
      <c r="B19" s="593"/>
      <c r="C19" s="425"/>
      <c r="D19" s="425"/>
      <c r="E19" s="425"/>
      <c r="F19" s="425"/>
      <c r="G19" s="423">
        <f t="shared" si="1"/>
        <v>0</v>
      </c>
      <c r="H19" s="424"/>
      <c r="I19" s="897">
        <f>300000+6294578+1699536+241138+65107</f>
        <v>8600359</v>
      </c>
      <c r="J19" s="425"/>
      <c r="K19" s="425"/>
      <c r="L19" s="425"/>
      <c r="M19" s="425"/>
      <c r="N19" s="423">
        <f t="shared" si="2"/>
        <v>8600359</v>
      </c>
    </row>
    <row r="20" spans="1:14" ht="12.75">
      <c r="A20" s="600" t="s">
        <v>472</v>
      </c>
      <c r="B20" s="592">
        <f>SUM(B21:B23)</f>
        <v>0</v>
      </c>
      <c r="C20" s="422">
        <f>SUM(C21:C23)</f>
        <v>0</v>
      </c>
      <c r="D20" s="422">
        <f>SUM(D21:D23)</f>
        <v>319390000</v>
      </c>
      <c r="E20" s="422"/>
      <c r="F20" s="422"/>
      <c r="G20" s="423">
        <f>SUM(G21:G23)</f>
        <v>319390000</v>
      </c>
      <c r="H20" s="424"/>
      <c r="I20" s="430"/>
      <c r="J20" s="425"/>
      <c r="K20" s="425">
        <f>SUM(K21:K23)</f>
        <v>0</v>
      </c>
      <c r="L20" s="425"/>
      <c r="M20" s="425"/>
      <c r="N20" s="423">
        <f t="shared" si="2"/>
        <v>0</v>
      </c>
    </row>
    <row r="21" spans="1:14" ht="12.75">
      <c r="A21" s="601" t="s">
        <v>488</v>
      </c>
      <c r="B21" s="592"/>
      <c r="C21" s="425"/>
      <c r="D21" s="592">
        <f>282890000+3500000</f>
        <v>286390000</v>
      </c>
      <c r="E21" s="425"/>
      <c r="F21" s="425"/>
      <c r="G21" s="427">
        <f aca="true" t="shared" si="3" ref="G21:G27">SUM(B21:F21)</f>
        <v>286390000</v>
      </c>
      <c r="H21" s="424"/>
      <c r="I21" s="430"/>
      <c r="J21" s="425"/>
      <c r="K21" s="425"/>
      <c r="L21" s="425"/>
      <c r="M21" s="425"/>
      <c r="N21" s="431">
        <f t="shared" si="2"/>
        <v>0</v>
      </c>
    </row>
    <row r="22" spans="1:14" ht="12.75">
      <c r="A22" s="601" t="s">
        <v>473</v>
      </c>
      <c r="B22" s="592"/>
      <c r="C22" s="425"/>
      <c r="D22" s="592">
        <v>27000000</v>
      </c>
      <c r="E22" s="425"/>
      <c r="F22" s="425"/>
      <c r="G22" s="427">
        <f t="shared" si="3"/>
        <v>27000000</v>
      </c>
      <c r="H22" s="424"/>
      <c r="I22" s="430"/>
      <c r="J22" s="425"/>
      <c r="K22" s="425"/>
      <c r="L22" s="425"/>
      <c r="M22" s="425"/>
      <c r="N22" s="431">
        <f t="shared" si="2"/>
        <v>0</v>
      </c>
    </row>
    <row r="23" spans="1:14" ht="12.75">
      <c r="A23" s="601" t="s">
        <v>601</v>
      </c>
      <c r="B23" s="592"/>
      <c r="C23" s="425"/>
      <c r="D23" s="592">
        <v>6000000</v>
      </c>
      <c r="E23" s="425"/>
      <c r="F23" s="425"/>
      <c r="G23" s="427">
        <f t="shared" si="3"/>
        <v>6000000</v>
      </c>
      <c r="H23" s="424"/>
      <c r="I23" s="430"/>
      <c r="J23" s="425"/>
      <c r="K23" s="425"/>
      <c r="L23" s="425"/>
      <c r="M23" s="425"/>
      <c r="N23" s="431">
        <f t="shared" si="2"/>
        <v>0</v>
      </c>
    </row>
    <row r="24" spans="1:14" ht="12.75">
      <c r="A24" s="602" t="s">
        <v>9</v>
      </c>
      <c r="B24" s="593"/>
      <c r="C24" s="425"/>
      <c r="D24" s="425"/>
      <c r="E24" s="425"/>
      <c r="F24" s="425"/>
      <c r="G24" s="427">
        <f t="shared" si="3"/>
        <v>0</v>
      </c>
      <c r="H24" s="424"/>
      <c r="I24" s="420">
        <v>26600000</v>
      </c>
      <c r="J24" s="422"/>
      <c r="K24" s="425"/>
      <c r="L24" s="425"/>
      <c r="M24" s="425"/>
      <c r="N24" s="423">
        <f t="shared" si="2"/>
        <v>26600000</v>
      </c>
    </row>
    <row r="25" spans="1:14" ht="12.75">
      <c r="A25" s="465" t="s">
        <v>499</v>
      </c>
      <c r="B25" s="593"/>
      <c r="C25" s="425"/>
      <c r="D25" s="425"/>
      <c r="E25" s="425"/>
      <c r="F25" s="425"/>
      <c r="G25" s="423">
        <f t="shared" si="3"/>
        <v>0</v>
      </c>
      <c r="H25" s="424"/>
      <c r="I25" s="420">
        <v>835000</v>
      </c>
      <c r="J25" s="425"/>
      <c r="K25" s="425"/>
      <c r="L25" s="425"/>
      <c r="M25" s="425"/>
      <c r="N25" s="423">
        <f t="shared" si="2"/>
        <v>835000</v>
      </c>
    </row>
    <row r="26" spans="1:14" ht="12.75">
      <c r="A26" s="465" t="s">
        <v>474</v>
      </c>
      <c r="B26" s="593"/>
      <c r="C26" s="425"/>
      <c r="D26" s="425"/>
      <c r="E26" s="425"/>
      <c r="F26" s="425"/>
      <c r="G26" s="423">
        <f t="shared" si="3"/>
        <v>0</v>
      </c>
      <c r="H26" s="424"/>
      <c r="I26" s="420">
        <v>34925000</v>
      </c>
      <c r="J26" s="425">
        <v>2237000</v>
      </c>
      <c r="K26" s="425"/>
      <c r="L26" s="425"/>
      <c r="M26" s="425"/>
      <c r="N26" s="423">
        <f t="shared" si="2"/>
        <v>37162000</v>
      </c>
    </row>
    <row r="27" spans="1:14" ht="13.5" customHeight="1">
      <c r="A27" s="603" t="s">
        <v>475</v>
      </c>
      <c r="B27" s="899">
        <f>210000+1060845+383000+8458000+378000+723064+195228+3111000</f>
        <v>14519137</v>
      </c>
      <c r="C27" s="433"/>
      <c r="D27" s="454"/>
      <c r="E27" s="454"/>
      <c r="F27" s="433"/>
      <c r="G27" s="434">
        <f t="shared" si="3"/>
        <v>14519137</v>
      </c>
      <c r="H27" s="424"/>
      <c r="I27" s="895">
        <f>40773000+6010000+1233000+3429000+16678000+589000+117000+315000+86000+812000+3500000+1982000+91440+918292+6600000+1905000+600000+361225+723064+195228+208420+56274+3191000</f>
        <v>90373943</v>
      </c>
      <c r="J27" s="433">
        <f>6604000+2400000+1348000</f>
        <v>10352000</v>
      </c>
      <c r="K27" s="433"/>
      <c r="L27" s="454"/>
      <c r="M27" s="454"/>
      <c r="N27" s="434">
        <f t="shared" si="2"/>
        <v>100725943</v>
      </c>
    </row>
    <row r="28" spans="1:14" ht="12.75">
      <c r="A28" s="600" t="s">
        <v>489</v>
      </c>
      <c r="B28" s="592">
        <f>SUM(B29:B30)</f>
        <v>1373714195</v>
      </c>
      <c r="C28" s="422">
        <f>SUM(C29:C30)</f>
        <v>0</v>
      </c>
      <c r="D28" s="422">
        <f>SUM(D29:D30)</f>
        <v>0</v>
      </c>
      <c r="E28" s="422"/>
      <c r="F28" s="422"/>
      <c r="G28" s="423">
        <f>SUM(G29:G30)</f>
        <v>1373714195</v>
      </c>
      <c r="H28" s="455"/>
      <c r="I28" s="430">
        <f>SUM(I29:I30)</f>
        <v>42509676</v>
      </c>
      <c r="J28" s="430">
        <f>SUM(J29:J30)</f>
        <v>0</v>
      </c>
      <c r="K28" s="430">
        <f>SUM(K29:K30)</f>
        <v>0</v>
      </c>
      <c r="L28" s="430">
        <f>SUM(L29:L30)</f>
        <v>0</v>
      </c>
      <c r="M28" s="430">
        <f>SUM(M29:M30)</f>
        <v>0</v>
      </c>
      <c r="N28" s="423">
        <f t="shared" si="2"/>
        <v>42509676</v>
      </c>
    </row>
    <row r="29" spans="1:14" ht="12.75">
      <c r="A29" s="601" t="s">
        <v>490</v>
      </c>
      <c r="B29" s="592">
        <f>996138958+24250000-24250000+413944+9514709+49094027+4501192+10461768</f>
        <v>1070124598</v>
      </c>
      <c r="C29" s="422"/>
      <c r="D29" s="425"/>
      <c r="E29" s="425"/>
      <c r="F29" s="425"/>
      <c r="G29" s="427">
        <f aca="true" t="shared" si="4" ref="G29:G50">SUM(B29:F29)</f>
        <v>1070124598</v>
      </c>
      <c r="H29" s="424"/>
      <c r="I29" s="420">
        <f>6098534+1143510+40446</f>
        <v>7282490</v>
      </c>
      <c r="J29" s="425"/>
      <c r="K29" s="425"/>
      <c r="L29" s="425"/>
      <c r="M29" s="425"/>
      <c r="N29" s="431">
        <f t="shared" si="2"/>
        <v>7282490</v>
      </c>
    </row>
    <row r="30" spans="1:14" ht="12.75">
      <c r="A30" s="601" t="s">
        <v>491</v>
      </c>
      <c r="B30" s="595">
        <f>110446000+168707597+58000+128000+24250000</f>
        <v>303589597</v>
      </c>
      <c r="C30" s="422"/>
      <c r="D30" s="422"/>
      <c r="E30" s="425"/>
      <c r="F30" s="425"/>
      <c r="G30" s="427">
        <f t="shared" si="4"/>
        <v>303589597</v>
      </c>
      <c r="H30" s="424"/>
      <c r="I30" s="420">
        <f>35164932+1500+60754</f>
        <v>35227186</v>
      </c>
      <c r="J30" s="425"/>
      <c r="K30" s="425"/>
      <c r="L30" s="425"/>
      <c r="M30" s="425"/>
      <c r="N30" s="423">
        <f t="shared" si="2"/>
        <v>35227186</v>
      </c>
    </row>
    <row r="31" spans="1:14" ht="12.75">
      <c r="A31" s="465" t="s">
        <v>476</v>
      </c>
      <c r="B31" s="592">
        <v>30000</v>
      </c>
      <c r="C31" s="422"/>
      <c r="D31" s="422"/>
      <c r="E31" s="893">
        <f>144100000+37900000</f>
        <v>182000000</v>
      </c>
      <c r="F31" s="422">
        <v>289331423</v>
      </c>
      <c r="G31" s="418">
        <f t="shared" si="4"/>
        <v>471361423</v>
      </c>
      <c r="H31" s="419"/>
      <c r="I31" s="420">
        <v>11212000</v>
      </c>
      <c r="J31" s="422"/>
      <c r="K31" s="893">
        <v>1252309380</v>
      </c>
      <c r="L31" s="422">
        <v>103161000</v>
      </c>
      <c r="M31" s="893">
        <v>116638107</v>
      </c>
      <c r="N31" s="423">
        <f t="shared" si="2"/>
        <v>1483320487</v>
      </c>
    </row>
    <row r="32" spans="1:14" ht="12.75">
      <c r="A32" s="465" t="s">
        <v>492</v>
      </c>
      <c r="B32" s="593"/>
      <c r="C32" s="425"/>
      <c r="D32" s="425"/>
      <c r="E32" s="425"/>
      <c r="F32" s="425"/>
      <c r="G32" s="423">
        <f t="shared" si="4"/>
        <v>0</v>
      </c>
      <c r="H32" s="424"/>
      <c r="I32" s="420"/>
      <c r="J32" s="422"/>
      <c r="K32" s="422"/>
      <c r="L32" s="422"/>
      <c r="M32" s="422"/>
      <c r="N32" s="423">
        <f t="shared" si="2"/>
        <v>0</v>
      </c>
    </row>
    <row r="33" spans="1:14" ht="12.75">
      <c r="A33" s="465" t="s">
        <v>477</v>
      </c>
      <c r="B33" s="592"/>
      <c r="C33" s="422"/>
      <c r="D33" s="422"/>
      <c r="E33" s="422"/>
      <c r="F33" s="422"/>
      <c r="G33" s="423">
        <f t="shared" si="4"/>
        <v>0</v>
      </c>
      <c r="H33" s="424"/>
      <c r="I33" s="420">
        <v>590000</v>
      </c>
      <c r="J33" s="422"/>
      <c r="K33" s="422"/>
      <c r="L33" s="422"/>
      <c r="M33" s="422"/>
      <c r="N33" s="423">
        <f t="shared" si="2"/>
        <v>590000</v>
      </c>
    </row>
    <row r="34" spans="1:14" ht="12.75">
      <c r="A34" s="603" t="s">
        <v>478</v>
      </c>
      <c r="B34" s="594"/>
      <c r="C34" s="900">
        <v>75588869</v>
      </c>
      <c r="D34" s="433"/>
      <c r="E34" s="433"/>
      <c r="F34" s="433"/>
      <c r="G34" s="423">
        <f t="shared" si="4"/>
        <v>75588869</v>
      </c>
      <c r="H34" s="424"/>
      <c r="I34" s="432">
        <f>3351000+3939600</f>
        <v>7290600</v>
      </c>
      <c r="J34" s="900">
        <f>56542894+15266582</f>
        <v>71809476</v>
      </c>
      <c r="K34" s="433"/>
      <c r="L34" s="433"/>
      <c r="M34" s="433"/>
      <c r="N34" s="423">
        <f t="shared" si="2"/>
        <v>79100076</v>
      </c>
    </row>
    <row r="35" spans="1:14" ht="12.75">
      <c r="A35" s="603" t="s">
        <v>670</v>
      </c>
      <c r="B35" s="594"/>
      <c r="C35" s="433"/>
      <c r="D35" s="433"/>
      <c r="E35" s="433"/>
      <c r="F35" s="433"/>
      <c r="G35" s="423">
        <f t="shared" si="4"/>
        <v>0</v>
      </c>
      <c r="H35" s="424"/>
      <c r="I35" s="432"/>
      <c r="J35" s="433"/>
      <c r="K35" s="433"/>
      <c r="L35" s="433"/>
      <c r="M35" s="433"/>
      <c r="N35" s="423">
        <f t="shared" si="2"/>
        <v>0</v>
      </c>
    </row>
    <row r="36" spans="1:14" ht="12.75">
      <c r="A36" s="603" t="s">
        <v>494</v>
      </c>
      <c r="B36" s="594"/>
      <c r="C36" s="433"/>
      <c r="D36" s="433"/>
      <c r="E36" s="433"/>
      <c r="F36" s="433"/>
      <c r="G36" s="423">
        <f t="shared" si="4"/>
        <v>0</v>
      </c>
      <c r="H36" s="424"/>
      <c r="I36" s="895">
        <f>7083000+24000+4600+6200+113984</f>
        <v>7231784</v>
      </c>
      <c r="J36" s="433">
        <v>301000</v>
      </c>
      <c r="K36" s="433"/>
      <c r="L36" s="433"/>
      <c r="M36" s="433"/>
      <c r="N36" s="423">
        <f t="shared" si="2"/>
        <v>7532784</v>
      </c>
    </row>
    <row r="37" spans="1:14" ht="12.75">
      <c r="A37" s="603" t="s">
        <v>495</v>
      </c>
      <c r="B37" s="594">
        <v>947000</v>
      </c>
      <c r="C37" s="433"/>
      <c r="D37" s="433"/>
      <c r="E37" s="433"/>
      <c r="F37" s="433"/>
      <c r="G37" s="423">
        <f t="shared" si="4"/>
        <v>947000</v>
      </c>
      <c r="H37" s="424"/>
      <c r="I37" s="432">
        <v>16980000</v>
      </c>
      <c r="J37" s="433"/>
      <c r="K37" s="433"/>
      <c r="L37" s="433"/>
      <c r="M37" s="433"/>
      <c r="N37" s="423">
        <f t="shared" si="2"/>
        <v>16980000</v>
      </c>
    </row>
    <row r="38" spans="1:14" ht="12.75">
      <c r="A38" s="603" t="s">
        <v>603</v>
      </c>
      <c r="B38" s="594">
        <v>704000</v>
      </c>
      <c r="C38" s="433"/>
      <c r="D38" s="433"/>
      <c r="E38" s="433"/>
      <c r="F38" s="433"/>
      <c r="G38" s="423">
        <f t="shared" si="4"/>
        <v>704000</v>
      </c>
      <c r="H38" s="424"/>
      <c r="I38" s="524">
        <v>70980000</v>
      </c>
      <c r="J38" s="433"/>
      <c r="K38" s="433"/>
      <c r="L38" s="433"/>
      <c r="M38" s="433"/>
      <c r="N38" s="423">
        <f t="shared" si="2"/>
        <v>70980000</v>
      </c>
    </row>
    <row r="39" spans="1:14" ht="12.75">
      <c r="A39" s="603" t="s">
        <v>479</v>
      </c>
      <c r="B39" s="594"/>
      <c r="C39" s="433"/>
      <c r="D39" s="433"/>
      <c r="E39" s="433"/>
      <c r="F39" s="433"/>
      <c r="G39" s="423">
        <f t="shared" si="4"/>
        <v>0</v>
      </c>
      <c r="H39" s="424"/>
      <c r="I39" s="432"/>
      <c r="J39" s="433"/>
      <c r="K39" s="433"/>
      <c r="L39" s="433"/>
      <c r="M39" s="433"/>
      <c r="N39" s="423">
        <f t="shared" si="2"/>
        <v>0</v>
      </c>
    </row>
    <row r="40" spans="1:14" ht="12.75">
      <c r="A40" s="603" t="s">
        <v>11</v>
      </c>
      <c r="B40" s="594"/>
      <c r="C40" s="433"/>
      <c r="D40" s="433"/>
      <c r="E40" s="433"/>
      <c r="F40" s="433"/>
      <c r="G40" s="423">
        <f t="shared" si="4"/>
        <v>0</v>
      </c>
      <c r="H40" s="424"/>
      <c r="I40" s="432">
        <v>1600000</v>
      </c>
      <c r="J40" s="433"/>
      <c r="K40" s="433"/>
      <c r="L40" s="433"/>
      <c r="M40" s="433"/>
      <c r="N40" s="423">
        <f t="shared" si="2"/>
        <v>1600000</v>
      </c>
    </row>
    <row r="41" spans="1:14" ht="12.75">
      <c r="A41" s="603" t="s">
        <v>480</v>
      </c>
      <c r="B41" s="594">
        <v>6350000</v>
      </c>
      <c r="C41" s="433"/>
      <c r="D41" s="433"/>
      <c r="E41" s="433"/>
      <c r="F41" s="433"/>
      <c r="G41" s="423">
        <f t="shared" si="4"/>
        <v>6350000</v>
      </c>
      <c r="H41" s="424"/>
      <c r="I41" s="432">
        <v>1350000</v>
      </c>
      <c r="J41" s="433"/>
      <c r="K41" s="433"/>
      <c r="L41" s="433"/>
      <c r="M41" s="433"/>
      <c r="N41" s="423">
        <f t="shared" si="2"/>
        <v>1350000</v>
      </c>
    </row>
    <row r="42" spans="1:14" ht="12.75">
      <c r="A42" s="465" t="s">
        <v>481</v>
      </c>
      <c r="B42" s="590">
        <v>1566000</v>
      </c>
      <c r="C42" s="433"/>
      <c r="D42" s="433"/>
      <c r="E42" s="433"/>
      <c r="F42" s="433"/>
      <c r="G42" s="423">
        <f t="shared" si="4"/>
        <v>1566000</v>
      </c>
      <c r="H42" s="424"/>
      <c r="I42" s="432">
        <f>20327000+2000000</f>
        <v>22327000</v>
      </c>
      <c r="J42" s="433">
        <v>42072000</v>
      </c>
      <c r="K42" s="461"/>
      <c r="L42" s="433"/>
      <c r="M42" s="433"/>
      <c r="N42" s="423">
        <f t="shared" si="2"/>
        <v>64399000</v>
      </c>
    </row>
    <row r="43" spans="1:14" ht="12.75">
      <c r="A43" s="604" t="s">
        <v>669</v>
      </c>
      <c r="B43" s="590"/>
      <c r="C43" s="433">
        <v>3797300</v>
      </c>
      <c r="D43" s="433"/>
      <c r="E43" s="433"/>
      <c r="F43" s="433"/>
      <c r="G43" s="423">
        <f t="shared" si="4"/>
        <v>3797300</v>
      </c>
      <c r="H43" s="424"/>
      <c r="I43" s="432">
        <v>3666988</v>
      </c>
      <c r="J43" s="433">
        <v>92095700</v>
      </c>
      <c r="K43" s="461"/>
      <c r="L43" s="433"/>
      <c r="M43" s="433"/>
      <c r="N43" s="423">
        <f t="shared" si="2"/>
        <v>95762688</v>
      </c>
    </row>
    <row r="44" spans="1:14" ht="12.75">
      <c r="A44" s="465" t="s">
        <v>482</v>
      </c>
      <c r="B44" s="894">
        <f>16176000+682000</f>
        <v>16858000</v>
      </c>
      <c r="C44" s="433">
        <f>31032000+22270000</f>
        <v>53302000</v>
      </c>
      <c r="D44" s="433"/>
      <c r="E44" s="433"/>
      <c r="F44" s="433"/>
      <c r="G44" s="423">
        <f t="shared" si="4"/>
        <v>70160000</v>
      </c>
      <c r="H44" s="424"/>
      <c r="I44" s="895">
        <f>17736000+8485000+411000+270000-6684000-1804680+682000+24000</f>
        <v>19119320</v>
      </c>
      <c r="J44" s="433">
        <f>5906000+771000+208170+5913000+1596510</f>
        <v>14394680</v>
      </c>
      <c r="K44" s="433"/>
      <c r="L44" s="433"/>
      <c r="M44" s="433"/>
      <c r="N44" s="423">
        <f t="shared" si="2"/>
        <v>33514000</v>
      </c>
    </row>
    <row r="45" spans="1:14" ht="12.75">
      <c r="A45" s="465" t="s">
        <v>29</v>
      </c>
      <c r="B45" s="594"/>
      <c r="C45" s="433"/>
      <c r="D45" s="433"/>
      <c r="E45" s="433"/>
      <c r="F45" s="433"/>
      <c r="G45" s="423">
        <f t="shared" si="4"/>
        <v>0</v>
      </c>
      <c r="H45" s="424"/>
      <c r="I45" s="432"/>
      <c r="J45" s="433"/>
      <c r="K45" s="433"/>
      <c r="L45" s="433"/>
      <c r="M45" s="433"/>
      <c r="N45" s="423">
        <f t="shared" si="2"/>
        <v>0</v>
      </c>
    </row>
    <row r="46" spans="1:14" ht="12.75">
      <c r="A46" s="604" t="s">
        <v>672</v>
      </c>
      <c r="B46" s="594">
        <f>69942000+9665887+291175856+94906504</f>
        <v>465690247</v>
      </c>
      <c r="C46" s="433">
        <f>15179276</f>
        <v>15179276</v>
      </c>
      <c r="D46" s="433"/>
      <c r="E46" s="433"/>
      <c r="F46" s="433"/>
      <c r="G46" s="423">
        <f t="shared" si="4"/>
        <v>480869523</v>
      </c>
      <c r="H46" s="424"/>
      <c r="I46" s="895">
        <f>189014000+58000+8708008+957879+232903371+25618911+28972366+7822538+20000+400000+312000+94906504+869950+21074276+5690055+4124820+1113701+140000-1905000+137360</f>
        <v>620938739</v>
      </c>
      <c r="J46" s="433">
        <f>204000+11952186+3227090</f>
        <v>15383276</v>
      </c>
      <c r="K46" s="433"/>
      <c r="L46" s="433"/>
      <c r="M46" s="433"/>
      <c r="N46" s="423">
        <f t="shared" si="2"/>
        <v>636322015</v>
      </c>
    </row>
    <row r="47" spans="1:14" ht="12.75">
      <c r="A47" s="465" t="s">
        <v>736</v>
      </c>
      <c r="B47" s="594"/>
      <c r="C47" s="900">
        <v>15956160</v>
      </c>
      <c r="D47" s="433"/>
      <c r="E47" s="433"/>
      <c r="F47" s="433"/>
      <c r="G47" s="423">
        <f t="shared" si="4"/>
        <v>15956160</v>
      </c>
      <c r="H47" s="424"/>
      <c r="I47" s="432"/>
      <c r="J47" s="900">
        <f>12170205+393701+3392254</f>
        <v>15956160</v>
      </c>
      <c r="K47" s="433"/>
      <c r="L47" s="433"/>
      <c r="M47" s="433"/>
      <c r="N47" s="423">
        <f t="shared" si="2"/>
        <v>15956160</v>
      </c>
    </row>
    <row r="48" spans="1:14" ht="12.75">
      <c r="A48" s="603" t="s">
        <v>619</v>
      </c>
      <c r="B48" s="594"/>
      <c r="C48" s="433"/>
      <c r="D48" s="433"/>
      <c r="E48" s="433"/>
      <c r="F48" s="433"/>
      <c r="G48" s="434">
        <f t="shared" si="4"/>
        <v>0</v>
      </c>
      <c r="H48" s="424"/>
      <c r="I48" s="432">
        <v>46750042</v>
      </c>
      <c r="J48" s="433"/>
      <c r="K48" s="433"/>
      <c r="L48" s="433"/>
      <c r="M48" s="433"/>
      <c r="N48" s="423">
        <f t="shared" si="2"/>
        <v>46750042</v>
      </c>
    </row>
    <row r="49" spans="1:14" ht="12.75">
      <c r="A49" s="603" t="s">
        <v>602</v>
      </c>
      <c r="B49" s="594">
        <v>204000</v>
      </c>
      <c r="C49" s="433"/>
      <c r="D49" s="433"/>
      <c r="E49" s="433"/>
      <c r="F49" s="433"/>
      <c r="G49" s="434">
        <f t="shared" si="4"/>
        <v>204000</v>
      </c>
      <c r="H49" s="424"/>
      <c r="I49" s="432">
        <f>1256800-50000</f>
        <v>1206800</v>
      </c>
      <c r="J49" s="433">
        <v>90200</v>
      </c>
      <c r="K49" s="433"/>
      <c r="L49" s="433"/>
      <c r="M49" s="433"/>
      <c r="N49" s="434">
        <f t="shared" si="2"/>
        <v>1297000</v>
      </c>
    </row>
    <row r="50" spans="1:14" ht="13.5" thickBot="1">
      <c r="A50" s="465" t="s">
        <v>671</v>
      </c>
      <c r="B50" s="594"/>
      <c r="C50" s="433"/>
      <c r="D50" s="433"/>
      <c r="E50" s="433"/>
      <c r="F50" s="433"/>
      <c r="G50" s="434">
        <f t="shared" si="4"/>
        <v>0</v>
      </c>
      <c r="H50" s="424"/>
      <c r="I50" s="432">
        <f>1200000+600000</f>
        <v>1800000</v>
      </c>
      <c r="J50" s="433"/>
      <c r="K50" s="433"/>
      <c r="L50" s="433"/>
      <c r="M50" s="433"/>
      <c r="N50" s="434">
        <f t="shared" si="2"/>
        <v>1800000</v>
      </c>
    </row>
    <row r="51" spans="1:15" ht="12.75">
      <c r="A51" s="607" t="s">
        <v>76</v>
      </c>
      <c r="B51" s="605">
        <f>SUM(B9:B13,B14:B20,B25:B28,B31:B50,B24)</f>
        <v>1905867579</v>
      </c>
      <c r="C51" s="435">
        <f>SUM(C9:C13,C14:C20,C25:C28,C31:C50,C24)</f>
        <v>165983605</v>
      </c>
      <c r="D51" s="435">
        <f>SUM(D9:D13,D14:D20,D25:D28,D31:D50,D24)</f>
        <v>319390000</v>
      </c>
      <c r="E51" s="435">
        <f>SUM(E9:E13,E14:E20,E25:E28,E31:E50,E24)</f>
        <v>182000000</v>
      </c>
      <c r="F51" s="435">
        <f>SUM(F9:F13,F14:F20,F25:F28,F31:F50,F24)</f>
        <v>289331423</v>
      </c>
      <c r="G51" s="435">
        <f>SUM(G9:G13,G14:G20,G24:G28,G31:G37,G38:G50,)</f>
        <v>2862572607</v>
      </c>
      <c r="H51" s="435" t="e">
        <f>SUM(H9:H13,H15:H20,H25:H28,H31:H37,H38:H50)</f>
        <v>#REF!</v>
      </c>
      <c r="I51" s="435">
        <f aca="true" t="shared" si="5" ref="I51:N51">SUM(I9:I13,I14:I20,I25:I28,I31:I50,I24)</f>
        <v>1110722637</v>
      </c>
      <c r="J51" s="435">
        <f t="shared" si="5"/>
        <v>279741483</v>
      </c>
      <c r="K51" s="435">
        <f t="shared" si="5"/>
        <v>1252309380</v>
      </c>
      <c r="L51" s="435">
        <f t="shared" si="5"/>
        <v>103161000</v>
      </c>
      <c r="M51" s="435">
        <f t="shared" si="5"/>
        <v>116638107</v>
      </c>
      <c r="N51" s="436">
        <f t="shared" si="5"/>
        <v>2862572607</v>
      </c>
      <c r="O51" s="767"/>
    </row>
    <row r="52" spans="1:14" ht="12.75">
      <c r="A52" s="608" t="s">
        <v>483</v>
      </c>
      <c r="B52" s="606"/>
      <c r="C52" s="417"/>
      <c r="D52" s="417"/>
      <c r="E52" s="417"/>
      <c r="F52" s="417"/>
      <c r="G52" s="418"/>
      <c r="H52" s="437"/>
      <c r="I52" s="421"/>
      <c r="J52" s="422"/>
      <c r="K52" s="426">
        <v>1252309380</v>
      </c>
      <c r="L52" s="417"/>
      <c r="M52" s="417"/>
      <c r="N52" s="438">
        <f>SUM(I52:M52)</f>
        <v>1252309380</v>
      </c>
    </row>
    <row r="53" spans="1:15" ht="13.5" thickBot="1">
      <c r="A53" s="439" t="s">
        <v>88</v>
      </c>
      <c r="B53" s="440">
        <f aca="true" t="shared" si="6" ref="B53:N53">B51-B52</f>
        <v>1905867579</v>
      </c>
      <c r="C53" s="441">
        <f t="shared" si="6"/>
        <v>165983605</v>
      </c>
      <c r="D53" s="441">
        <f t="shared" si="6"/>
        <v>319390000</v>
      </c>
      <c r="E53" s="441">
        <f t="shared" si="6"/>
        <v>182000000</v>
      </c>
      <c r="F53" s="441">
        <f t="shared" si="6"/>
        <v>289331423</v>
      </c>
      <c r="G53" s="441">
        <f t="shared" si="6"/>
        <v>2862572607</v>
      </c>
      <c r="H53" s="442" t="e">
        <f t="shared" si="6"/>
        <v>#REF!</v>
      </c>
      <c r="I53" s="440">
        <f t="shared" si="6"/>
        <v>1110722637</v>
      </c>
      <c r="J53" s="441">
        <f t="shared" si="6"/>
        <v>279741483</v>
      </c>
      <c r="K53" s="441">
        <f t="shared" si="6"/>
        <v>0</v>
      </c>
      <c r="L53" s="441">
        <f t="shared" si="6"/>
        <v>103161000</v>
      </c>
      <c r="M53" s="441">
        <f t="shared" si="6"/>
        <v>116638107</v>
      </c>
      <c r="N53" s="443">
        <f t="shared" si="6"/>
        <v>1610263227</v>
      </c>
      <c r="O53" s="767"/>
    </row>
    <row r="54" spans="1:14" ht="12.75">
      <c r="A54" s="444"/>
      <c r="B54" s="445"/>
      <c r="C54" s="445"/>
      <c r="D54" s="445"/>
      <c r="E54" s="445"/>
      <c r="F54" s="445"/>
      <c r="G54" s="429"/>
      <c r="H54" s="429"/>
      <c r="I54" s="446"/>
      <c r="J54" s="445"/>
      <c r="K54" s="447"/>
      <c r="L54" s="446"/>
      <c r="M54" s="446"/>
      <c r="N54" s="428"/>
    </row>
    <row r="55" spans="1:14" ht="12.75">
      <c r="A55" s="444"/>
      <c r="B55" s="445"/>
      <c r="C55" s="445"/>
      <c r="D55" s="445"/>
      <c r="E55" s="445"/>
      <c r="F55" s="445"/>
      <c r="G55" s="429"/>
      <c r="H55" s="429"/>
      <c r="I55" s="445"/>
      <c r="J55" s="445"/>
      <c r="K55" s="447"/>
      <c r="L55" s="446"/>
      <c r="M55" s="446"/>
      <c r="N55" s="428"/>
    </row>
    <row r="56" spans="1:14" ht="12.75">
      <c r="A56" s="444"/>
      <c r="B56" s="445"/>
      <c r="C56" s="445"/>
      <c r="D56" s="445"/>
      <c r="E56" s="445"/>
      <c r="F56" s="445"/>
      <c r="G56" s="429"/>
      <c r="H56" s="429"/>
      <c r="I56" s="448"/>
      <c r="J56" s="445"/>
      <c r="K56" s="428"/>
      <c r="L56" s="445"/>
      <c r="M56" s="445"/>
      <c r="N56" s="428"/>
    </row>
    <row r="57" spans="1:14" ht="12.75">
      <c r="A57" s="444"/>
      <c r="B57" s="445"/>
      <c r="C57" s="445"/>
      <c r="D57" s="445"/>
      <c r="E57" s="445"/>
      <c r="F57" s="445"/>
      <c r="G57" s="429"/>
      <c r="H57" s="429"/>
      <c r="I57" s="445"/>
      <c r="J57" s="445"/>
      <c r="K57" s="428"/>
      <c r="L57" s="445"/>
      <c r="M57" s="445"/>
      <c r="N57" s="428"/>
    </row>
    <row r="58" spans="1:14" ht="12.75">
      <c r="A58" s="444"/>
      <c r="B58" s="445"/>
      <c r="C58" s="445"/>
      <c r="D58" s="445"/>
      <c r="E58" s="445"/>
      <c r="F58" s="445"/>
      <c r="G58" s="429"/>
      <c r="H58" s="429"/>
      <c r="I58" s="445"/>
      <c r="J58" s="445"/>
      <c r="K58" s="428"/>
      <c r="L58" s="445"/>
      <c r="M58" s="445"/>
      <c r="N58" s="428"/>
    </row>
    <row r="59" spans="1:14" ht="12.75">
      <c r="A59" s="444"/>
      <c r="B59" s="445"/>
      <c r="C59" s="445"/>
      <c r="D59" s="445"/>
      <c r="E59" s="445"/>
      <c r="F59" s="445"/>
      <c r="G59" s="429"/>
      <c r="H59" s="429"/>
      <c r="I59" s="445"/>
      <c r="J59" s="445"/>
      <c r="K59" s="428"/>
      <c r="L59" s="445"/>
      <c r="M59" s="445"/>
      <c r="N59" s="428"/>
    </row>
    <row r="60" spans="1:14" ht="12.75">
      <c r="A60" s="444"/>
      <c r="B60" s="445"/>
      <c r="C60" s="445"/>
      <c r="D60" s="445"/>
      <c r="E60" s="445"/>
      <c r="F60" s="445"/>
      <c r="G60" s="429"/>
      <c r="H60" s="429"/>
      <c r="I60" s="445"/>
      <c r="J60" s="445"/>
      <c r="K60" s="428"/>
      <c r="L60" s="445"/>
      <c r="M60" s="445"/>
      <c r="N60" s="428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 37. melléklet a  20/2017.(VI.29.)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9"/>
  <sheetViews>
    <sheetView view="pageLayout" zoomScaleSheetLayoutView="100" workbookViewId="0" topLeftCell="B1">
      <selection activeCell="E45" sqref="E45"/>
    </sheetView>
  </sheetViews>
  <sheetFormatPr defaultColWidth="9.00390625" defaultRowHeight="12.75"/>
  <cols>
    <col min="1" max="1" width="9.50390625" style="241" customWidth="1"/>
    <col min="2" max="2" width="91.625" style="241" customWidth="1"/>
    <col min="3" max="3" width="21.625" style="242" customWidth="1"/>
    <col min="4" max="16384" width="9.375" style="252" customWidth="1"/>
  </cols>
  <sheetData>
    <row r="1" spans="1:3" ht="15.75" customHeight="1">
      <c r="A1" s="902" t="s">
        <v>40</v>
      </c>
      <c r="B1" s="902"/>
      <c r="C1" s="902"/>
    </row>
    <row r="2" spans="1:3" ht="15.75" customHeight="1" thickBot="1">
      <c r="A2" s="901" t="s">
        <v>163</v>
      </c>
      <c r="B2" s="901"/>
      <c r="C2" s="179" t="s">
        <v>651</v>
      </c>
    </row>
    <row r="3" spans="1:3" ht="37.5" customHeight="1" thickBot="1">
      <c r="A3" s="22" t="s">
        <v>94</v>
      </c>
      <c r="B3" s="23" t="s">
        <v>42</v>
      </c>
      <c r="C3" s="31" t="s">
        <v>638</v>
      </c>
    </row>
    <row r="4" spans="1:3" s="253" customFormat="1" ht="12" customHeight="1" thickBot="1">
      <c r="A4" s="247" t="s">
        <v>500</v>
      </c>
      <c r="B4" s="248" t="s">
        <v>501</v>
      </c>
      <c r="C4" s="249" t="s">
        <v>502</v>
      </c>
    </row>
    <row r="5" spans="1:3" s="254" customFormat="1" ht="12" customHeight="1" thickBot="1">
      <c r="A5" s="19" t="s">
        <v>43</v>
      </c>
      <c r="B5" s="20" t="s">
        <v>230</v>
      </c>
      <c r="C5" s="170">
        <f>+C6+C7+C8+C9+C10+C11</f>
        <v>0</v>
      </c>
    </row>
    <row r="6" spans="1:3" s="254" customFormat="1" ht="12" customHeight="1">
      <c r="A6" s="14" t="s">
        <v>122</v>
      </c>
      <c r="B6" s="255" t="s">
        <v>231</v>
      </c>
      <c r="C6" s="172"/>
    </row>
    <row r="7" spans="1:3" s="254" customFormat="1" ht="12" customHeight="1">
      <c r="A7" s="13" t="s">
        <v>123</v>
      </c>
      <c r="B7" s="256" t="s">
        <v>232</v>
      </c>
      <c r="C7" s="171"/>
    </row>
    <row r="8" spans="1:3" s="254" customFormat="1" ht="12" customHeight="1">
      <c r="A8" s="13" t="s">
        <v>124</v>
      </c>
      <c r="B8" s="256" t="s">
        <v>623</v>
      </c>
      <c r="C8" s="171"/>
    </row>
    <row r="9" spans="1:3" s="254" customFormat="1" ht="12" customHeight="1">
      <c r="A9" s="13" t="s">
        <v>125</v>
      </c>
      <c r="B9" s="256" t="s">
        <v>234</v>
      </c>
      <c r="C9" s="171"/>
    </row>
    <row r="10" spans="1:3" s="254" customFormat="1" ht="12" customHeight="1">
      <c r="A10" s="13" t="s">
        <v>160</v>
      </c>
      <c r="B10" s="166" t="s">
        <v>503</v>
      </c>
      <c r="C10" s="171"/>
    </row>
    <row r="11" spans="1:3" s="254" customFormat="1" ht="12" customHeight="1" thickBot="1">
      <c r="A11" s="15" t="s">
        <v>126</v>
      </c>
      <c r="B11" s="167" t="s">
        <v>504</v>
      </c>
      <c r="C11" s="171"/>
    </row>
    <row r="12" spans="1:3" s="254" customFormat="1" ht="12" customHeight="1" thickBot="1">
      <c r="A12" s="19" t="s">
        <v>44</v>
      </c>
      <c r="B12" s="165" t="s">
        <v>235</v>
      </c>
      <c r="C12" s="170">
        <f>+C13+C14+C15+C16+C17</f>
        <v>0</v>
      </c>
    </row>
    <row r="13" spans="1:3" s="254" customFormat="1" ht="12" customHeight="1">
      <c r="A13" s="14" t="s">
        <v>128</v>
      </c>
      <c r="B13" s="255" t="s">
        <v>236</v>
      </c>
      <c r="C13" s="172"/>
    </row>
    <row r="14" spans="1:3" s="254" customFormat="1" ht="12" customHeight="1">
      <c r="A14" s="13" t="s">
        <v>129</v>
      </c>
      <c r="B14" s="256" t="s">
        <v>237</v>
      </c>
      <c r="C14" s="171"/>
    </row>
    <row r="15" spans="1:3" s="254" customFormat="1" ht="12" customHeight="1">
      <c r="A15" s="13" t="s">
        <v>130</v>
      </c>
      <c r="B15" s="256" t="s">
        <v>406</v>
      </c>
      <c r="C15" s="171"/>
    </row>
    <row r="16" spans="1:3" s="254" customFormat="1" ht="12" customHeight="1">
      <c r="A16" s="13" t="s">
        <v>131</v>
      </c>
      <c r="B16" s="256" t="s">
        <v>407</v>
      </c>
      <c r="C16" s="171"/>
    </row>
    <row r="17" spans="1:3" s="254" customFormat="1" ht="12" customHeight="1">
      <c r="A17" s="13" t="s">
        <v>132</v>
      </c>
      <c r="B17" s="256" t="s">
        <v>238</v>
      </c>
      <c r="C17" s="171"/>
    </row>
    <row r="18" spans="1:3" s="254" customFormat="1" ht="12" customHeight="1" thickBot="1">
      <c r="A18" s="15" t="s">
        <v>141</v>
      </c>
      <c r="B18" s="167" t="s">
        <v>239</v>
      </c>
      <c r="C18" s="173"/>
    </row>
    <row r="19" spans="1:3" s="254" customFormat="1" ht="12" customHeight="1" thickBot="1">
      <c r="A19" s="19" t="s">
        <v>45</v>
      </c>
      <c r="B19" s="20" t="s">
        <v>240</v>
      </c>
      <c r="C19" s="170">
        <f>+C20+C21+C22+C23+C24</f>
        <v>0</v>
      </c>
    </row>
    <row r="20" spans="1:3" s="254" customFormat="1" ht="12" customHeight="1">
      <c r="A20" s="14" t="s">
        <v>111</v>
      </c>
      <c r="B20" s="255" t="s">
        <v>241</v>
      </c>
      <c r="C20" s="172"/>
    </row>
    <row r="21" spans="1:3" s="254" customFormat="1" ht="12" customHeight="1">
      <c r="A21" s="13" t="s">
        <v>112</v>
      </c>
      <c r="B21" s="256" t="s">
        <v>242</v>
      </c>
      <c r="C21" s="171"/>
    </row>
    <row r="22" spans="1:3" s="254" customFormat="1" ht="12" customHeight="1">
      <c r="A22" s="13" t="s">
        <v>113</v>
      </c>
      <c r="B22" s="256" t="s">
        <v>408</v>
      </c>
      <c r="C22" s="171"/>
    </row>
    <row r="23" spans="1:3" s="254" customFormat="1" ht="12" customHeight="1">
      <c r="A23" s="13" t="s">
        <v>114</v>
      </c>
      <c r="B23" s="256" t="s">
        <v>409</v>
      </c>
      <c r="C23" s="171"/>
    </row>
    <row r="24" spans="1:3" s="254" customFormat="1" ht="12" customHeight="1">
      <c r="A24" s="13" t="s">
        <v>172</v>
      </c>
      <c r="B24" s="256" t="s">
        <v>243</v>
      </c>
      <c r="C24" s="171"/>
    </row>
    <row r="25" spans="1:3" s="254" customFormat="1" ht="12" customHeight="1" thickBot="1">
      <c r="A25" s="15" t="s">
        <v>173</v>
      </c>
      <c r="B25" s="257" t="s">
        <v>244</v>
      </c>
      <c r="C25" s="173"/>
    </row>
    <row r="26" spans="1:3" s="254" customFormat="1" ht="12" customHeight="1" thickBot="1">
      <c r="A26" s="19" t="s">
        <v>174</v>
      </c>
      <c r="B26" s="20" t="s">
        <v>245</v>
      </c>
      <c r="C26" s="175">
        <f>+C27+C31+C32+C33</f>
        <v>0</v>
      </c>
    </row>
    <row r="27" spans="1:3" s="254" customFormat="1" ht="12" customHeight="1">
      <c r="A27" s="14" t="s">
        <v>246</v>
      </c>
      <c r="B27" s="255" t="s">
        <v>505</v>
      </c>
      <c r="C27" s="250">
        <f>+C28+C29+C30</f>
        <v>0</v>
      </c>
    </row>
    <row r="28" spans="1:3" s="254" customFormat="1" ht="12" customHeight="1">
      <c r="A28" s="13" t="s">
        <v>247</v>
      </c>
      <c r="B28" s="256" t="s">
        <v>252</v>
      </c>
      <c r="C28" s="171"/>
    </row>
    <row r="29" spans="1:3" s="254" customFormat="1" ht="12" customHeight="1">
      <c r="A29" s="13" t="s">
        <v>248</v>
      </c>
      <c r="B29" s="256" t="s">
        <v>253</v>
      </c>
      <c r="C29" s="171"/>
    </row>
    <row r="30" spans="1:3" s="254" customFormat="1" ht="12" customHeight="1">
      <c r="A30" s="13" t="s">
        <v>506</v>
      </c>
      <c r="B30" s="476" t="s">
        <v>507</v>
      </c>
      <c r="C30" s="171"/>
    </row>
    <row r="31" spans="1:3" s="254" customFormat="1" ht="12" customHeight="1">
      <c r="A31" s="13" t="s">
        <v>249</v>
      </c>
      <c r="B31" s="256" t="s">
        <v>254</v>
      </c>
      <c r="C31" s="171"/>
    </row>
    <row r="32" spans="1:3" s="254" customFormat="1" ht="12" customHeight="1">
      <c r="A32" s="13" t="s">
        <v>250</v>
      </c>
      <c r="B32" s="256" t="s">
        <v>255</v>
      </c>
      <c r="C32" s="171"/>
    </row>
    <row r="33" spans="1:3" s="254" customFormat="1" ht="12" customHeight="1" thickBot="1">
      <c r="A33" s="15" t="s">
        <v>251</v>
      </c>
      <c r="B33" s="257" t="s">
        <v>256</v>
      </c>
      <c r="C33" s="173"/>
    </row>
    <row r="34" spans="1:3" s="254" customFormat="1" ht="12" customHeight="1" thickBot="1">
      <c r="A34" s="19" t="s">
        <v>47</v>
      </c>
      <c r="B34" s="20" t="s">
        <v>508</v>
      </c>
      <c r="C34" s="170">
        <f>SUM(C35:C45)</f>
        <v>6951292</v>
      </c>
    </row>
    <row r="35" spans="1:3" s="254" customFormat="1" ht="12" customHeight="1">
      <c r="A35" s="14" t="s">
        <v>115</v>
      </c>
      <c r="B35" s="255" t="s">
        <v>259</v>
      </c>
      <c r="C35" s="172"/>
    </row>
    <row r="36" spans="1:3" s="254" customFormat="1" ht="12" customHeight="1">
      <c r="A36" s="13" t="s">
        <v>116</v>
      </c>
      <c r="B36" s="256" t="s">
        <v>260</v>
      </c>
      <c r="C36" s="784">
        <f>4150000+918292-195228</f>
        <v>4873064</v>
      </c>
    </row>
    <row r="37" spans="1:3" s="254" customFormat="1" ht="12" customHeight="1">
      <c r="A37" s="13" t="s">
        <v>117</v>
      </c>
      <c r="B37" s="256" t="s">
        <v>261</v>
      </c>
      <c r="C37" s="171">
        <v>500000</v>
      </c>
    </row>
    <row r="38" spans="1:3" s="254" customFormat="1" ht="12" customHeight="1">
      <c r="A38" s="13" t="s">
        <v>176</v>
      </c>
      <c r="B38" s="256" t="s">
        <v>262</v>
      </c>
      <c r="C38" s="171"/>
    </row>
    <row r="39" spans="1:3" s="254" customFormat="1" ht="12" customHeight="1">
      <c r="A39" s="13" t="s">
        <v>177</v>
      </c>
      <c r="B39" s="256" t="s">
        <v>263</v>
      </c>
      <c r="C39" s="171"/>
    </row>
    <row r="40" spans="1:3" s="254" customFormat="1" ht="12" customHeight="1">
      <c r="A40" s="13" t="s">
        <v>178</v>
      </c>
      <c r="B40" s="256" t="s">
        <v>264</v>
      </c>
      <c r="C40" s="784">
        <f>1283000+195228</f>
        <v>1478228</v>
      </c>
    </row>
    <row r="41" spans="1:3" s="254" customFormat="1" ht="12" customHeight="1">
      <c r="A41" s="13" t="s">
        <v>179</v>
      </c>
      <c r="B41" s="256" t="s">
        <v>265</v>
      </c>
      <c r="C41" s="171"/>
    </row>
    <row r="42" spans="1:3" s="254" customFormat="1" ht="12" customHeight="1">
      <c r="A42" s="13" t="s">
        <v>180</v>
      </c>
      <c r="B42" s="256" t="s">
        <v>620</v>
      </c>
      <c r="C42" s="171"/>
    </row>
    <row r="43" spans="1:3" s="254" customFormat="1" ht="12" customHeight="1">
      <c r="A43" s="13" t="s">
        <v>257</v>
      </c>
      <c r="B43" s="256" t="s">
        <v>267</v>
      </c>
      <c r="C43" s="174"/>
    </row>
    <row r="44" spans="1:3" s="254" customFormat="1" ht="12" customHeight="1">
      <c r="A44" s="15" t="s">
        <v>258</v>
      </c>
      <c r="B44" s="257" t="s">
        <v>509</v>
      </c>
      <c r="C44" s="244"/>
    </row>
    <row r="45" spans="1:3" s="254" customFormat="1" ht="12" customHeight="1" thickBot="1">
      <c r="A45" s="15" t="s">
        <v>510</v>
      </c>
      <c r="B45" s="167" t="s">
        <v>268</v>
      </c>
      <c r="C45" s="244">
        <v>100000</v>
      </c>
    </row>
    <row r="46" spans="1:3" s="254" customFormat="1" ht="12" customHeight="1" thickBot="1">
      <c r="A46" s="19" t="s">
        <v>48</v>
      </c>
      <c r="B46" s="20" t="s">
        <v>269</v>
      </c>
      <c r="C46" s="170">
        <f>SUM(C47:C51)</f>
        <v>0</v>
      </c>
    </row>
    <row r="47" spans="1:3" s="254" customFormat="1" ht="12" customHeight="1">
      <c r="A47" s="14" t="s">
        <v>118</v>
      </c>
      <c r="B47" s="255" t="s">
        <v>273</v>
      </c>
      <c r="C47" s="293"/>
    </row>
    <row r="48" spans="1:3" s="254" customFormat="1" ht="12" customHeight="1">
      <c r="A48" s="13" t="s">
        <v>119</v>
      </c>
      <c r="B48" s="256" t="s">
        <v>274</v>
      </c>
      <c r="C48" s="174"/>
    </row>
    <row r="49" spans="1:3" s="254" customFormat="1" ht="12" customHeight="1">
      <c r="A49" s="13" t="s">
        <v>270</v>
      </c>
      <c r="B49" s="256" t="s">
        <v>275</v>
      </c>
      <c r="C49" s="174"/>
    </row>
    <row r="50" spans="1:3" s="254" customFormat="1" ht="12" customHeight="1">
      <c r="A50" s="13" t="s">
        <v>271</v>
      </c>
      <c r="B50" s="256" t="s">
        <v>276</v>
      </c>
      <c r="C50" s="174"/>
    </row>
    <row r="51" spans="1:3" s="254" customFormat="1" ht="12" customHeight="1" thickBot="1">
      <c r="A51" s="15" t="s">
        <v>272</v>
      </c>
      <c r="B51" s="167" t="s">
        <v>277</v>
      </c>
      <c r="C51" s="244"/>
    </row>
    <row r="52" spans="1:3" s="254" customFormat="1" ht="12" customHeight="1" thickBot="1">
      <c r="A52" s="19" t="s">
        <v>181</v>
      </c>
      <c r="B52" s="20" t="s">
        <v>278</v>
      </c>
      <c r="C52" s="170">
        <f>SUM(C53:C55)</f>
        <v>0</v>
      </c>
    </row>
    <row r="53" spans="1:3" s="254" customFormat="1" ht="12" customHeight="1">
      <c r="A53" s="14" t="s">
        <v>120</v>
      </c>
      <c r="B53" s="255" t="s">
        <v>279</v>
      </c>
      <c r="C53" s="172"/>
    </row>
    <row r="54" spans="1:3" s="254" customFormat="1" ht="12" customHeight="1">
      <c r="A54" s="13" t="s">
        <v>121</v>
      </c>
      <c r="B54" s="256" t="s">
        <v>410</v>
      </c>
      <c r="C54" s="171"/>
    </row>
    <row r="55" spans="1:3" s="254" customFormat="1" ht="12" customHeight="1">
      <c r="A55" s="13" t="s">
        <v>282</v>
      </c>
      <c r="B55" s="256" t="s">
        <v>280</v>
      </c>
      <c r="C55" s="171"/>
    </row>
    <row r="56" spans="1:3" s="254" customFormat="1" ht="12" customHeight="1" thickBot="1">
      <c r="A56" s="15" t="s">
        <v>283</v>
      </c>
      <c r="B56" s="167" t="s">
        <v>281</v>
      </c>
      <c r="C56" s="173"/>
    </row>
    <row r="57" spans="1:3" s="254" customFormat="1" ht="12" customHeight="1" thickBot="1">
      <c r="A57" s="19" t="s">
        <v>50</v>
      </c>
      <c r="B57" s="165" t="s">
        <v>284</v>
      </c>
      <c r="C57" s="170">
        <f>SUM(C58:C60)</f>
        <v>0</v>
      </c>
    </row>
    <row r="58" spans="1:3" s="254" customFormat="1" ht="12" customHeight="1">
      <c r="A58" s="14" t="s">
        <v>182</v>
      </c>
      <c r="B58" s="255" t="s">
        <v>286</v>
      </c>
      <c r="C58" s="174"/>
    </row>
    <row r="59" spans="1:3" s="254" customFormat="1" ht="12" customHeight="1">
      <c r="A59" s="13" t="s">
        <v>183</v>
      </c>
      <c r="B59" s="256" t="s">
        <v>411</v>
      </c>
      <c r="C59" s="174"/>
    </row>
    <row r="60" spans="1:3" s="254" customFormat="1" ht="12" customHeight="1">
      <c r="A60" s="13" t="s">
        <v>209</v>
      </c>
      <c r="B60" s="256" t="s">
        <v>287</v>
      </c>
      <c r="C60" s="174"/>
    </row>
    <row r="61" spans="1:3" s="254" customFormat="1" ht="12" customHeight="1" thickBot="1">
      <c r="A61" s="15" t="s">
        <v>285</v>
      </c>
      <c r="B61" s="167" t="s">
        <v>288</v>
      </c>
      <c r="C61" s="174"/>
    </row>
    <row r="62" spans="1:3" s="254" customFormat="1" ht="12" customHeight="1" thickBot="1">
      <c r="A62" s="477" t="s">
        <v>511</v>
      </c>
      <c r="B62" s="20" t="s">
        <v>289</v>
      </c>
      <c r="C62" s="175">
        <f>+C5+C12+C19+C26+C34+C46+C52+C57</f>
        <v>6951292</v>
      </c>
    </row>
    <row r="63" spans="1:3" s="254" customFormat="1" ht="12" customHeight="1" thickBot="1">
      <c r="A63" s="478" t="s">
        <v>290</v>
      </c>
      <c r="B63" s="165" t="s">
        <v>291</v>
      </c>
      <c r="C63" s="170">
        <f>SUM(C64:C66)</f>
        <v>0</v>
      </c>
    </row>
    <row r="64" spans="1:3" s="254" customFormat="1" ht="12" customHeight="1">
      <c r="A64" s="14" t="s">
        <v>322</v>
      </c>
      <c r="B64" s="255" t="s">
        <v>292</v>
      </c>
      <c r="C64" s="174"/>
    </row>
    <row r="65" spans="1:3" s="254" customFormat="1" ht="12" customHeight="1">
      <c r="A65" s="13" t="s">
        <v>331</v>
      </c>
      <c r="B65" s="256" t="s">
        <v>293</v>
      </c>
      <c r="C65" s="174"/>
    </row>
    <row r="66" spans="1:3" s="254" customFormat="1" ht="12" customHeight="1" thickBot="1">
      <c r="A66" s="15" t="s">
        <v>332</v>
      </c>
      <c r="B66" s="479" t="s">
        <v>512</v>
      </c>
      <c r="C66" s="174"/>
    </row>
    <row r="67" spans="1:3" s="254" customFormat="1" ht="12" customHeight="1" thickBot="1">
      <c r="A67" s="478" t="s">
        <v>295</v>
      </c>
      <c r="B67" s="165" t="s">
        <v>296</v>
      </c>
      <c r="C67" s="170">
        <f>SUM(C68:C71)</f>
        <v>0</v>
      </c>
    </row>
    <row r="68" spans="1:3" s="254" customFormat="1" ht="12" customHeight="1">
      <c r="A68" s="14" t="s">
        <v>161</v>
      </c>
      <c r="B68" s="255" t="s">
        <v>297</v>
      </c>
      <c r="C68" s="174"/>
    </row>
    <row r="69" spans="1:3" s="254" customFormat="1" ht="12" customHeight="1">
      <c r="A69" s="13" t="s">
        <v>162</v>
      </c>
      <c r="B69" s="256" t="s">
        <v>298</v>
      </c>
      <c r="C69" s="174"/>
    </row>
    <row r="70" spans="1:3" s="254" customFormat="1" ht="12" customHeight="1">
      <c r="A70" s="13" t="s">
        <v>323</v>
      </c>
      <c r="B70" s="256" t="s">
        <v>299</v>
      </c>
      <c r="C70" s="174"/>
    </row>
    <row r="71" spans="1:3" s="254" customFormat="1" ht="12" customHeight="1" thickBot="1">
      <c r="A71" s="15" t="s">
        <v>324</v>
      </c>
      <c r="B71" s="167" t="s">
        <v>300</v>
      </c>
      <c r="C71" s="174"/>
    </row>
    <row r="72" spans="1:3" s="254" customFormat="1" ht="12" customHeight="1" thickBot="1">
      <c r="A72" s="478" t="s">
        <v>301</v>
      </c>
      <c r="B72" s="165" t="s">
        <v>302</v>
      </c>
      <c r="C72" s="170">
        <f>SUM(C73:C74)</f>
        <v>447404</v>
      </c>
    </row>
    <row r="73" spans="1:3" s="254" customFormat="1" ht="12" customHeight="1">
      <c r="A73" s="14" t="s">
        <v>325</v>
      </c>
      <c r="B73" s="255" t="s">
        <v>303</v>
      </c>
      <c r="C73" s="174">
        <v>447404</v>
      </c>
    </row>
    <row r="74" spans="1:3" s="254" customFormat="1" ht="12" customHeight="1" thickBot="1">
      <c r="A74" s="15" t="s">
        <v>326</v>
      </c>
      <c r="B74" s="167" t="s">
        <v>304</v>
      </c>
      <c r="C74" s="174"/>
    </row>
    <row r="75" spans="1:3" s="254" customFormat="1" ht="12" customHeight="1" thickBot="1">
      <c r="A75" s="478" t="s">
        <v>305</v>
      </c>
      <c r="B75" s="165" t="s">
        <v>306</v>
      </c>
      <c r="C75" s="170">
        <f>SUM(C76:C78)</f>
        <v>0</v>
      </c>
    </row>
    <row r="76" spans="1:3" s="254" customFormat="1" ht="12" customHeight="1">
      <c r="A76" s="14" t="s">
        <v>327</v>
      </c>
      <c r="B76" s="255" t="s">
        <v>307</v>
      </c>
      <c r="C76" s="174"/>
    </row>
    <row r="77" spans="1:3" s="254" customFormat="1" ht="12" customHeight="1">
      <c r="A77" s="13" t="s">
        <v>328</v>
      </c>
      <c r="B77" s="256" t="s">
        <v>308</v>
      </c>
      <c r="C77" s="174"/>
    </row>
    <row r="78" spans="1:3" s="254" customFormat="1" ht="12" customHeight="1" thickBot="1">
      <c r="A78" s="15" t="s">
        <v>329</v>
      </c>
      <c r="B78" s="167" t="s">
        <v>309</v>
      </c>
      <c r="C78" s="174"/>
    </row>
    <row r="79" spans="1:3" s="254" customFormat="1" ht="12" customHeight="1" thickBot="1">
      <c r="A79" s="478" t="s">
        <v>310</v>
      </c>
      <c r="B79" s="165" t="s">
        <v>330</v>
      </c>
      <c r="C79" s="170">
        <f>SUM(C80:C83)</f>
        <v>0</v>
      </c>
    </row>
    <row r="80" spans="1:3" s="254" customFormat="1" ht="12" customHeight="1">
      <c r="A80" s="259" t="s">
        <v>311</v>
      </c>
      <c r="B80" s="255" t="s">
        <v>312</v>
      </c>
      <c r="C80" s="174"/>
    </row>
    <row r="81" spans="1:3" s="254" customFormat="1" ht="12" customHeight="1">
      <c r="A81" s="260" t="s">
        <v>313</v>
      </c>
      <c r="B81" s="256" t="s">
        <v>314</v>
      </c>
      <c r="C81" s="174"/>
    </row>
    <row r="82" spans="1:3" s="254" customFormat="1" ht="12" customHeight="1">
      <c r="A82" s="260" t="s">
        <v>315</v>
      </c>
      <c r="B82" s="256" t="s">
        <v>316</v>
      </c>
      <c r="C82" s="174"/>
    </row>
    <row r="83" spans="1:3" s="254" customFormat="1" ht="12" customHeight="1" thickBot="1">
      <c r="A83" s="261" t="s">
        <v>317</v>
      </c>
      <c r="B83" s="167" t="s">
        <v>318</v>
      </c>
      <c r="C83" s="174"/>
    </row>
    <row r="84" spans="1:3" s="254" customFormat="1" ht="12" customHeight="1" thickBot="1">
      <c r="A84" s="478" t="s">
        <v>319</v>
      </c>
      <c r="B84" s="165" t="s">
        <v>513</v>
      </c>
      <c r="C84" s="294"/>
    </row>
    <row r="85" spans="1:3" s="254" customFormat="1" ht="13.5" customHeight="1" thickBot="1">
      <c r="A85" s="478" t="s">
        <v>321</v>
      </c>
      <c r="B85" s="165" t="s">
        <v>320</v>
      </c>
      <c r="C85" s="294"/>
    </row>
    <row r="86" spans="1:3" s="254" customFormat="1" ht="15.75" customHeight="1" thickBot="1">
      <c r="A86" s="478" t="s">
        <v>333</v>
      </c>
      <c r="B86" s="262" t="s">
        <v>514</v>
      </c>
      <c r="C86" s="175">
        <f>+C63+C67+C72+C75+C79+C85+C84</f>
        <v>447404</v>
      </c>
    </row>
    <row r="87" spans="1:3" s="254" customFormat="1" ht="16.5" customHeight="1" thickBot="1">
      <c r="A87" s="480" t="s">
        <v>515</v>
      </c>
      <c r="B87" s="263" t="s">
        <v>516</v>
      </c>
      <c r="C87" s="175">
        <f>+C62+C86</f>
        <v>7398696</v>
      </c>
    </row>
    <row r="88" spans="1:3" s="254" customFormat="1" ht="83.25" customHeight="1">
      <c r="A88" s="4"/>
      <c r="B88" s="5"/>
      <c r="C88" s="176"/>
    </row>
    <row r="89" spans="1:3" ht="16.5" customHeight="1">
      <c r="A89" s="902" t="s">
        <v>71</v>
      </c>
      <c r="B89" s="902"/>
      <c r="C89" s="902"/>
    </row>
    <row r="90" spans="1:3" s="264" customFormat="1" ht="16.5" customHeight="1" thickBot="1">
      <c r="A90" s="903" t="s">
        <v>164</v>
      </c>
      <c r="B90" s="903"/>
      <c r="C90" s="90" t="s">
        <v>651</v>
      </c>
    </row>
    <row r="91" spans="1:3" ht="37.5" customHeight="1" thickBot="1">
      <c r="A91" s="22" t="s">
        <v>94</v>
      </c>
      <c r="B91" s="23" t="s">
        <v>72</v>
      </c>
      <c r="C91" s="31" t="str">
        <f>+C3</f>
        <v>2017. évi előirányzat</v>
      </c>
    </row>
    <row r="92" spans="1:3" s="253" customFormat="1" ht="12" customHeight="1" thickBot="1">
      <c r="A92" s="27" t="s">
        <v>500</v>
      </c>
      <c r="B92" s="28" t="s">
        <v>501</v>
      </c>
      <c r="C92" s="29" t="s">
        <v>502</v>
      </c>
    </row>
    <row r="93" spans="1:3" ht="12" customHeight="1" thickBot="1">
      <c r="A93" s="21" t="s">
        <v>43</v>
      </c>
      <c r="B93" s="26" t="s">
        <v>554</v>
      </c>
      <c r="C93" s="169">
        <f>C94+C95+C96+C97+C98+C111</f>
        <v>194044292</v>
      </c>
    </row>
    <row r="94" spans="1:3" ht="12" customHeight="1">
      <c r="A94" s="16" t="s">
        <v>122</v>
      </c>
      <c r="B94" s="9" t="s">
        <v>73</v>
      </c>
      <c r="C94" s="517">
        <f>118633000-24000+813600+45000</f>
        <v>119467600</v>
      </c>
    </row>
    <row r="95" spans="1:3" ht="12" customHeight="1">
      <c r="A95" s="13" t="s">
        <v>123</v>
      </c>
      <c r="B95" s="7" t="s">
        <v>184</v>
      </c>
      <c r="C95" s="174">
        <f>28092500-10800+178992+10000</f>
        <v>28270692</v>
      </c>
    </row>
    <row r="96" spans="1:3" ht="12" customHeight="1">
      <c r="A96" s="13" t="s">
        <v>124</v>
      </c>
      <c r="B96" s="7" t="s">
        <v>153</v>
      </c>
      <c r="C96" s="244">
        <f>46477000-171000</f>
        <v>46306000</v>
      </c>
    </row>
    <row r="97" spans="1:3" ht="12" customHeight="1">
      <c r="A97" s="13" t="s">
        <v>125</v>
      </c>
      <c r="B97" s="10" t="s">
        <v>185</v>
      </c>
      <c r="C97" s="173"/>
    </row>
    <row r="98" spans="1:3" ht="12" customHeight="1">
      <c r="A98" s="13" t="s">
        <v>136</v>
      </c>
      <c r="B98" s="18" t="s">
        <v>186</v>
      </c>
      <c r="C98" s="173"/>
    </row>
    <row r="99" spans="1:3" ht="12" customHeight="1">
      <c r="A99" s="13" t="s">
        <v>126</v>
      </c>
      <c r="B99" s="7" t="s">
        <v>517</v>
      </c>
      <c r="C99" s="173"/>
    </row>
    <row r="100" spans="1:3" ht="12" customHeight="1">
      <c r="A100" s="13" t="s">
        <v>127</v>
      </c>
      <c r="B100" s="94" t="s">
        <v>518</v>
      </c>
      <c r="C100" s="173"/>
    </row>
    <row r="101" spans="1:3" ht="12" customHeight="1">
      <c r="A101" s="13" t="s">
        <v>137</v>
      </c>
      <c r="B101" s="94" t="s">
        <v>519</v>
      </c>
      <c r="C101" s="173"/>
    </row>
    <row r="102" spans="1:3" ht="12" customHeight="1">
      <c r="A102" s="13" t="s">
        <v>138</v>
      </c>
      <c r="B102" s="92" t="s">
        <v>336</v>
      </c>
      <c r="C102" s="173"/>
    </row>
    <row r="103" spans="1:3" ht="12" customHeight="1">
      <c r="A103" s="13" t="s">
        <v>139</v>
      </c>
      <c r="B103" s="93" t="s">
        <v>337</v>
      </c>
      <c r="C103" s="173"/>
    </row>
    <row r="104" spans="1:3" ht="12" customHeight="1">
      <c r="A104" s="13" t="s">
        <v>140</v>
      </c>
      <c r="B104" s="93" t="s">
        <v>338</v>
      </c>
      <c r="C104" s="173"/>
    </row>
    <row r="105" spans="1:3" ht="12" customHeight="1">
      <c r="A105" s="13" t="s">
        <v>142</v>
      </c>
      <c r="B105" s="92" t="s">
        <v>339</v>
      </c>
      <c r="C105" s="173"/>
    </row>
    <row r="106" spans="1:3" ht="12" customHeight="1">
      <c r="A106" s="13" t="s">
        <v>187</v>
      </c>
      <c r="B106" s="92" t="s">
        <v>340</v>
      </c>
      <c r="C106" s="173"/>
    </row>
    <row r="107" spans="1:3" ht="12" customHeight="1">
      <c r="A107" s="13" t="s">
        <v>334</v>
      </c>
      <c r="B107" s="93" t="s">
        <v>341</v>
      </c>
      <c r="C107" s="173"/>
    </row>
    <row r="108" spans="1:3" ht="12" customHeight="1">
      <c r="A108" s="12" t="s">
        <v>335</v>
      </c>
      <c r="B108" s="94" t="s">
        <v>342</v>
      </c>
      <c r="C108" s="173"/>
    </row>
    <row r="109" spans="1:3" ht="12" customHeight="1">
      <c r="A109" s="13" t="s">
        <v>520</v>
      </c>
      <c r="B109" s="94" t="s">
        <v>343</v>
      </c>
      <c r="C109" s="173"/>
    </row>
    <row r="110" spans="1:3" ht="12" customHeight="1">
      <c r="A110" s="15" t="s">
        <v>521</v>
      </c>
      <c r="B110" s="94" t="s">
        <v>344</v>
      </c>
      <c r="C110" s="173"/>
    </row>
    <row r="111" spans="1:3" ht="12" customHeight="1">
      <c r="A111" s="13" t="s">
        <v>522</v>
      </c>
      <c r="B111" s="10" t="s">
        <v>74</v>
      </c>
      <c r="C111" s="171"/>
    </row>
    <row r="112" spans="1:3" ht="12" customHeight="1">
      <c r="A112" s="13" t="s">
        <v>523</v>
      </c>
      <c r="B112" s="7" t="s">
        <v>524</v>
      </c>
      <c r="C112" s="171"/>
    </row>
    <row r="113" spans="1:3" ht="12" customHeight="1" thickBot="1">
      <c r="A113" s="17" t="s">
        <v>525</v>
      </c>
      <c r="B113" s="481" t="s">
        <v>526</v>
      </c>
      <c r="C113" s="177"/>
    </row>
    <row r="114" spans="1:3" ht="12" customHeight="1" thickBot="1">
      <c r="A114" s="482" t="s">
        <v>44</v>
      </c>
      <c r="B114" s="483" t="s">
        <v>345</v>
      </c>
      <c r="C114" s="484">
        <f>+C115+C117+C119</f>
        <v>1901000</v>
      </c>
    </row>
    <row r="115" spans="1:3" ht="12" customHeight="1">
      <c r="A115" s="14" t="s">
        <v>128</v>
      </c>
      <c r="B115" s="7" t="s">
        <v>208</v>
      </c>
      <c r="C115" s="293">
        <v>1901000</v>
      </c>
    </row>
    <row r="116" spans="1:3" ht="12" customHeight="1">
      <c r="A116" s="14" t="s">
        <v>129</v>
      </c>
      <c r="B116" s="11" t="s">
        <v>349</v>
      </c>
      <c r="C116" s="172"/>
    </row>
    <row r="117" spans="1:3" ht="12" customHeight="1">
      <c r="A117" s="14" t="s">
        <v>130</v>
      </c>
      <c r="B117" s="11" t="s">
        <v>188</v>
      </c>
      <c r="C117" s="171"/>
    </row>
    <row r="118" spans="1:3" ht="12" customHeight="1">
      <c r="A118" s="14" t="s">
        <v>131</v>
      </c>
      <c r="B118" s="11" t="s">
        <v>350</v>
      </c>
      <c r="C118" s="153"/>
    </row>
    <row r="119" spans="1:3" ht="12" customHeight="1">
      <c r="A119" s="14" t="s">
        <v>132</v>
      </c>
      <c r="B119" s="167" t="s">
        <v>210</v>
      </c>
      <c r="C119" s="498"/>
    </row>
    <row r="120" spans="1:3" ht="12" customHeight="1">
      <c r="A120" s="14" t="s">
        <v>141</v>
      </c>
      <c r="B120" s="166" t="s">
        <v>412</v>
      </c>
      <c r="C120" s="498"/>
    </row>
    <row r="121" spans="1:3" ht="12" customHeight="1">
      <c r="A121" s="14" t="s">
        <v>143</v>
      </c>
      <c r="B121" s="251" t="s">
        <v>355</v>
      </c>
      <c r="C121" s="498"/>
    </row>
    <row r="122" spans="1:3" ht="15.75">
      <c r="A122" s="14" t="s">
        <v>189</v>
      </c>
      <c r="B122" s="93" t="s">
        <v>338</v>
      </c>
      <c r="C122" s="498"/>
    </row>
    <row r="123" spans="1:3" ht="12" customHeight="1">
      <c r="A123" s="14" t="s">
        <v>190</v>
      </c>
      <c r="B123" s="93" t="s">
        <v>354</v>
      </c>
      <c r="C123" s="498"/>
    </row>
    <row r="124" spans="1:3" ht="12" customHeight="1">
      <c r="A124" s="14" t="s">
        <v>191</v>
      </c>
      <c r="B124" s="93" t="s">
        <v>353</v>
      </c>
      <c r="C124" s="498"/>
    </row>
    <row r="125" spans="1:3" ht="12" customHeight="1">
      <c r="A125" s="14" t="s">
        <v>346</v>
      </c>
      <c r="B125" s="93" t="s">
        <v>341</v>
      </c>
      <c r="C125" s="498"/>
    </row>
    <row r="126" spans="1:3" ht="12" customHeight="1">
      <c r="A126" s="14" t="s">
        <v>347</v>
      </c>
      <c r="B126" s="93" t="s">
        <v>352</v>
      </c>
      <c r="C126" s="153"/>
    </row>
    <row r="127" spans="1:3" ht="16.5" thickBot="1">
      <c r="A127" s="12" t="s">
        <v>348</v>
      </c>
      <c r="B127" s="93" t="s">
        <v>351</v>
      </c>
      <c r="C127" s="154"/>
    </row>
    <row r="128" spans="1:3" ht="12" customHeight="1" thickBot="1">
      <c r="A128" s="19" t="s">
        <v>45</v>
      </c>
      <c r="B128" s="88" t="s">
        <v>527</v>
      </c>
      <c r="C128" s="170">
        <f>+C93+C114</f>
        <v>195945292</v>
      </c>
    </row>
    <row r="129" spans="1:3" ht="12" customHeight="1" thickBot="1">
      <c r="A129" s="19" t="s">
        <v>46</v>
      </c>
      <c r="B129" s="88" t="s">
        <v>528</v>
      </c>
      <c r="C129" s="170">
        <f>+C130+C131+C132</f>
        <v>0</v>
      </c>
    </row>
    <row r="130" spans="1:3" ht="12" customHeight="1">
      <c r="A130" s="14" t="s">
        <v>246</v>
      </c>
      <c r="B130" s="11" t="s">
        <v>529</v>
      </c>
      <c r="C130" s="153"/>
    </row>
    <row r="131" spans="1:3" ht="12" customHeight="1">
      <c r="A131" s="14" t="s">
        <v>249</v>
      </c>
      <c r="B131" s="11" t="s">
        <v>530</v>
      </c>
      <c r="C131" s="153"/>
    </row>
    <row r="132" spans="1:3" ht="12" customHeight="1" thickBot="1">
      <c r="A132" s="12" t="s">
        <v>250</v>
      </c>
      <c r="B132" s="11" t="s">
        <v>531</v>
      </c>
      <c r="C132" s="153"/>
    </row>
    <row r="133" spans="1:3" ht="12" customHeight="1" thickBot="1">
      <c r="A133" s="19" t="s">
        <v>47</v>
      </c>
      <c r="B133" s="88" t="s">
        <v>532</v>
      </c>
      <c r="C133" s="170">
        <f>SUM(C134:C139)</f>
        <v>0</v>
      </c>
    </row>
    <row r="134" spans="1:3" ht="12" customHeight="1">
      <c r="A134" s="14" t="s">
        <v>115</v>
      </c>
      <c r="B134" s="8" t="s">
        <v>533</v>
      </c>
      <c r="C134" s="153"/>
    </row>
    <row r="135" spans="1:3" ht="12" customHeight="1">
      <c r="A135" s="14" t="s">
        <v>116</v>
      </c>
      <c r="B135" s="8" t="s">
        <v>534</v>
      </c>
      <c r="C135" s="153"/>
    </row>
    <row r="136" spans="1:3" ht="12" customHeight="1">
      <c r="A136" s="14" t="s">
        <v>117</v>
      </c>
      <c r="B136" s="8" t="s">
        <v>535</v>
      </c>
      <c r="C136" s="153"/>
    </row>
    <row r="137" spans="1:3" ht="12" customHeight="1">
      <c r="A137" s="14" t="s">
        <v>176</v>
      </c>
      <c r="B137" s="8" t="s">
        <v>536</v>
      </c>
      <c r="C137" s="153"/>
    </row>
    <row r="138" spans="1:3" ht="12" customHeight="1">
      <c r="A138" s="14" t="s">
        <v>177</v>
      </c>
      <c r="B138" s="8" t="s">
        <v>537</v>
      </c>
      <c r="C138" s="153"/>
    </row>
    <row r="139" spans="1:3" ht="12" customHeight="1" thickBot="1">
      <c r="A139" s="12" t="s">
        <v>178</v>
      </c>
      <c r="B139" s="8" t="s">
        <v>538</v>
      </c>
      <c r="C139" s="153"/>
    </row>
    <row r="140" spans="1:3" ht="12" customHeight="1" thickBot="1">
      <c r="A140" s="19" t="s">
        <v>48</v>
      </c>
      <c r="B140" s="88" t="s">
        <v>539</v>
      </c>
      <c r="C140" s="175">
        <f>+C141+C142+C143+C144</f>
        <v>0</v>
      </c>
    </row>
    <row r="141" spans="1:3" ht="12" customHeight="1">
      <c r="A141" s="14" t="s">
        <v>118</v>
      </c>
      <c r="B141" s="8" t="s">
        <v>356</v>
      </c>
      <c r="C141" s="153"/>
    </row>
    <row r="142" spans="1:3" ht="12" customHeight="1">
      <c r="A142" s="14" t="s">
        <v>119</v>
      </c>
      <c r="B142" s="8" t="s">
        <v>357</v>
      </c>
      <c r="C142" s="153"/>
    </row>
    <row r="143" spans="1:3" ht="12" customHeight="1">
      <c r="A143" s="14" t="s">
        <v>270</v>
      </c>
      <c r="B143" s="8" t="s">
        <v>540</v>
      </c>
      <c r="C143" s="153"/>
    </row>
    <row r="144" spans="1:3" ht="12" customHeight="1" thickBot="1">
      <c r="A144" s="12" t="s">
        <v>271</v>
      </c>
      <c r="B144" s="6" t="s">
        <v>375</v>
      </c>
      <c r="C144" s="153"/>
    </row>
    <row r="145" spans="1:3" ht="12" customHeight="1" thickBot="1">
      <c r="A145" s="19" t="s">
        <v>49</v>
      </c>
      <c r="B145" s="88" t="s">
        <v>541</v>
      </c>
      <c r="C145" s="178">
        <f>SUM(C146:C150)</f>
        <v>0</v>
      </c>
    </row>
    <row r="146" spans="1:3" ht="12" customHeight="1">
      <c r="A146" s="14" t="s">
        <v>120</v>
      </c>
      <c r="B146" s="8" t="s">
        <v>542</v>
      </c>
      <c r="C146" s="153"/>
    </row>
    <row r="147" spans="1:3" ht="12" customHeight="1">
      <c r="A147" s="14" t="s">
        <v>121</v>
      </c>
      <c r="B147" s="8" t="s">
        <v>543</v>
      </c>
      <c r="C147" s="153"/>
    </row>
    <row r="148" spans="1:3" ht="12" customHeight="1">
      <c r="A148" s="14" t="s">
        <v>282</v>
      </c>
      <c r="B148" s="8" t="s">
        <v>544</v>
      </c>
      <c r="C148" s="153"/>
    </row>
    <row r="149" spans="1:3" ht="12" customHeight="1">
      <c r="A149" s="14" t="s">
        <v>283</v>
      </c>
      <c r="B149" s="8" t="s">
        <v>545</v>
      </c>
      <c r="C149" s="153"/>
    </row>
    <row r="150" spans="1:3" ht="12" customHeight="1" thickBot="1">
      <c r="A150" s="14" t="s">
        <v>546</v>
      </c>
      <c r="B150" s="8" t="s">
        <v>547</v>
      </c>
      <c r="C150" s="153"/>
    </row>
    <row r="151" spans="1:3" ht="12" customHeight="1" thickBot="1">
      <c r="A151" s="19" t="s">
        <v>50</v>
      </c>
      <c r="B151" s="88" t="s">
        <v>548</v>
      </c>
      <c r="C151" s="485"/>
    </row>
    <row r="152" spans="1:3" ht="12" customHeight="1" thickBot="1">
      <c r="A152" s="19" t="s">
        <v>51</v>
      </c>
      <c r="B152" s="88" t="s">
        <v>549</v>
      </c>
      <c r="C152" s="485"/>
    </row>
    <row r="153" spans="1:6" ht="15" customHeight="1" thickBot="1">
      <c r="A153" s="19" t="s">
        <v>52</v>
      </c>
      <c r="B153" s="88" t="s">
        <v>550</v>
      </c>
      <c r="C153" s="265">
        <f>+C129+C133+C140+C145+C151+C152</f>
        <v>0</v>
      </c>
      <c r="D153" s="266"/>
      <c r="E153" s="266"/>
      <c r="F153" s="266"/>
    </row>
    <row r="154" spans="1:3" s="254" customFormat="1" ht="12.75" customHeight="1" thickBot="1">
      <c r="A154" s="168" t="s">
        <v>53</v>
      </c>
      <c r="B154" s="240" t="s">
        <v>551</v>
      </c>
      <c r="C154" s="265">
        <f>+C128+C153</f>
        <v>195945292</v>
      </c>
    </row>
    <row r="155" ht="7.5" customHeight="1"/>
    <row r="156" spans="1:3" ht="15.75">
      <c r="A156" s="904" t="s">
        <v>358</v>
      </c>
      <c r="B156" s="904"/>
      <c r="C156" s="904"/>
    </row>
    <row r="157" spans="1:3" ht="15" customHeight="1" thickBot="1">
      <c r="A157" s="901" t="s">
        <v>165</v>
      </c>
      <c r="B157" s="901"/>
      <c r="C157" s="179" t="s">
        <v>651</v>
      </c>
    </row>
    <row r="158" spans="1:3" ht="13.5" customHeight="1" thickBot="1">
      <c r="A158" s="19">
        <v>1</v>
      </c>
      <c r="B158" s="25" t="s">
        <v>552</v>
      </c>
      <c r="C158" s="170">
        <f>+C62-C128</f>
        <v>-188994000</v>
      </c>
    </row>
    <row r="159" spans="1:3" ht="32.25" customHeight="1" thickBot="1">
      <c r="A159" s="19" t="s">
        <v>44</v>
      </c>
      <c r="B159" s="25" t="s">
        <v>553</v>
      </c>
      <c r="C159" s="170">
        <f>+C86-C153</f>
        <v>447404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20/2017.(VI.29.)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1">
      <selection activeCell="E8" sqref="E8"/>
    </sheetView>
  </sheetViews>
  <sheetFormatPr defaultColWidth="9.00390625" defaultRowHeight="12.75"/>
  <cols>
    <col min="1" max="1" width="6.875" style="41" customWidth="1"/>
    <col min="2" max="2" width="55.125" style="102" customWidth="1"/>
    <col min="3" max="3" width="16.00390625" style="41" bestFit="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88" t="s">
        <v>168</v>
      </c>
      <c r="C1" s="189"/>
      <c r="D1" s="189"/>
      <c r="E1" s="189"/>
      <c r="F1" s="908"/>
    </row>
    <row r="2" spans="5:6" ht="14.25" thickBot="1">
      <c r="E2" s="190" t="s">
        <v>667</v>
      </c>
      <c r="F2" s="908"/>
    </row>
    <row r="3" spans="1:6" ht="18" customHeight="1" thickBot="1">
      <c r="A3" s="906" t="s">
        <v>94</v>
      </c>
      <c r="B3" s="191" t="s">
        <v>80</v>
      </c>
      <c r="C3" s="192"/>
      <c r="D3" s="191" t="s">
        <v>81</v>
      </c>
      <c r="E3" s="193"/>
      <c r="F3" s="908"/>
    </row>
    <row r="4" spans="1:6" s="194" customFormat="1" ht="35.25" customHeight="1" thickBot="1">
      <c r="A4" s="907"/>
      <c r="B4" s="103" t="s">
        <v>86</v>
      </c>
      <c r="C4" s="31" t="s">
        <v>638</v>
      </c>
      <c r="D4" s="103" t="s">
        <v>86</v>
      </c>
      <c r="E4" s="40" t="str">
        <f>+C4</f>
        <v>2017. évi előirányzat</v>
      </c>
      <c r="F4" s="908"/>
    </row>
    <row r="5" spans="1:6" s="199" customFormat="1" ht="12" customHeight="1" thickBot="1">
      <c r="A5" s="195" t="s">
        <v>500</v>
      </c>
      <c r="B5" s="196" t="s">
        <v>501</v>
      </c>
      <c r="C5" s="197" t="s">
        <v>502</v>
      </c>
      <c r="D5" s="196" t="s">
        <v>555</v>
      </c>
      <c r="E5" s="198" t="s">
        <v>556</v>
      </c>
      <c r="F5" s="908"/>
    </row>
    <row r="6" spans="1:6" ht="12.75" customHeight="1">
      <c r="A6" s="200" t="s">
        <v>43</v>
      </c>
      <c r="B6" s="201" t="s">
        <v>359</v>
      </c>
      <c r="C6" s="662">
        <v>1239018195</v>
      </c>
      <c r="D6" s="219" t="s">
        <v>87</v>
      </c>
      <c r="E6" s="777">
        <v>1350158197</v>
      </c>
      <c r="F6" s="908"/>
    </row>
    <row r="7" spans="1:6" ht="12.75" customHeight="1">
      <c r="A7" s="202" t="s">
        <v>44</v>
      </c>
      <c r="B7" s="203" t="s">
        <v>360</v>
      </c>
      <c r="C7" s="776">
        <v>615152497</v>
      </c>
      <c r="D7" s="208" t="s">
        <v>184</v>
      </c>
      <c r="E7" s="778">
        <f>256594727-570939</f>
        <v>256023788</v>
      </c>
      <c r="F7" s="908"/>
    </row>
    <row r="8" spans="1:6" ht="12.75" customHeight="1">
      <c r="A8" s="202" t="s">
        <v>45</v>
      </c>
      <c r="B8" s="203" t="s">
        <v>380</v>
      </c>
      <c r="C8" s="776">
        <v>374405</v>
      </c>
      <c r="D8" s="208" t="s">
        <v>213</v>
      </c>
      <c r="E8" s="778">
        <f>967165636+570939</f>
        <v>967736575</v>
      </c>
      <c r="F8" s="908"/>
    </row>
    <row r="9" spans="1:6" ht="12.75" customHeight="1">
      <c r="A9" s="202" t="s">
        <v>46</v>
      </c>
      <c r="B9" s="203" t="s">
        <v>175</v>
      </c>
      <c r="C9" s="52">
        <v>319390000</v>
      </c>
      <c r="D9" s="208" t="s">
        <v>185</v>
      </c>
      <c r="E9" s="53">
        <v>95230000</v>
      </c>
      <c r="F9" s="908"/>
    </row>
    <row r="10" spans="1:6" ht="12.75" customHeight="1">
      <c r="A10" s="202" t="s">
        <v>47</v>
      </c>
      <c r="B10" s="204" t="s">
        <v>405</v>
      </c>
      <c r="C10" s="776">
        <v>459637174</v>
      </c>
      <c r="D10" s="208" t="s">
        <v>186</v>
      </c>
      <c r="E10" s="53">
        <v>56569298</v>
      </c>
      <c r="F10" s="908"/>
    </row>
    <row r="11" spans="1:6" ht="12.75" customHeight="1">
      <c r="A11" s="202" t="s">
        <v>48</v>
      </c>
      <c r="B11" s="203" t="s">
        <v>361</v>
      </c>
      <c r="C11" s="518">
        <v>6024000</v>
      </c>
      <c r="D11" s="208" t="s">
        <v>74</v>
      </c>
      <c r="E11" s="778">
        <v>65761414</v>
      </c>
      <c r="F11" s="908"/>
    </row>
    <row r="12" spans="1:6" ht="12.75" customHeight="1">
      <c r="A12" s="202" t="s">
        <v>49</v>
      </c>
      <c r="B12" s="203" t="s">
        <v>557</v>
      </c>
      <c r="C12" s="52"/>
      <c r="D12" s="661"/>
      <c r="E12" s="53"/>
      <c r="F12" s="908"/>
    </row>
    <row r="13" spans="1:6" ht="12.75" customHeight="1">
      <c r="A13" s="202" t="s">
        <v>50</v>
      </c>
      <c r="B13" s="35"/>
      <c r="C13" s="52"/>
      <c r="D13" s="661"/>
      <c r="E13" s="53"/>
      <c r="F13" s="908"/>
    </row>
    <row r="14" spans="1:6" ht="12.75" customHeight="1">
      <c r="A14" s="202" t="s">
        <v>51</v>
      </c>
      <c r="B14" s="267"/>
      <c r="C14" s="518"/>
      <c r="D14" s="661"/>
      <c r="E14" s="53"/>
      <c r="F14" s="908"/>
    </row>
    <row r="15" spans="1:6" ht="12.75" customHeight="1">
      <c r="A15" s="202" t="s">
        <v>52</v>
      </c>
      <c r="B15" s="35"/>
      <c r="C15" s="52"/>
      <c r="D15" s="661"/>
      <c r="E15" s="53"/>
      <c r="F15" s="908"/>
    </row>
    <row r="16" spans="1:6" ht="12.75" customHeight="1">
      <c r="A16" s="202" t="s">
        <v>53</v>
      </c>
      <c r="B16" s="35"/>
      <c r="C16" s="180"/>
      <c r="D16" s="35"/>
      <c r="E16" s="184"/>
      <c r="F16" s="908"/>
    </row>
    <row r="17" spans="1:6" ht="12.75" customHeight="1" thickBot="1">
      <c r="A17" s="202" t="s">
        <v>54</v>
      </c>
      <c r="B17" s="43"/>
      <c r="C17" s="181"/>
      <c r="D17" s="35"/>
      <c r="E17" s="185"/>
      <c r="F17" s="908"/>
    </row>
    <row r="18" spans="1:6" ht="15.75" customHeight="1" thickBot="1">
      <c r="A18" s="205" t="s">
        <v>55</v>
      </c>
      <c r="B18" s="89" t="s">
        <v>558</v>
      </c>
      <c r="C18" s="182">
        <f>SUM(C6:C17)-C8</f>
        <v>2639221866</v>
      </c>
      <c r="D18" s="89" t="s">
        <v>366</v>
      </c>
      <c r="E18" s="186">
        <f>SUM(E6:E17)</f>
        <v>2791479272</v>
      </c>
      <c r="F18" s="908"/>
    </row>
    <row r="19" spans="1:6" ht="12.75" customHeight="1">
      <c r="A19" s="206" t="s">
        <v>56</v>
      </c>
      <c r="B19" s="207" t="s">
        <v>363</v>
      </c>
      <c r="C19" s="297">
        <f>SUM(C20:C23)</f>
        <v>292999415</v>
      </c>
      <c r="D19" s="208" t="s">
        <v>192</v>
      </c>
      <c r="E19" s="187"/>
      <c r="F19" s="908"/>
    </row>
    <row r="20" spans="1:6" ht="12.75" customHeight="1">
      <c r="A20" s="209" t="s">
        <v>57</v>
      </c>
      <c r="B20" s="208" t="s">
        <v>206</v>
      </c>
      <c r="C20" s="52">
        <v>292999415</v>
      </c>
      <c r="D20" s="208" t="s">
        <v>365</v>
      </c>
      <c r="E20" s="53">
        <v>100000000</v>
      </c>
      <c r="F20" s="908"/>
    </row>
    <row r="21" spans="1:6" ht="12.75" customHeight="1">
      <c r="A21" s="209" t="s">
        <v>58</v>
      </c>
      <c r="B21" s="208" t="s">
        <v>207</v>
      </c>
      <c r="C21" s="52"/>
      <c r="D21" s="208" t="s">
        <v>166</v>
      </c>
      <c r="E21" s="53"/>
      <c r="F21" s="908"/>
    </row>
    <row r="22" spans="1:6" ht="12.75" customHeight="1">
      <c r="A22" s="209" t="s">
        <v>59</v>
      </c>
      <c r="B22" s="208" t="s">
        <v>211</v>
      </c>
      <c r="C22" s="52"/>
      <c r="D22" s="208" t="s">
        <v>167</v>
      </c>
      <c r="E22" s="53"/>
      <c r="F22" s="908"/>
    </row>
    <row r="23" spans="1:6" ht="12.75" customHeight="1">
      <c r="A23" s="209" t="s">
        <v>60</v>
      </c>
      <c r="B23" s="208" t="s">
        <v>212</v>
      </c>
      <c r="C23" s="52"/>
      <c r="D23" s="207" t="s">
        <v>214</v>
      </c>
      <c r="E23" s="53"/>
      <c r="F23" s="908"/>
    </row>
    <row r="24" spans="1:6" ht="12.75" customHeight="1">
      <c r="A24" s="209" t="s">
        <v>61</v>
      </c>
      <c r="B24" s="208" t="s">
        <v>364</v>
      </c>
      <c r="C24" s="210">
        <f>SUM(C25:C28)</f>
        <v>100000000</v>
      </c>
      <c r="D24" s="208" t="s">
        <v>193</v>
      </c>
      <c r="E24" s="53"/>
      <c r="F24" s="908"/>
    </row>
    <row r="25" spans="1:6" ht="12.75" customHeight="1">
      <c r="A25" s="206" t="s">
        <v>62</v>
      </c>
      <c r="B25" s="207" t="s">
        <v>362</v>
      </c>
      <c r="C25" s="183">
        <v>100000000</v>
      </c>
      <c r="D25" s="201" t="s">
        <v>540</v>
      </c>
      <c r="E25" s="187"/>
      <c r="F25" s="908"/>
    </row>
    <row r="26" spans="1:6" ht="12.75" customHeight="1">
      <c r="A26" s="209" t="s">
        <v>63</v>
      </c>
      <c r="B26" s="208" t="s">
        <v>559</v>
      </c>
      <c r="C26" s="52"/>
      <c r="D26" s="203" t="s">
        <v>548</v>
      </c>
      <c r="E26" s="53"/>
      <c r="F26" s="908"/>
    </row>
    <row r="27" spans="1:6" ht="12.75" customHeight="1">
      <c r="A27" s="202" t="s">
        <v>64</v>
      </c>
      <c r="B27" s="208" t="s">
        <v>513</v>
      </c>
      <c r="C27" s="52"/>
      <c r="D27" s="203" t="s">
        <v>549</v>
      </c>
      <c r="E27" s="53"/>
      <c r="F27" s="908"/>
    </row>
    <row r="28" spans="1:6" ht="12.75" customHeight="1" thickBot="1">
      <c r="A28" s="243" t="s">
        <v>65</v>
      </c>
      <c r="B28" s="207" t="s">
        <v>320</v>
      </c>
      <c r="C28" s="183"/>
      <c r="D28" s="268" t="s">
        <v>629</v>
      </c>
      <c r="E28" s="187">
        <v>35164932</v>
      </c>
      <c r="F28" s="908"/>
    </row>
    <row r="29" spans="1:6" ht="13.5" customHeight="1" thickBot="1">
      <c r="A29" s="205" t="s">
        <v>66</v>
      </c>
      <c r="B29" s="89" t="s">
        <v>560</v>
      </c>
      <c r="C29" s="182">
        <f>+C19+C24+C27+C28</f>
        <v>392999415</v>
      </c>
      <c r="D29" s="89" t="s">
        <v>561</v>
      </c>
      <c r="E29" s="186">
        <f>SUM(E19:E28)</f>
        <v>135164932</v>
      </c>
      <c r="F29" s="908"/>
    </row>
    <row r="30" spans="1:6" ht="13.5" thickBot="1">
      <c r="A30" s="205" t="s">
        <v>67</v>
      </c>
      <c r="B30" s="211" t="s">
        <v>562</v>
      </c>
      <c r="C30" s="732">
        <f>+C18+C29</f>
        <v>3032221281</v>
      </c>
      <c r="D30" s="211" t="s">
        <v>563</v>
      </c>
      <c r="E30" s="732">
        <f>+E18+E29</f>
        <v>2926644204</v>
      </c>
      <c r="F30" s="908"/>
    </row>
    <row r="31" spans="1:6" ht="13.5" thickBot="1">
      <c r="A31" s="205" t="s">
        <v>68</v>
      </c>
      <c r="B31" s="211" t="s">
        <v>170</v>
      </c>
      <c r="C31" s="732">
        <f>IF(C18-E18&lt;0,E18-C18,"-")</f>
        <v>152257406</v>
      </c>
      <c r="D31" s="211" t="s">
        <v>171</v>
      </c>
      <c r="E31" s="732" t="str">
        <f>IF(C18-E18&gt;0,C18-E18,"-")</f>
        <v>-</v>
      </c>
      <c r="F31" s="908"/>
    </row>
    <row r="32" spans="1:6" ht="13.5" thickBot="1">
      <c r="A32" s="205" t="s">
        <v>69</v>
      </c>
      <c r="B32" s="211" t="s">
        <v>215</v>
      </c>
      <c r="C32" s="212" t="str">
        <f>IF(C30-E30&lt;0,E30-C30,"-")</f>
        <v>-</v>
      </c>
      <c r="D32" s="211" t="s">
        <v>216</v>
      </c>
      <c r="E32" s="732">
        <f>IF(C30-E30&gt;0,C30-E30,"-")</f>
        <v>105577077</v>
      </c>
      <c r="F32" s="908"/>
    </row>
    <row r="33" spans="2:4" ht="18.75">
      <c r="B33" s="909"/>
      <c r="C33" s="909"/>
      <c r="D33" s="90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20/2017.(VI.29.)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view="pageLayout" zoomScaleSheetLayoutView="115" workbookViewId="0" topLeftCell="A1">
      <selection activeCell="D1" sqref="D1"/>
    </sheetView>
  </sheetViews>
  <sheetFormatPr defaultColWidth="9.00390625" defaultRowHeight="12.75"/>
  <cols>
    <col min="1" max="1" width="6.875" style="41" customWidth="1"/>
    <col min="2" max="2" width="55.125" style="10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88" t="s">
        <v>169</v>
      </c>
      <c r="C1" s="189"/>
      <c r="D1" s="189"/>
      <c r="E1" s="189"/>
      <c r="F1" s="908"/>
    </row>
    <row r="2" spans="5:6" ht="14.25" thickBot="1">
      <c r="E2" s="190" t="s">
        <v>667</v>
      </c>
      <c r="F2" s="908"/>
    </row>
    <row r="3" spans="1:6" ht="13.5" thickBot="1">
      <c r="A3" s="910" t="s">
        <v>94</v>
      </c>
      <c r="B3" s="191" t="s">
        <v>80</v>
      </c>
      <c r="C3" s="192"/>
      <c r="D3" s="191" t="s">
        <v>81</v>
      </c>
      <c r="E3" s="193"/>
      <c r="F3" s="908"/>
    </row>
    <row r="4" spans="1:6" s="194" customFormat="1" ht="24.75" thickBot="1">
      <c r="A4" s="911"/>
      <c r="B4" s="103" t="s">
        <v>86</v>
      </c>
      <c r="C4" s="31" t="s">
        <v>638</v>
      </c>
      <c r="D4" s="103" t="s">
        <v>86</v>
      </c>
      <c r="E4" s="31" t="s">
        <v>638</v>
      </c>
      <c r="F4" s="908"/>
    </row>
    <row r="5" spans="1:6" s="194" customFormat="1" ht="13.5" thickBot="1">
      <c r="A5" s="195" t="s">
        <v>500</v>
      </c>
      <c r="B5" s="196" t="s">
        <v>501</v>
      </c>
      <c r="C5" s="197" t="s">
        <v>502</v>
      </c>
      <c r="D5" s="196" t="s">
        <v>555</v>
      </c>
      <c r="E5" s="198" t="s">
        <v>556</v>
      </c>
      <c r="F5" s="908"/>
    </row>
    <row r="6" spans="1:6" ht="12.75" customHeight="1">
      <c r="A6" s="200" t="s">
        <v>43</v>
      </c>
      <c r="B6" s="201" t="s">
        <v>367</v>
      </c>
      <c r="C6" s="779">
        <v>112681605</v>
      </c>
      <c r="D6" s="219" t="s">
        <v>208</v>
      </c>
      <c r="E6" s="777">
        <v>157122245</v>
      </c>
      <c r="F6" s="908"/>
    </row>
    <row r="7" spans="1:6" ht="12.75">
      <c r="A7" s="202" t="s">
        <v>44</v>
      </c>
      <c r="B7" s="203" t="s">
        <v>368</v>
      </c>
      <c r="C7" s="776">
        <v>95342329</v>
      </c>
      <c r="D7" s="208" t="s">
        <v>373</v>
      </c>
      <c r="E7" s="782">
        <v>101258334</v>
      </c>
      <c r="F7" s="908"/>
    </row>
    <row r="8" spans="1:6" ht="12.75" customHeight="1">
      <c r="A8" s="202" t="s">
        <v>45</v>
      </c>
      <c r="B8" s="203" t="s">
        <v>36</v>
      </c>
      <c r="C8" s="52">
        <v>47429000</v>
      </c>
      <c r="D8" s="208" t="s">
        <v>188</v>
      </c>
      <c r="E8" s="778">
        <v>90107744</v>
      </c>
      <c r="F8" s="908"/>
    </row>
    <row r="9" spans="1:6" ht="12.75" customHeight="1">
      <c r="A9" s="202" t="s">
        <v>46</v>
      </c>
      <c r="B9" s="203" t="s">
        <v>369</v>
      </c>
      <c r="C9" s="52"/>
      <c r="D9" s="208" t="s">
        <v>374</v>
      </c>
      <c r="E9" s="498">
        <v>54340000</v>
      </c>
      <c r="F9" s="908"/>
    </row>
    <row r="10" spans="1:6" ht="12.75" customHeight="1">
      <c r="A10" s="202" t="s">
        <v>47</v>
      </c>
      <c r="B10" s="203" t="s">
        <v>370</v>
      </c>
      <c r="C10" s="52"/>
      <c r="D10" s="208" t="s">
        <v>210</v>
      </c>
      <c r="E10" s="53">
        <v>46420000</v>
      </c>
      <c r="F10" s="908"/>
    </row>
    <row r="11" spans="1:6" ht="12.75" customHeight="1">
      <c r="A11" s="202" t="s">
        <v>48</v>
      </c>
      <c r="B11" s="203" t="s">
        <v>371</v>
      </c>
      <c r="C11" s="518"/>
      <c r="D11" s="486"/>
      <c r="E11" s="53"/>
      <c r="F11" s="908"/>
    </row>
    <row r="12" spans="1:6" ht="12.75" customHeight="1">
      <c r="A12" s="202" t="s">
        <v>49</v>
      </c>
      <c r="B12" s="35"/>
      <c r="C12" s="52"/>
      <c r="D12" s="486"/>
      <c r="E12" s="53"/>
      <c r="F12" s="908"/>
    </row>
    <row r="13" spans="1:6" ht="12.75" customHeight="1">
      <c r="A13" s="202" t="s">
        <v>50</v>
      </c>
      <c r="B13" s="35"/>
      <c r="C13" s="52"/>
      <c r="D13" s="486"/>
      <c r="E13" s="53"/>
      <c r="F13" s="908"/>
    </row>
    <row r="14" spans="1:6" ht="12.75" customHeight="1">
      <c r="A14" s="202" t="s">
        <v>51</v>
      </c>
      <c r="B14" s="487"/>
      <c r="C14" s="518"/>
      <c r="D14" s="486"/>
      <c r="E14" s="53"/>
      <c r="F14" s="908"/>
    </row>
    <row r="15" spans="1:6" ht="12.75">
      <c r="A15" s="202" t="s">
        <v>52</v>
      </c>
      <c r="B15" s="35"/>
      <c r="C15" s="518"/>
      <c r="D15" s="486"/>
      <c r="E15" s="53"/>
      <c r="F15" s="908"/>
    </row>
    <row r="16" spans="1:6" ht="12.75" customHeight="1" thickBot="1">
      <c r="A16" s="243" t="s">
        <v>53</v>
      </c>
      <c r="B16" s="268"/>
      <c r="C16" s="663"/>
      <c r="D16" s="207" t="s">
        <v>74</v>
      </c>
      <c r="E16" s="781">
        <v>50876693</v>
      </c>
      <c r="F16" s="908"/>
    </row>
    <row r="17" spans="1:6" ht="15.75" customHeight="1" thickBot="1">
      <c r="A17" s="205" t="s">
        <v>54</v>
      </c>
      <c r="B17" s="89" t="s">
        <v>381</v>
      </c>
      <c r="C17" s="182">
        <f>+C6+C8+C9+C11+C12+C13+C14+C15+C16</f>
        <v>160110605</v>
      </c>
      <c r="D17" s="89" t="s">
        <v>382</v>
      </c>
      <c r="E17" s="186">
        <f>+E6+E8+E10+E11+E12+E13+E14+E15+E16</f>
        <v>344526682</v>
      </c>
      <c r="F17" s="908"/>
    </row>
    <row r="18" spans="1:6" ht="12.75" customHeight="1">
      <c r="A18" s="200" t="s">
        <v>55</v>
      </c>
      <c r="B18" s="215" t="s">
        <v>228</v>
      </c>
      <c r="C18" s="222">
        <f>+C19+C20+C21+C22+C23</f>
        <v>0</v>
      </c>
      <c r="D18" s="208" t="s">
        <v>192</v>
      </c>
      <c r="E18" s="51"/>
      <c r="F18" s="908"/>
    </row>
    <row r="19" spans="1:6" ht="12.75" customHeight="1">
      <c r="A19" s="202" t="s">
        <v>56</v>
      </c>
      <c r="B19" s="216" t="s">
        <v>217</v>
      </c>
      <c r="C19" s="52"/>
      <c r="D19" s="208" t="s">
        <v>195</v>
      </c>
      <c r="E19" s="53"/>
      <c r="F19" s="908"/>
    </row>
    <row r="20" spans="1:6" ht="12.75" customHeight="1">
      <c r="A20" s="200" t="s">
        <v>57</v>
      </c>
      <c r="B20" s="216" t="s">
        <v>218</v>
      </c>
      <c r="C20" s="52"/>
      <c r="D20" s="208" t="s">
        <v>166</v>
      </c>
      <c r="E20" s="53"/>
      <c r="F20" s="908"/>
    </row>
    <row r="21" spans="1:6" ht="12.75" customHeight="1">
      <c r="A21" s="202" t="s">
        <v>58</v>
      </c>
      <c r="B21" s="216" t="s">
        <v>219</v>
      </c>
      <c r="C21" s="52"/>
      <c r="D21" s="208" t="s">
        <v>167</v>
      </c>
      <c r="E21" s="53">
        <v>3161000</v>
      </c>
      <c r="F21" s="908"/>
    </row>
    <row r="22" spans="1:6" ht="12.75" customHeight="1">
      <c r="A22" s="200" t="s">
        <v>59</v>
      </c>
      <c r="B22" s="216" t="s">
        <v>220</v>
      </c>
      <c r="C22" s="52"/>
      <c r="D22" s="207" t="s">
        <v>214</v>
      </c>
      <c r="E22" s="53"/>
      <c r="F22" s="908"/>
    </row>
    <row r="23" spans="1:6" ht="12.75" customHeight="1">
      <c r="A23" s="202" t="s">
        <v>60</v>
      </c>
      <c r="B23" s="217" t="s">
        <v>221</v>
      </c>
      <c r="C23" s="52"/>
      <c r="D23" s="208" t="s">
        <v>196</v>
      </c>
      <c r="E23" s="53"/>
      <c r="F23" s="908"/>
    </row>
    <row r="24" spans="1:6" ht="12.75" customHeight="1">
      <c r="A24" s="200" t="s">
        <v>61</v>
      </c>
      <c r="B24" s="218" t="s">
        <v>222</v>
      </c>
      <c r="C24" s="780">
        <f>+C25+C26+C27+C28+C29</f>
        <v>82000000</v>
      </c>
      <c r="D24" s="219" t="s">
        <v>194</v>
      </c>
      <c r="E24" s="53"/>
      <c r="F24" s="908"/>
    </row>
    <row r="25" spans="1:6" ht="12.75" customHeight="1">
      <c r="A25" s="202" t="s">
        <v>62</v>
      </c>
      <c r="B25" s="217" t="s">
        <v>223</v>
      </c>
      <c r="C25" s="776">
        <v>82000000</v>
      </c>
      <c r="D25" s="219" t="s">
        <v>375</v>
      </c>
      <c r="E25" s="53"/>
      <c r="F25" s="908"/>
    </row>
    <row r="26" spans="1:6" ht="12.75" customHeight="1">
      <c r="A26" s="200" t="s">
        <v>63</v>
      </c>
      <c r="B26" s="217" t="s">
        <v>224</v>
      </c>
      <c r="C26" s="52"/>
      <c r="D26" s="214"/>
      <c r="E26" s="53"/>
      <c r="F26" s="908"/>
    </row>
    <row r="27" spans="1:6" ht="12.75" customHeight="1">
      <c r="A27" s="202" t="s">
        <v>64</v>
      </c>
      <c r="B27" s="216" t="s">
        <v>225</v>
      </c>
      <c r="C27" s="52"/>
      <c r="D27" s="214"/>
      <c r="E27" s="53"/>
      <c r="F27" s="908"/>
    </row>
    <row r="28" spans="1:6" ht="12.75" customHeight="1">
      <c r="A28" s="200" t="s">
        <v>65</v>
      </c>
      <c r="B28" s="220" t="s">
        <v>226</v>
      </c>
      <c r="C28" s="52"/>
      <c r="D28" s="661"/>
      <c r="E28" s="53"/>
      <c r="F28" s="908"/>
    </row>
    <row r="29" spans="1:6" ht="12.75" customHeight="1" thickBot="1">
      <c r="A29" s="202" t="s">
        <v>66</v>
      </c>
      <c r="B29" s="221" t="s">
        <v>227</v>
      </c>
      <c r="C29" s="52"/>
      <c r="D29" s="214"/>
      <c r="E29" s="53"/>
      <c r="F29" s="908"/>
    </row>
    <row r="30" spans="1:6" ht="21.75" customHeight="1" thickBot="1">
      <c r="A30" s="205" t="s">
        <v>67</v>
      </c>
      <c r="B30" s="89" t="s">
        <v>372</v>
      </c>
      <c r="C30" s="182">
        <f>+C18+C24</f>
        <v>82000000</v>
      </c>
      <c r="D30" s="89" t="s">
        <v>376</v>
      </c>
      <c r="E30" s="186">
        <f>SUM(E18:E29)</f>
        <v>3161000</v>
      </c>
      <c r="F30" s="908"/>
    </row>
    <row r="31" spans="1:6" ht="13.5" thickBot="1">
      <c r="A31" s="205" t="s">
        <v>68</v>
      </c>
      <c r="B31" s="211" t="s">
        <v>377</v>
      </c>
      <c r="C31" s="212">
        <f>+C17+C30</f>
        <v>242110605</v>
      </c>
      <c r="D31" s="211" t="s">
        <v>378</v>
      </c>
      <c r="E31" s="212">
        <f>+E17+E30</f>
        <v>347687682</v>
      </c>
      <c r="F31" s="908"/>
    </row>
    <row r="32" spans="1:6" ht="13.5" thickBot="1">
      <c r="A32" s="205" t="s">
        <v>69</v>
      </c>
      <c r="B32" s="211" t="s">
        <v>170</v>
      </c>
      <c r="C32" s="212">
        <f>IF(C17-E17&lt;0,E17-C17,"-")</f>
        <v>184416077</v>
      </c>
      <c r="D32" s="211" t="s">
        <v>171</v>
      </c>
      <c r="E32" s="212" t="str">
        <f>IF(C17-E17&gt;0,C17-E17,"-")</f>
        <v>-</v>
      </c>
      <c r="F32" s="908"/>
    </row>
    <row r="33" spans="1:6" ht="13.5" thickBot="1">
      <c r="A33" s="205" t="s">
        <v>70</v>
      </c>
      <c r="B33" s="211" t="s">
        <v>215</v>
      </c>
      <c r="C33" s="212">
        <f>IF(C31-E31&lt;0,E31-C31,"-")</f>
        <v>105577077</v>
      </c>
      <c r="D33" s="211" t="s">
        <v>216</v>
      </c>
      <c r="E33" s="212" t="str">
        <f>IF(C31-E31&gt;0,C31-E31,"-")</f>
        <v>-</v>
      </c>
      <c r="F33" s="908"/>
    </row>
    <row r="34" spans="3:5" ht="12.75">
      <c r="C34" s="703"/>
      <c r="D34" s="703"/>
      <c r="E34" s="703"/>
    </row>
    <row r="35" spans="3:5" ht="12.75">
      <c r="C35" s="703"/>
      <c r="D35" s="703"/>
      <c r="E35" s="703"/>
    </row>
    <row r="36" spans="3:5" ht="12.75">
      <c r="C36" s="703"/>
      <c r="D36" s="703"/>
      <c r="E36" s="703"/>
    </row>
    <row r="37" spans="3:5" ht="12.75">
      <c r="C37" s="703"/>
      <c r="D37" s="703"/>
      <c r="E37" s="703"/>
    </row>
    <row r="38" spans="3:5" ht="12.75">
      <c r="C38" s="703"/>
      <c r="D38" s="703"/>
      <c r="E38" s="703"/>
    </row>
    <row r="39" spans="3:5" ht="12.75">
      <c r="C39" s="703"/>
      <c r="D39" s="703"/>
      <c r="E39" s="703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 6. melléklet a 20/2017.(VI.29.)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I15"/>
  <sheetViews>
    <sheetView view="pageLayout" zoomScaleNormal="120" workbookViewId="0" topLeftCell="A1">
      <selection activeCell="I6" sqref="I6"/>
    </sheetView>
  </sheetViews>
  <sheetFormatPr defaultColWidth="9.00390625" defaultRowHeight="12.75"/>
  <cols>
    <col min="1" max="1" width="5.625" style="96" customWidth="1"/>
    <col min="2" max="2" width="41.125" style="96" customWidth="1"/>
    <col min="3" max="3" width="17.625" style="96" customWidth="1"/>
    <col min="4" max="7" width="14.00390625" style="96" customWidth="1"/>
    <col min="8" max="8" width="15.125" style="96" customWidth="1"/>
    <col min="9" max="16384" width="9.375" style="96" customWidth="1"/>
  </cols>
  <sheetData>
    <row r="1" spans="1:8" ht="33" customHeight="1">
      <c r="A1" s="912" t="s">
        <v>497</v>
      </c>
      <c r="B1" s="912"/>
      <c r="C1" s="912"/>
      <c r="D1" s="912"/>
      <c r="E1" s="912"/>
      <c r="F1" s="912"/>
      <c r="G1" s="912"/>
      <c r="H1" s="912"/>
    </row>
    <row r="2" spans="1:9" ht="15.75" customHeight="1" thickBot="1">
      <c r="A2" s="97"/>
      <c r="B2" s="372"/>
      <c r="C2" s="372"/>
      <c r="D2" s="913"/>
      <c r="E2" s="913"/>
      <c r="F2" s="913"/>
      <c r="G2" s="920" t="s">
        <v>680</v>
      </c>
      <c r="H2" s="920"/>
      <c r="I2" s="101"/>
    </row>
    <row r="3" spans="1:8" ht="63" customHeight="1">
      <c r="A3" s="916" t="s">
        <v>41</v>
      </c>
      <c r="B3" s="918" t="s">
        <v>197</v>
      </c>
      <c r="C3" s="546">
        <v>42735</v>
      </c>
      <c r="D3" s="918" t="s">
        <v>229</v>
      </c>
      <c r="E3" s="918"/>
      <c r="F3" s="918"/>
      <c r="G3" s="918"/>
      <c r="H3" s="914" t="s">
        <v>685</v>
      </c>
    </row>
    <row r="4" spans="1:8" ht="15.75" thickBot="1">
      <c r="A4" s="917"/>
      <c r="B4" s="919"/>
      <c r="C4" s="98"/>
      <c r="D4" s="98">
        <v>2017</v>
      </c>
      <c r="E4" s="98">
        <v>2018</v>
      </c>
      <c r="F4" s="98">
        <v>2019</v>
      </c>
      <c r="G4" s="572">
        <v>2020</v>
      </c>
      <c r="H4" s="915"/>
    </row>
    <row r="5" spans="1:8" ht="15.75" thickBot="1">
      <c r="A5" s="541" t="s">
        <v>43</v>
      </c>
      <c r="B5" s="536">
        <v>2</v>
      </c>
      <c r="C5" s="99">
        <v>3</v>
      </c>
      <c r="D5" s="99">
        <v>4</v>
      </c>
      <c r="E5" s="99">
        <v>5</v>
      </c>
      <c r="F5" s="99">
        <v>6</v>
      </c>
      <c r="G5" s="100">
        <v>7</v>
      </c>
      <c r="H5" s="100">
        <v>8</v>
      </c>
    </row>
    <row r="6" spans="1:8" ht="15">
      <c r="A6" s="540" t="s">
        <v>44</v>
      </c>
      <c r="B6" s="537" t="s">
        <v>686</v>
      </c>
      <c r="C6" s="666">
        <v>0</v>
      </c>
      <c r="D6" s="668">
        <v>0</v>
      </c>
      <c r="E6" s="668">
        <v>0</v>
      </c>
      <c r="F6" s="668">
        <v>0</v>
      </c>
      <c r="G6" s="668">
        <v>0</v>
      </c>
      <c r="H6" s="669">
        <f aca="true" t="shared" si="0" ref="H6:H12">SUM(D6:G6)</f>
        <v>0</v>
      </c>
    </row>
    <row r="7" spans="1:8" ht="15">
      <c r="A7" s="540" t="s">
        <v>45</v>
      </c>
      <c r="B7" s="537" t="s">
        <v>687</v>
      </c>
      <c r="C7" s="666">
        <v>1230704</v>
      </c>
      <c r="D7" s="668">
        <v>660000</v>
      </c>
      <c r="E7" s="668">
        <v>570704</v>
      </c>
      <c r="F7" s="668">
        <v>0</v>
      </c>
      <c r="G7" s="668">
        <v>0</v>
      </c>
      <c r="H7" s="669">
        <f t="shared" si="0"/>
        <v>1230704</v>
      </c>
    </row>
    <row r="8" spans="1:8" ht="39">
      <c r="A8" s="540" t="s">
        <v>46</v>
      </c>
      <c r="B8" s="610" t="s">
        <v>681</v>
      </c>
      <c r="C8" s="666">
        <v>0</v>
      </c>
      <c r="D8" s="668">
        <v>0</v>
      </c>
      <c r="E8" s="785">
        <v>4444000</v>
      </c>
      <c r="F8" s="785">
        <v>4444000</v>
      </c>
      <c r="G8" s="785">
        <v>4444000</v>
      </c>
      <c r="H8" s="786">
        <f t="shared" si="0"/>
        <v>13332000</v>
      </c>
    </row>
    <row r="9" spans="1:8" ht="39">
      <c r="A9" s="540" t="s">
        <v>47</v>
      </c>
      <c r="B9" s="610" t="s">
        <v>682</v>
      </c>
      <c r="C9" s="666">
        <v>10303000</v>
      </c>
      <c r="D9" s="670">
        <v>0</v>
      </c>
      <c r="E9" s="670">
        <v>1472000</v>
      </c>
      <c r="F9" s="668">
        <v>1472000</v>
      </c>
      <c r="G9" s="668">
        <v>1472000</v>
      </c>
      <c r="H9" s="669">
        <f t="shared" si="0"/>
        <v>4416000</v>
      </c>
    </row>
    <row r="10" spans="1:8" ht="26.25">
      <c r="A10" s="540" t="s">
        <v>48</v>
      </c>
      <c r="B10" s="610" t="s">
        <v>683</v>
      </c>
      <c r="C10" s="666">
        <v>4213211</v>
      </c>
      <c r="D10" s="670">
        <v>1108750</v>
      </c>
      <c r="E10" s="670">
        <v>887000</v>
      </c>
      <c r="F10" s="668">
        <v>887000</v>
      </c>
      <c r="G10" s="668">
        <v>887000</v>
      </c>
      <c r="H10" s="669">
        <f t="shared" si="0"/>
        <v>3769750</v>
      </c>
    </row>
    <row r="11" spans="1:8" ht="26.25">
      <c r="A11" s="540" t="s">
        <v>49</v>
      </c>
      <c r="B11" s="610" t="s">
        <v>684</v>
      </c>
      <c r="C11" s="666">
        <v>5286789</v>
      </c>
      <c r="D11" s="670">
        <v>1391250</v>
      </c>
      <c r="E11" s="670">
        <v>1113000</v>
      </c>
      <c r="F11" s="668">
        <v>1113000</v>
      </c>
      <c r="G11" s="668">
        <v>1113000</v>
      </c>
      <c r="H11" s="669">
        <f t="shared" si="0"/>
        <v>4730250</v>
      </c>
    </row>
    <row r="12" spans="1:8" ht="15.75" thickBot="1">
      <c r="A12" s="664" t="s">
        <v>50</v>
      </c>
      <c r="B12" s="665" t="s">
        <v>694</v>
      </c>
      <c r="C12" s="667">
        <v>0</v>
      </c>
      <c r="D12" s="671" t="s">
        <v>693</v>
      </c>
      <c r="E12" s="671">
        <v>2333334</v>
      </c>
      <c r="F12" s="672">
        <v>4666668</v>
      </c>
      <c r="G12" s="672">
        <v>4666668</v>
      </c>
      <c r="H12" s="669">
        <f t="shared" si="0"/>
        <v>11666670</v>
      </c>
    </row>
    <row r="13" spans="1:8" ht="15.75" thickBot="1">
      <c r="A13" s="539"/>
      <c r="B13" s="538" t="s">
        <v>198</v>
      </c>
      <c r="C13" s="673">
        <f aca="true" t="shared" si="1" ref="C13:H13">SUM(C6:C12)</f>
        <v>21033704</v>
      </c>
      <c r="D13" s="673">
        <f t="shared" si="1"/>
        <v>3160000</v>
      </c>
      <c r="E13" s="673">
        <f t="shared" si="1"/>
        <v>10820038</v>
      </c>
      <c r="F13" s="673">
        <f t="shared" si="1"/>
        <v>12582668</v>
      </c>
      <c r="G13" s="673">
        <f t="shared" si="1"/>
        <v>12582668</v>
      </c>
      <c r="H13" s="673">
        <f t="shared" si="1"/>
        <v>39145374</v>
      </c>
    </row>
    <row r="15" ht="15">
      <c r="B15" s="550" t="s">
        <v>688</v>
      </c>
    </row>
  </sheetData>
  <sheetProtection/>
  <mergeCells count="7">
    <mergeCell ref="A1:H1"/>
    <mergeCell ref="D2:F2"/>
    <mergeCell ref="H3:H4"/>
    <mergeCell ref="A3:A4"/>
    <mergeCell ref="B3:B4"/>
    <mergeCell ref="D3:G3"/>
    <mergeCell ref="G2:H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számú melléklet a  20/2017.(VI.29.)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8"/>
  <sheetViews>
    <sheetView view="pageLayout" workbookViewId="0" topLeftCell="A1">
      <selection activeCell="F59" sqref="F59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1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921" t="s">
        <v>30</v>
      </c>
      <c r="B1" s="921"/>
      <c r="C1" s="921"/>
      <c r="D1" s="921"/>
      <c r="E1" s="921"/>
      <c r="F1" s="921"/>
    </row>
    <row r="2" spans="1:6" ht="22.5" customHeight="1" thickBot="1">
      <c r="A2" s="102"/>
      <c r="B2" s="41"/>
      <c r="C2" s="41"/>
      <c r="D2" s="41"/>
      <c r="E2" s="41"/>
      <c r="F2" s="39" t="s">
        <v>667</v>
      </c>
    </row>
    <row r="3" spans="1:7" s="34" customFormat="1" ht="44.25" customHeight="1" thickBot="1">
      <c r="A3" s="103" t="s">
        <v>89</v>
      </c>
      <c r="B3" s="104" t="s">
        <v>90</v>
      </c>
      <c r="C3" s="104" t="s">
        <v>91</v>
      </c>
      <c r="D3" s="104" t="s">
        <v>640</v>
      </c>
      <c r="E3" s="104" t="s">
        <v>638</v>
      </c>
      <c r="F3" s="40" t="s">
        <v>641</v>
      </c>
      <c r="G3" s="588"/>
    </row>
    <row r="4" spans="1:6" s="41" customFormat="1" ht="12" customHeight="1" thickBot="1">
      <c r="A4" s="579">
        <v>1</v>
      </c>
      <c r="B4" s="580">
        <v>2</v>
      </c>
      <c r="C4" s="580">
        <v>3</v>
      </c>
      <c r="D4" s="580">
        <v>4</v>
      </c>
      <c r="E4" s="580">
        <v>5</v>
      </c>
      <c r="F4" s="158" t="s">
        <v>107</v>
      </c>
    </row>
    <row r="5" spans="1:6" ht="15.75" customHeight="1">
      <c r="A5" s="573" t="s">
        <v>654</v>
      </c>
      <c r="B5" s="574">
        <v>2176000</v>
      </c>
      <c r="C5" s="575" t="s">
        <v>639</v>
      </c>
      <c r="D5" s="576"/>
      <c r="E5" s="577">
        <v>2176000</v>
      </c>
      <c r="F5" s="578">
        <f aca="true" t="shared" si="0" ref="F5:F33">B5-D5-E5</f>
        <v>0</v>
      </c>
    </row>
    <row r="6" spans="1:6" ht="15.75" customHeight="1">
      <c r="A6" s="533" t="s">
        <v>666</v>
      </c>
      <c r="B6" s="49">
        <v>6246000</v>
      </c>
      <c r="C6" s="295" t="s">
        <v>639</v>
      </c>
      <c r="D6" s="24"/>
      <c r="E6" s="24">
        <v>6246000</v>
      </c>
      <c r="F6" s="42">
        <f t="shared" si="0"/>
        <v>0</v>
      </c>
    </row>
    <row r="7" spans="1:6" ht="15.75" customHeight="1">
      <c r="A7" s="533" t="s">
        <v>655</v>
      </c>
      <c r="B7" s="514">
        <v>2963001</v>
      </c>
      <c r="C7" s="295" t="s">
        <v>639</v>
      </c>
      <c r="D7" s="24"/>
      <c r="E7" s="515">
        <v>2963001</v>
      </c>
      <c r="F7" s="42">
        <f t="shared" si="0"/>
        <v>0</v>
      </c>
    </row>
    <row r="8" spans="1:6" ht="15.75" customHeight="1">
      <c r="A8" s="586" t="s">
        <v>656</v>
      </c>
      <c r="B8" s="49">
        <v>13492698</v>
      </c>
      <c r="C8" s="295" t="s">
        <v>639</v>
      </c>
      <c r="D8" s="24"/>
      <c r="E8" s="24">
        <f>14492698-1000000</f>
        <v>13492698</v>
      </c>
      <c r="F8" s="42">
        <f t="shared" si="0"/>
        <v>0</v>
      </c>
    </row>
    <row r="9" spans="1:6" ht="15.75" customHeight="1">
      <c r="A9" s="800" t="s">
        <v>653</v>
      </c>
      <c r="B9" s="514"/>
      <c r="C9" s="295" t="s">
        <v>639</v>
      </c>
      <c r="D9" s="515"/>
      <c r="E9" s="515"/>
      <c r="F9" s="42">
        <f t="shared" si="0"/>
        <v>0</v>
      </c>
    </row>
    <row r="10" spans="1:6" ht="25.5" customHeight="1">
      <c r="A10" s="586" t="s">
        <v>657</v>
      </c>
      <c r="B10" s="469">
        <v>529000</v>
      </c>
      <c r="C10" s="295" t="s">
        <v>639</v>
      </c>
      <c r="D10" s="466"/>
      <c r="E10" s="466">
        <v>529000</v>
      </c>
      <c r="F10" s="42">
        <f t="shared" si="0"/>
        <v>0</v>
      </c>
    </row>
    <row r="11" spans="1:6" ht="15.75" customHeight="1">
      <c r="A11" s="587" t="s">
        <v>662</v>
      </c>
      <c r="B11" s="470">
        <v>828000</v>
      </c>
      <c r="C11" s="295" t="s">
        <v>639</v>
      </c>
      <c r="D11" s="460"/>
      <c r="E11" s="460">
        <v>828000</v>
      </c>
      <c r="F11" s="42">
        <f t="shared" si="0"/>
        <v>0</v>
      </c>
    </row>
    <row r="12" spans="1:6" ht="18.75" customHeight="1">
      <c r="A12" s="533" t="s">
        <v>614</v>
      </c>
      <c r="B12" s="514">
        <v>762000</v>
      </c>
      <c r="C12" s="295" t="s">
        <v>639</v>
      </c>
      <c r="D12" s="499"/>
      <c r="E12" s="515">
        <v>762000</v>
      </c>
      <c r="F12" s="42">
        <f t="shared" si="0"/>
        <v>0</v>
      </c>
    </row>
    <row r="13" spans="1:6" ht="15.75" customHeight="1">
      <c r="A13" s="533" t="s">
        <v>663</v>
      </c>
      <c r="B13" s="49">
        <v>375000</v>
      </c>
      <c r="C13" s="295" t="s">
        <v>639</v>
      </c>
      <c r="D13" s="493"/>
      <c r="E13" s="24">
        <v>375000</v>
      </c>
      <c r="F13" s="42">
        <f t="shared" si="0"/>
        <v>0</v>
      </c>
    </row>
    <row r="14" spans="1:6" ht="15.75" customHeight="1">
      <c r="A14" s="533" t="s">
        <v>664</v>
      </c>
      <c r="B14" s="49">
        <v>136000</v>
      </c>
      <c r="C14" s="295" t="s">
        <v>639</v>
      </c>
      <c r="D14" s="24"/>
      <c r="E14" s="24">
        <v>136000</v>
      </c>
      <c r="F14" s="42">
        <f t="shared" si="0"/>
        <v>0</v>
      </c>
    </row>
    <row r="15" spans="1:6" ht="15.75" customHeight="1">
      <c r="A15" s="533" t="s">
        <v>665</v>
      </c>
      <c r="B15" s="49">
        <v>90200</v>
      </c>
      <c r="C15" s="295" t="s">
        <v>639</v>
      </c>
      <c r="D15" s="24"/>
      <c r="E15" s="24">
        <v>90200</v>
      </c>
      <c r="F15" s="42">
        <f t="shared" si="0"/>
        <v>0</v>
      </c>
    </row>
    <row r="16" spans="1:6" ht="15.75" customHeight="1">
      <c r="A16" s="534" t="s">
        <v>615</v>
      </c>
      <c r="B16" s="49">
        <v>436000</v>
      </c>
      <c r="C16" s="295" t="s">
        <v>639</v>
      </c>
      <c r="D16" s="24"/>
      <c r="E16" s="24">
        <v>436000</v>
      </c>
      <c r="F16" s="42">
        <f t="shared" si="0"/>
        <v>0</v>
      </c>
    </row>
    <row r="17" spans="1:6" ht="15.75" customHeight="1">
      <c r="A17" s="533" t="s">
        <v>12</v>
      </c>
      <c r="B17" s="49">
        <v>6604000</v>
      </c>
      <c r="C17" s="295" t="s">
        <v>639</v>
      </c>
      <c r="D17" s="24"/>
      <c r="E17" s="24">
        <v>6604000</v>
      </c>
      <c r="F17" s="42">
        <f t="shared" si="0"/>
        <v>0</v>
      </c>
    </row>
    <row r="18" spans="1:6" ht="15.75" customHeight="1">
      <c r="A18" s="535" t="s">
        <v>13</v>
      </c>
      <c r="B18" s="49">
        <v>301000</v>
      </c>
      <c r="C18" s="295" t="s">
        <v>639</v>
      </c>
      <c r="D18" s="24"/>
      <c r="E18" s="24">
        <v>301000</v>
      </c>
      <c r="F18" s="42">
        <f t="shared" si="0"/>
        <v>0</v>
      </c>
    </row>
    <row r="19" spans="1:6" ht="15.75" customHeight="1">
      <c r="A19" s="535" t="s">
        <v>14</v>
      </c>
      <c r="B19" s="49">
        <v>127000</v>
      </c>
      <c r="C19" s="295" t="s">
        <v>639</v>
      </c>
      <c r="D19" s="24"/>
      <c r="E19" s="24">
        <v>127000</v>
      </c>
      <c r="F19" s="42">
        <f t="shared" si="0"/>
        <v>0</v>
      </c>
    </row>
    <row r="20" spans="1:6" ht="15.75" customHeight="1">
      <c r="A20" s="535" t="s">
        <v>15</v>
      </c>
      <c r="B20" s="49">
        <v>77000</v>
      </c>
      <c r="C20" s="295" t="s">
        <v>639</v>
      </c>
      <c r="D20" s="24"/>
      <c r="E20" s="24">
        <v>77000</v>
      </c>
      <c r="F20" s="42">
        <f t="shared" si="0"/>
        <v>0</v>
      </c>
    </row>
    <row r="21" spans="1:6" ht="15.75" customHeight="1">
      <c r="A21" s="808" t="s">
        <v>725</v>
      </c>
      <c r="B21" s="809">
        <v>2160000</v>
      </c>
      <c r="C21" s="810" t="s">
        <v>639</v>
      </c>
      <c r="D21" s="811"/>
      <c r="E21" s="811">
        <v>2160000</v>
      </c>
      <c r="F21" s="812">
        <f t="shared" si="0"/>
        <v>0</v>
      </c>
    </row>
    <row r="22" spans="1:6" ht="15.75" customHeight="1">
      <c r="A22" s="808" t="s">
        <v>726</v>
      </c>
      <c r="B22" s="809">
        <v>4226991</v>
      </c>
      <c r="C22" s="810" t="s">
        <v>639</v>
      </c>
      <c r="D22" s="811"/>
      <c r="E22" s="811">
        <v>4226991</v>
      </c>
      <c r="F22" s="812">
        <f t="shared" si="0"/>
        <v>0</v>
      </c>
    </row>
    <row r="23" spans="1:6" ht="15.75" customHeight="1">
      <c r="A23" s="808" t="s">
        <v>730</v>
      </c>
      <c r="B23" s="809">
        <v>71809476</v>
      </c>
      <c r="C23" s="810" t="s">
        <v>639</v>
      </c>
      <c r="D23" s="811"/>
      <c r="E23" s="811">
        <v>71809476</v>
      </c>
      <c r="F23" s="812">
        <f t="shared" si="0"/>
        <v>0</v>
      </c>
    </row>
    <row r="24" spans="1:6" ht="15.75" customHeight="1" thickBot="1">
      <c r="A24" s="803" t="s">
        <v>731</v>
      </c>
      <c r="B24" s="804">
        <v>15956160</v>
      </c>
      <c r="C24" s="805" t="s">
        <v>639</v>
      </c>
      <c r="D24" s="806"/>
      <c r="E24" s="806">
        <v>15956160</v>
      </c>
      <c r="F24" s="807">
        <f t="shared" si="0"/>
        <v>0</v>
      </c>
    </row>
    <row r="25" spans="1:6" ht="15.75" customHeight="1">
      <c r="A25" s="733" t="s">
        <v>701</v>
      </c>
      <c r="B25" s="734">
        <v>200000</v>
      </c>
      <c r="C25" s="681" t="s">
        <v>639</v>
      </c>
      <c r="D25" s="680"/>
      <c r="E25" s="680">
        <v>200000</v>
      </c>
      <c r="F25" s="682">
        <f t="shared" si="0"/>
        <v>0</v>
      </c>
    </row>
    <row r="26" spans="1:6" ht="15.75" customHeight="1">
      <c r="A26" s="535" t="s">
        <v>702</v>
      </c>
      <c r="B26" s="735">
        <v>150000</v>
      </c>
      <c r="C26" s="295" t="s">
        <v>639</v>
      </c>
      <c r="D26" s="24"/>
      <c r="E26" s="24">
        <v>150000</v>
      </c>
      <c r="F26" s="677">
        <f t="shared" si="0"/>
        <v>0</v>
      </c>
    </row>
    <row r="27" spans="1:6" ht="15.75" customHeight="1">
      <c r="A27" s="535" t="s">
        <v>703</v>
      </c>
      <c r="B27" s="735">
        <v>500000</v>
      </c>
      <c r="C27" s="295" t="s">
        <v>639</v>
      </c>
      <c r="D27" s="24"/>
      <c r="E27" s="24">
        <v>500000</v>
      </c>
      <c r="F27" s="677">
        <f t="shared" si="0"/>
        <v>0</v>
      </c>
    </row>
    <row r="28" spans="1:6" ht="15.75" customHeight="1">
      <c r="A28" s="535" t="s">
        <v>704</v>
      </c>
      <c r="B28" s="735">
        <v>300000</v>
      </c>
      <c r="C28" s="295" t="s">
        <v>639</v>
      </c>
      <c r="D28" s="24"/>
      <c r="E28" s="24">
        <v>300000</v>
      </c>
      <c r="F28" s="677">
        <f t="shared" si="0"/>
        <v>0</v>
      </c>
    </row>
    <row r="29" spans="1:6" ht="15.75" customHeight="1">
      <c r="A29" s="535" t="s">
        <v>705</v>
      </c>
      <c r="B29" s="735">
        <v>150000</v>
      </c>
      <c r="C29" s="295" t="s">
        <v>639</v>
      </c>
      <c r="D29" s="24"/>
      <c r="E29" s="24">
        <v>150000</v>
      </c>
      <c r="F29" s="677">
        <f t="shared" si="0"/>
        <v>0</v>
      </c>
    </row>
    <row r="30" spans="1:6" ht="15.75" customHeight="1">
      <c r="A30" s="535" t="s">
        <v>706</v>
      </c>
      <c r="B30" s="735">
        <v>71000</v>
      </c>
      <c r="C30" s="295" t="s">
        <v>639</v>
      </c>
      <c r="D30" s="24"/>
      <c r="E30" s="24">
        <v>71000</v>
      </c>
      <c r="F30" s="677">
        <f t="shared" si="0"/>
        <v>0</v>
      </c>
    </row>
    <row r="31" spans="1:6" ht="15.75" customHeight="1">
      <c r="A31" s="535" t="s">
        <v>707</v>
      </c>
      <c r="B31" s="735">
        <v>280000</v>
      </c>
      <c r="C31" s="295" t="s">
        <v>639</v>
      </c>
      <c r="D31" s="24"/>
      <c r="E31" s="24">
        <v>280000</v>
      </c>
      <c r="F31" s="677">
        <f t="shared" si="0"/>
        <v>0</v>
      </c>
    </row>
    <row r="32" spans="1:6" ht="15.75" customHeight="1">
      <c r="A32" s="535" t="s">
        <v>708</v>
      </c>
      <c r="B32" s="735">
        <v>150000</v>
      </c>
      <c r="C32" s="295" t="s">
        <v>639</v>
      </c>
      <c r="D32" s="24"/>
      <c r="E32" s="24">
        <v>150000</v>
      </c>
      <c r="F32" s="677">
        <f t="shared" si="0"/>
        <v>0</v>
      </c>
    </row>
    <row r="33" spans="1:6" ht="15.75" customHeight="1" thickBot="1">
      <c r="A33" s="674" t="s">
        <v>709</v>
      </c>
      <c r="B33" s="736">
        <v>100000</v>
      </c>
      <c r="C33" s="675" t="s">
        <v>639</v>
      </c>
      <c r="D33" s="676"/>
      <c r="E33" s="676">
        <v>100000</v>
      </c>
      <c r="F33" s="677">
        <f t="shared" si="0"/>
        <v>0</v>
      </c>
    </row>
    <row r="34" spans="1:6" ht="15.75" customHeight="1">
      <c r="A34" s="789" t="s">
        <v>0</v>
      </c>
      <c r="B34" s="798"/>
      <c r="C34" s="681"/>
      <c r="D34" s="680"/>
      <c r="E34" s="680"/>
      <c r="F34" s="737"/>
    </row>
    <row r="35" spans="1:6" ht="15.75" customHeight="1">
      <c r="A35" s="790" t="s">
        <v>427</v>
      </c>
      <c r="B35" s="49">
        <v>880075</v>
      </c>
      <c r="C35" s="295" t="s">
        <v>639</v>
      </c>
      <c r="D35" s="24"/>
      <c r="E35" s="24">
        <v>880075</v>
      </c>
      <c r="F35" s="42"/>
    </row>
    <row r="36" spans="1:6" ht="15.75" customHeight="1">
      <c r="A36" s="790" t="s">
        <v>1</v>
      </c>
      <c r="B36" s="49">
        <v>555298</v>
      </c>
      <c r="C36" s="295" t="s">
        <v>639</v>
      </c>
      <c r="D36" s="24"/>
      <c r="E36" s="24">
        <v>555298</v>
      </c>
      <c r="F36" s="42"/>
    </row>
    <row r="37" spans="1:6" ht="15.75" customHeight="1">
      <c r="A37" s="790" t="s">
        <v>2</v>
      </c>
      <c r="B37" s="49">
        <v>2264654</v>
      </c>
      <c r="C37" s="295" t="s">
        <v>639</v>
      </c>
      <c r="D37" s="24"/>
      <c r="E37" s="24">
        <v>2264654</v>
      </c>
      <c r="F37" s="42"/>
    </row>
    <row r="38" spans="1:6" s="741" customFormat="1" ht="15.75" customHeight="1">
      <c r="A38" s="791" t="s">
        <v>3</v>
      </c>
      <c r="B38" s="799">
        <v>1860454</v>
      </c>
      <c r="C38" s="738" t="s">
        <v>639</v>
      </c>
      <c r="D38" s="739"/>
      <c r="E38" s="739">
        <v>1860454</v>
      </c>
      <c r="F38" s="740"/>
    </row>
    <row r="39" spans="1:6" ht="15.75" customHeight="1">
      <c r="A39" s="790" t="s">
        <v>4</v>
      </c>
      <c r="B39" s="49">
        <v>1050200</v>
      </c>
      <c r="C39" s="295" t="s">
        <v>639</v>
      </c>
      <c r="D39" s="24"/>
      <c r="E39" s="24">
        <v>1050200</v>
      </c>
      <c r="F39" s="42"/>
    </row>
    <row r="40" spans="1:6" ht="28.5" customHeight="1">
      <c r="A40" s="792" t="s">
        <v>695</v>
      </c>
      <c r="B40" s="49">
        <v>400000</v>
      </c>
      <c r="C40" s="295" t="s">
        <v>639</v>
      </c>
      <c r="D40" s="24"/>
      <c r="E40" s="24">
        <v>400000</v>
      </c>
      <c r="F40" s="42">
        <f aca="true" t="shared" si="1" ref="F40:F50">B40-D40-E40</f>
        <v>0</v>
      </c>
    </row>
    <row r="41" spans="1:6" ht="16.5" customHeight="1">
      <c r="A41" s="793" t="s">
        <v>696</v>
      </c>
      <c r="B41" s="470">
        <v>456000</v>
      </c>
      <c r="C41" s="295" t="s">
        <v>639</v>
      </c>
      <c r="D41" s="460"/>
      <c r="E41" s="460">
        <v>456000</v>
      </c>
      <c r="F41" s="42">
        <f t="shared" si="1"/>
        <v>0</v>
      </c>
    </row>
    <row r="42" spans="1:6" ht="16.5" customHeight="1">
      <c r="A42" s="813" t="s">
        <v>727</v>
      </c>
      <c r="B42" s="814">
        <v>66900</v>
      </c>
      <c r="C42" s="815" t="s">
        <v>639</v>
      </c>
      <c r="D42" s="801"/>
      <c r="E42" s="801">
        <v>66900</v>
      </c>
      <c r="F42" s="816"/>
    </row>
    <row r="43" spans="1:6" ht="22.5" customHeight="1">
      <c r="A43" s="794" t="s">
        <v>697</v>
      </c>
      <c r="B43" s="49">
        <v>381000</v>
      </c>
      <c r="C43" s="295" t="s">
        <v>639</v>
      </c>
      <c r="D43" s="24"/>
      <c r="E43" s="24">
        <v>381000</v>
      </c>
      <c r="F43" s="42">
        <f t="shared" si="1"/>
        <v>0</v>
      </c>
    </row>
    <row r="44" spans="1:6" ht="21" customHeight="1">
      <c r="A44" s="795" t="s">
        <v>698</v>
      </c>
      <c r="B44" s="49">
        <v>300000</v>
      </c>
      <c r="C44" s="295" t="s">
        <v>639</v>
      </c>
      <c r="D44" s="24"/>
      <c r="E44" s="24">
        <v>300000</v>
      </c>
      <c r="F44" s="42">
        <f t="shared" si="1"/>
        <v>0</v>
      </c>
    </row>
    <row r="45" spans="1:6" ht="21" customHeight="1">
      <c r="A45" s="795" t="s">
        <v>699</v>
      </c>
      <c r="B45" s="514">
        <v>1929960</v>
      </c>
      <c r="C45" s="295" t="s">
        <v>639</v>
      </c>
      <c r="D45" s="515"/>
      <c r="E45" s="515">
        <v>1929960</v>
      </c>
      <c r="F45" s="42">
        <f t="shared" si="1"/>
        <v>0</v>
      </c>
    </row>
    <row r="46" spans="1:6" s="381" customFormat="1" ht="21" customHeight="1">
      <c r="A46" s="796" t="s">
        <v>722</v>
      </c>
      <c r="B46" s="705">
        <v>973976</v>
      </c>
      <c r="C46" s="675" t="s">
        <v>723</v>
      </c>
      <c r="D46" s="707"/>
      <c r="E46" s="707">
        <v>973976</v>
      </c>
      <c r="F46" s="677">
        <f t="shared" si="1"/>
        <v>0</v>
      </c>
    </row>
    <row r="47" spans="1:6" s="381" customFormat="1" ht="21" customHeight="1">
      <c r="A47" s="817" t="s">
        <v>728</v>
      </c>
      <c r="B47" s="818">
        <v>69210</v>
      </c>
      <c r="C47" s="819" t="s">
        <v>639</v>
      </c>
      <c r="D47" s="820"/>
      <c r="E47" s="820">
        <v>69210</v>
      </c>
      <c r="F47" s="821">
        <f t="shared" si="1"/>
        <v>0</v>
      </c>
    </row>
    <row r="48" spans="1:6" ht="21" customHeight="1">
      <c r="A48" s="797" t="s">
        <v>700</v>
      </c>
      <c r="B48" s="705">
        <v>350000</v>
      </c>
      <c r="C48" s="675" t="s">
        <v>639</v>
      </c>
      <c r="D48" s="707"/>
      <c r="E48" s="707">
        <v>350000</v>
      </c>
      <c r="F48" s="677">
        <f t="shared" si="1"/>
        <v>0</v>
      </c>
    </row>
    <row r="49" spans="1:6" ht="21" customHeight="1" thickBot="1">
      <c r="A49" s="797" t="s">
        <v>724</v>
      </c>
      <c r="B49" s="763">
        <v>90000</v>
      </c>
      <c r="C49" s="678" t="s">
        <v>639</v>
      </c>
      <c r="D49" s="743"/>
      <c r="E49" s="743">
        <v>90000</v>
      </c>
      <c r="F49" s="679">
        <f t="shared" si="1"/>
        <v>0</v>
      </c>
    </row>
    <row r="50" spans="1:6" ht="21" customHeight="1">
      <c r="A50" s="758" t="s">
        <v>713</v>
      </c>
      <c r="B50" s="759">
        <v>681000</v>
      </c>
      <c r="C50" s="760" t="s">
        <v>639</v>
      </c>
      <c r="D50" s="761"/>
      <c r="E50" s="762">
        <v>681000</v>
      </c>
      <c r="F50" s="682">
        <f t="shared" si="1"/>
        <v>0</v>
      </c>
    </row>
    <row r="51" spans="1:6" ht="21" customHeight="1">
      <c r="A51" s="704" t="s">
        <v>714</v>
      </c>
      <c r="B51" s="705">
        <v>5038564</v>
      </c>
      <c r="C51" s="675" t="s">
        <v>639</v>
      </c>
      <c r="D51" s="706"/>
      <c r="E51" s="707">
        <v>5038564</v>
      </c>
      <c r="F51" s="677"/>
    </row>
    <row r="52" spans="1:6" ht="21" customHeight="1">
      <c r="A52" s="704" t="s">
        <v>715</v>
      </c>
      <c r="B52" s="705">
        <v>5757100</v>
      </c>
      <c r="C52" s="675" t="s">
        <v>639</v>
      </c>
      <c r="D52" s="706"/>
      <c r="E52" s="707">
        <v>5757100</v>
      </c>
      <c r="F52" s="677"/>
    </row>
    <row r="53" spans="1:6" ht="21" customHeight="1">
      <c r="A53" s="704" t="s">
        <v>716</v>
      </c>
      <c r="B53" s="705">
        <v>1872399</v>
      </c>
      <c r="C53" s="675" t="s">
        <v>639</v>
      </c>
      <c r="D53" s="706"/>
      <c r="E53" s="707">
        <v>1872399</v>
      </c>
      <c r="F53" s="677"/>
    </row>
    <row r="54" spans="1:6" ht="21" customHeight="1">
      <c r="A54" s="704" t="s">
        <v>717</v>
      </c>
      <c r="B54" s="705">
        <v>340001</v>
      </c>
      <c r="C54" s="675" t="s">
        <v>639</v>
      </c>
      <c r="D54" s="706"/>
      <c r="E54" s="707">
        <v>340001</v>
      </c>
      <c r="F54" s="677"/>
    </row>
    <row r="55" spans="1:6" ht="21" customHeight="1">
      <c r="A55" s="704" t="s">
        <v>718</v>
      </c>
      <c r="B55" s="705">
        <v>1203001</v>
      </c>
      <c r="C55" s="675" t="s">
        <v>639</v>
      </c>
      <c r="D55" s="706"/>
      <c r="E55" s="707">
        <v>1203001</v>
      </c>
      <c r="F55" s="677"/>
    </row>
    <row r="56" spans="1:6" ht="21" customHeight="1">
      <c r="A56" s="704" t="s">
        <v>719</v>
      </c>
      <c r="B56" s="705">
        <v>287211</v>
      </c>
      <c r="C56" s="675" t="s">
        <v>639</v>
      </c>
      <c r="D56" s="706"/>
      <c r="E56" s="707">
        <v>287211</v>
      </c>
      <c r="F56" s="677"/>
    </row>
    <row r="57" spans="1:6" ht="21" customHeight="1" thickBot="1">
      <c r="A57" s="742" t="s">
        <v>720</v>
      </c>
      <c r="B57" s="763">
        <v>979170</v>
      </c>
      <c r="C57" s="678" t="s">
        <v>639</v>
      </c>
      <c r="D57" s="764"/>
      <c r="E57" s="743">
        <v>979170</v>
      </c>
      <c r="F57" s="679"/>
    </row>
    <row r="58" spans="1:6" s="44" customFormat="1" ht="18" customHeight="1" thickBot="1">
      <c r="A58" s="105" t="s">
        <v>88</v>
      </c>
      <c r="B58" s="714">
        <f>SUM(B5:B37,B39:B57)</f>
        <v>157122245</v>
      </c>
      <c r="C58" s="715"/>
      <c r="D58" s="714">
        <f>SUM(D5:D57)</f>
        <v>0</v>
      </c>
      <c r="E58" s="714">
        <f>SUM(E5:E37,E39:E57)</f>
        <v>157122245</v>
      </c>
      <c r="F58" s="716">
        <f>SUM(F5:F41)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5" r:id="rId1"/>
  <headerFooter alignWithMargins="0">
    <oddHeader>&amp;R&amp;"Times New Roman CE,Félkövér dőlt"&amp;11  8. melléklet a 20/2017.(VI.29.)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9"/>
  <sheetViews>
    <sheetView view="pageLayout" workbookViewId="0" topLeftCell="A1">
      <selection activeCell="E32" sqref="E32"/>
    </sheetView>
  </sheetViews>
  <sheetFormatPr defaultColWidth="9.00390625" defaultRowHeight="12.75"/>
  <cols>
    <col min="1" max="1" width="60.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2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4.75" customHeight="1">
      <c r="A1" s="921" t="s">
        <v>31</v>
      </c>
      <c r="B1" s="921"/>
      <c r="C1" s="921"/>
      <c r="D1" s="921"/>
      <c r="E1" s="921"/>
      <c r="F1" s="921"/>
    </row>
    <row r="2" spans="1:6" ht="23.25" customHeight="1" thickBot="1">
      <c r="A2" s="102"/>
      <c r="B2" s="41"/>
      <c r="C2" s="41"/>
      <c r="D2" s="41"/>
      <c r="E2" s="41"/>
      <c r="F2" s="39" t="s">
        <v>667</v>
      </c>
    </row>
    <row r="3" spans="1:7" s="34" customFormat="1" ht="48.75" customHeight="1" thickBot="1">
      <c r="A3" s="103" t="s">
        <v>92</v>
      </c>
      <c r="B3" s="104" t="s">
        <v>90</v>
      </c>
      <c r="C3" s="104" t="s">
        <v>91</v>
      </c>
      <c r="D3" s="104" t="s">
        <v>640</v>
      </c>
      <c r="E3" s="104" t="s">
        <v>638</v>
      </c>
      <c r="F3" s="40" t="s">
        <v>642</v>
      </c>
      <c r="G3" s="589"/>
    </row>
    <row r="4" spans="1:6" s="41" customFormat="1" ht="15" customHeight="1" thickBot="1">
      <c r="A4" s="683">
        <v>1</v>
      </c>
      <c r="B4" s="684">
        <v>2</v>
      </c>
      <c r="C4" s="684">
        <v>3</v>
      </c>
      <c r="D4" s="684">
        <v>4</v>
      </c>
      <c r="E4" s="684">
        <v>5</v>
      </c>
      <c r="F4" s="685">
        <v>6</v>
      </c>
    </row>
    <row r="5" spans="1:6" ht="15.75" customHeight="1">
      <c r="A5" s="689" t="s">
        <v>656</v>
      </c>
      <c r="B5" s="680">
        <f>53340000+1000000</f>
        <v>54340000</v>
      </c>
      <c r="C5" s="681" t="s">
        <v>639</v>
      </c>
      <c r="D5" s="680"/>
      <c r="E5" s="680">
        <f>53340000+1000000</f>
        <v>54340000</v>
      </c>
      <c r="F5" s="690">
        <f aca="true" t="shared" si="0" ref="F5:F28">B5-D5-E5</f>
        <v>0</v>
      </c>
    </row>
    <row r="6" spans="1:6" ht="15.75" customHeight="1">
      <c r="A6" s="691" t="s">
        <v>653</v>
      </c>
      <c r="B6" s="801">
        <v>21300001</v>
      </c>
      <c r="C6" s="464" t="s">
        <v>639</v>
      </c>
      <c r="D6" s="460"/>
      <c r="E6" s="802">
        <v>21300001</v>
      </c>
      <c r="F6" s="46">
        <f t="shared" si="0"/>
        <v>0</v>
      </c>
    </row>
    <row r="7" spans="1:6" ht="15.75" customHeight="1">
      <c r="A7" s="582" t="s">
        <v>658</v>
      </c>
      <c r="B7" s="460">
        <v>762000</v>
      </c>
      <c r="C7" s="464" t="s">
        <v>639</v>
      </c>
      <c r="D7" s="460"/>
      <c r="E7" s="460">
        <v>762000</v>
      </c>
      <c r="F7" s="46">
        <f t="shared" si="0"/>
        <v>0</v>
      </c>
    </row>
    <row r="8" spans="1:6" ht="15.75" customHeight="1">
      <c r="A8" s="582" t="s">
        <v>659</v>
      </c>
      <c r="B8" s="460">
        <v>751000</v>
      </c>
      <c r="C8" s="464" t="s">
        <v>639</v>
      </c>
      <c r="D8" s="460"/>
      <c r="E8" s="24">
        <v>751000</v>
      </c>
      <c r="F8" s="46">
        <f t="shared" si="0"/>
        <v>0</v>
      </c>
    </row>
    <row r="9" spans="1:6" ht="15.75" customHeight="1">
      <c r="A9" s="582" t="s">
        <v>660</v>
      </c>
      <c r="B9" s="460">
        <v>3360000</v>
      </c>
      <c r="C9" s="464" t="s">
        <v>639</v>
      </c>
      <c r="D9" s="460"/>
      <c r="E9" s="460">
        <v>3360000</v>
      </c>
      <c r="F9" s="46">
        <f t="shared" si="0"/>
        <v>0</v>
      </c>
    </row>
    <row r="10" spans="1:6" ht="15.75" customHeight="1">
      <c r="A10" s="583" t="s">
        <v>661</v>
      </c>
      <c r="B10" s="45">
        <v>445000</v>
      </c>
      <c r="C10" s="464" t="s">
        <v>639</v>
      </c>
      <c r="D10" s="45"/>
      <c r="E10" s="45">
        <v>445000</v>
      </c>
      <c r="F10" s="46">
        <f t="shared" si="0"/>
        <v>0</v>
      </c>
    </row>
    <row r="11" spans="1:6" ht="15.75" customHeight="1">
      <c r="A11" s="822" t="s">
        <v>710</v>
      </c>
      <c r="B11" s="802">
        <f>500000-134607-60160</f>
        <v>305233</v>
      </c>
      <c r="C11" s="815" t="s">
        <v>639</v>
      </c>
      <c r="D11" s="802"/>
      <c r="E11" s="802">
        <f>365393-60160</f>
        <v>305233</v>
      </c>
      <c r="F11" s="46">
        <f t="shared" si="0"/>
        <v>0</v>
      </c>
    </row>
    <row r="12" spans="1:6" ht="15.75" customHeight="1">
      <c r="A12" s="583" t="s">
        <v>721</v>
      </c>
      <c r="B12" s="45">
        <v>7509510</v>
      </c>
      <c r="C12" s="464" t="s">
        <v>639</v>
      </c>
      <c r="D12" s="45"/>
      <c r="E12" s="45">
        <v>7509510</v>
      </c>
      <c r="F12" s="46">
        <f t="shared" si="0"/>
        <v>0</v>
      </c>
    </row>
    <row r="13" spans="1:6" ht="15.75" customHeight="1">
      <c r="A13" s="582" t="s">
        <v>5</v>
      </c>
      <c r="B13" s="463">
        <v>578000</v>
      </c>
      <c r="C13" s="462" t="s">
        <v>639</v>
      </c>
      <c r="D13" s="463"/>
      <c r="E13" s="463">
        <v>578000</v>
      </c>
      <c r="F13" s="744">
        <f t="shared" si="0"/>
        <v>0</v>
      </c>
    </row>
    <row r="14" spans="1:6" ht="15.75" customHeight="1">
      <c r="A14" s="823" t="s">
        <v>729</v>
      </c>
      <c r="B14" s="824">
        <v>600000</v>
      </c>
      <c r="C14" s="825" t="s">
        <v>639</v>
      </c>
      <c r="D14" s="824"/>
      <c r="E14" s="824">
        <v>600000</v>
      </c>
      <c r="F14" s="826">
        <f t="shared" si="0"/>
        <v>0</v>
      </c>
    </row>
    <row r="15" spans="1:6" ht="15.75" customHeight="1" thickBot="1">
      <c r="A15" s="765" t="s">
        <v>6</v>
      </c>
      <c r="B15" s="743">
        <v>157000</v>
      </c>
      <c r="C15" s="766" t="s">
        <v>639</v>
      </c>
      <c r="D15" s="743"/>
      <c r="E15" s="743">
        <v>157000</v>
      </c>
      <c r="F15" s="530">
        <f t="shared" si="0"/>
        <v>0</v>
      </c>
    </row>
    <row r="16" spans="1:6" ht="15.75" customHeight="1" hidden="1">
      <c r="A16" s="686"/>
      <c r="B16" s="576"/>
      <c r="C16" s="687"/>
      <c r="D16" s="576"/>
      <c r="E16" s="576"/>
      <c r="F16" s="688">
        <f t="shared" si="0"/>
        <v>0</v>
      </c>
    </row>
    <row r="17" spans="1:6" ht="15.75" customHeight="1" hidden="1">
      <c r="A17" s="531"/>
      <c r="B17" s="460"/>
      <c r="C17" s="464"/>
      <c r="D17" s="460"/>
      <c r="E17" s="460"/>
      <c r="F17" s="46">
        <f t="shared" si="0"/>
        <v>0</v>
      </c>
    </row>
    <row r="18" spans="1:6" ht="15.75" customHeight="1" hidden="1">
      <c r="A18" s="584"/>
      <c r="B18" s="460"/>
      <c r="C18" s="464"/>
      <c r="D18" s="460"/>
      <c r="E18" s="460"/>
      <c r="F18" s="46">
        <f t="shared" si="0"/>
        <v>0</v>
      </c>
    </row>
    <row r="19" spans="1:6" ht="15.75" customHeight="1" hidden="1">
      <c r="A19" s="582"/>
      <c r="B19" s="460"/>
      <c r="C19" s="464"/>
      <c r="D19" s="460"/>
      <c r="E19" s="460"/>
      <c r="F19" s="46">
        <f t="shared" si="0"/>
        <v>0</v>
      </c>
    </row>
    <row r="20" spans="1:6" ht="15.75" customHeight="1" hidden="1">
      <c r="A20" s="582"/>
      <c r="B20" s="532"/>
      <c r="C20" s="464"/>
      <c r="D20" s="460"/>
      <c r="E20" s="532"/>
      <c r="F20" s="46">
        <f t="shared" si="0"/>
        <v>0</v>
      </c>
    </row>
    <row r="21" spans="1:6" ht="15.75" customHeight="1" hidden="1">
      <c r="A21" s="583"/>
      <c r="B21" s="460"/>
      <c r="C21" s="464"/>
      <c r="D21" s="460"/>
      <c r="E21" s="460"/>
      <c r="F21" s="46">
        <f t="shared" si="0"/>
        <v>0</v>
      </c>
    </row>
    <row r="22" spans="1:6" ht="15.75" customHeight="1" hidden="1">
      <c r="A22" s="582"/>
      <c r="B22" s="532"/>
      <c r="C22" s="464"/>
      <c r="D22" s="460"/>
      <c r="E22" s="532"/>
      <c r="F22" s="46">
        <f t="shared" si="0"/>
        <v>0</v>
      </c>
    </row>
    <row r="23" spans="1:6" ht="15.75" customHeight="1" hidden="1">
      <c r="A23" s="582"/>
      <c r="B23" s="460"/>
      <c r="C23" s="464"/>
      <c r="D23" s="460"/>
      <c r="E23" s="460"/>
      <c r="F23" s="46">
        <f t="shared" si="0"/>
        <v>0</v>
      </c>
    </row>
    <row r="24" spans="1:6" ht="15.75" customHeight="1" hidden="1">
      <c r="A24" s="585"/>
      <c r="B24" s="463"/>
      <c r="C24" s="462"/>
      <c r="D24" s="463"/>
      <c r="E24" s="463"/>
      <c r="F24" s="46">
        <f t="shared" si="0"/>
        <v>0</v>
      </c>
    </row>
    <row r="25" spans="1:6" ht="15.75" customHeight="1" hidden="1">
      <c r="A25" s="585"/>
      <c r="B25" s="463"/>
      <c r="C25" s="462"/>
      <c r="D25" s="463"/>
      <c r="E25" s="463"/>
      <c r="F25" s="46">
        <f t="shared" si="0"/>
        <v>0</v>
      </c>
    </row>
    <row r="26" spans="1:6" ht="15.75" customHeight="1" hidden="1">
      <c r="A26" s="585"/>
      <c r="B26" s="463"/>
      <c r="C26" s="462"/>
      <c r="D26" s="463"/>
      <c r="E26" s="463"/>
      <c r="F26" s="46">
        <f t="shared" si="0"/>
        <v>0</v>
      </c>
    </row>
    <row r="27" spans="1:6" ht="15.75" customHeight="1" hidden="1">
      <c r="A27" s="585"/>
      <c r="B27" s="471"/>
      <c r="C27" s="472"/>
      <c r="D27" s="471"/>
      <c r="E27" s="471"/>
      <c r="F27" s="46">
        <f t="shared" si="0"/>
        <v>0</v>
      </c>
    </row>
    <row r="28" spans="1:6" ht="15.75" customHeight="1" hidden="1" thickBot="1">
      <c r="A28" s="585"/>
      <c r="B28" s="463"/>
      <c r="C28" s="462"/>
      <c r="D28" s="463"/>
      <c r="E28" s="463"/>
      <c r="F28" s="46">
        <f t="shared" si="0"/>
        <v>0</v>
      </c>
    </row>
    <row r="29" spans="1:6" s="44" customFormat="1" ht="18" customHeight="1" thickBot="1">
      <c r="A29" s="105" t="s">
        <v>88</v>
      </c>
      <c r="B29" s="106">
        <f>SUM(B5:B28)</f>
        <v>90107744</v>
      </c>
      <c r="C29" s="86"/>
      <c r="D29" s="106">
        <f>SUM(D5:D28)</f>
        <v>0</v>
      </c>
      <c r="E29" s="106">
        <f>SUM(E5:E28)</f>
        <v>90107744</v>
      </c>
      <c r="F29" s="47">
        <f>SUM(F5:F28)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9. melléklet a  20/2017.(VI.29.)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Girus András</cp:lastModifiedBy>
  <cp:lastPrinted>2017-06-29T14:45:58Z</cp:lastPrinted>
  <dcterms:created xsi:type="dcterms:W3CDTF">1999-10-30T10:30:45Z</dcterms:created>
  <dcterms:modified xsi:type="dcterms:W3CDTF">2017-06-29T15:02:41Z</dcterms:modified>
  <cp:category/>
  <cp:version/>
  <cp:contentType/>
  <cp:contentStatus/>
</cp:coreProperties>
</file>