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2015\Zárszámadás\"/>
    </mc:Choice>
  </mc:AlternateContent>
  <bookViews>
    <workbookView xWindow="0" yWindow="60" windowWidth="15480" windowHeight="11640" activeTab="9"/>
  </bookViews>
  <sheets>
    <sheet name="1" sheetId="1" r:id="rId1"/>
    <sheet name="4" sheetId="7" r:id="rId2"/>
    <sheet name="5" sheetId="6" r:id="rId3"/>
    <sheet name="6" sheetId="20" r:id="rId4"/>
    <sheet name="13" sheetId="24" r:id="rId5"/>
    <sheet name="11" sheetId="23" r:id="rId6"/>
    <sheet name="9" sheetId="22" r:id="rId7"/>
    <sheet name="8" sheetId="21" r:id="rId8"/>
    <sheet name="7" sheetId="19" r:id="rId9"/>
    <sheet name="2" sheetId="18" r:id="rId10"/>
    <sheet name="10" sheetId="15" r:id="rId11"/>
    <sheet name="14" sheetId="16" r:id="rId12"/>
    <sheet name="12" sheetId="12" r:id="rId13"/>
    <sheet name="3" sheetId="3" r:id="rId14"/>
  </sheets>
  <externalReferences>
    <externalReference r:id="rId15"/>
  </externalReferences>
  <calcPr calcId="152511"/>
</workbook>
</file>

<file path=xl/calcChain.xml><?xml version="1.0" encoding="utf-8"?>
<calcChain xmlns="http://schemas.openxmlformats.org/spreadsheetml/2006/main">
  <c r="G25" i="18" l="1"/>
  <c r="C25" i="18"/>
  <c r="I50" i="22" l="1"/>
  <c r="F8" i="22"/>
  <c r="F21" i="22"/>
  <c r="F50" i="22" s="1"/>
  <c r="F19" i="22"/>
  <c r="F15" i="22"/>
  <c r="F14" i="22"/>
  <c r="F13" i="22"/>
  <c r="F48" i="22"/>
  <c r="F29" i="22"/>
  <c r="C7" i="22"/>
  <c r="C12" i="22"/>
  <c r="C16" i="22"/>
  <c r="C20" i="22"/>
  <c r="C28" i="22"/>
  <c r="C45" i="22"/>
  <c r="C44" i="22" s="1"/>
  <c r="C55" i="22"/>
  <c r="C71" i="22"/>
  <c r="C80" i="22"/>
  <c r="C75" i="22" s="1"/>
  <c r="C88" i="22"/>
  <c r="C92" i="22"/>
  <c r="C99" i="22"/>
  <c r="C109" i="22"/>
  <c r="C117" i="22"/>
  <c r="C127" i="22" s="1"/>
  <c r="C122" i="22"/>
  <c r="C11" i="22" l="1"/>
  <c r="C6" i="22" s="1"/>
  <c r="C97" i="22" s="1"/>
  <c r="AD38" i="6"/>
  <c r="AD32" i="6" l="1"/>
  <c r="AD33" i="6" s="1"/>
  <c r="AD17" i="6"/>
  <c r="AD13" i="6"/>
  <c r="Y36" i="6"/>
  <c r="Y35" i="6"/>
  <c r="T35" i="6"/>
  <c r="Y34" i="6"/>
  <c r="T34" i="6"/>
  <c r="T38" i="6" s="1"/>
  <c r="T32" i="6"/>
  <c r="Y29" i="6"/>
  <c r="T29" i="6"/>
  <c r="Y27" i="6"/>
  <c r="T27" i="6"/>
  <c r="Y26" i="6"/>
  <c r="Y32" i="6" s="1"/>
  <c r="T26" i="6"/>
  <c r="T12" i="6"/>
  <c r="Y11" i="6"/>
  <c r="T11" i="6"/>
  <c r="Y10" i="6"/>
  <c r="T10" i="6"/>
  <c r="D16" i="20"/>
  <c r="C16" i="20"/>
  <c r="AF29" i="7"/>
  <c r="AF41" i="7"/>
  <c r="AA44" i="7"/>
  <c r="AA41" i="7"/>
  <c r="V40" i="7"/>
  <c r="V36" i="7"/>
  <c r="V41" i="7" s="1"/>
  <c r="AA28" i="7"/>
  <c r="V28" i="7"/>
  <c r="AA23" i="7"/>
  <c r="AA17" i="7"/>
  <c r="V17" i="7"/>
  <c r="V14" i="7"/>
  <c r="AA10" i="7"/>
  <c r="V10" i="7"/>
  <c r="V29" i="7" s="1"/>
  <c r="V42" i="7" s="1"/>
  <c r="V45" i="7" s="1"/>
  <c r="G10" i="3"/>
  <c r="G9" i="3"/>
  <c r="G8" i="3" s="1"/>
  <c r="G11" i="3"/>
  <c r="G17" i="3"/>
  <c r="Y17" i="6" l="1"/>
  <c r="Y33" i="6" s="1"/>
  <c r="Y38" i="6"/>
  <c r="T17" i="6"/>
  <c r="T33" i="6"/>
  <c r="AF42" i="7"/>
  <c r="AF45" i="7" s="1"/>
  <c r="AA29" i="7"/>
  <c r="AA42" i="7" s="1"/>
  <c r="AA45" i="7" s="1"/>
  <c r="G12" i="3"/>
  <c r="G19" i="3" s="1"/>
  <c r="G13" i="3"/>
  <c r="D19" i="3"/>
  <c r="B19" i="3"/>
  <c r="F17" i="3"/>
  <c r="F13" i="3"/>
  <c r="F12" i="3" s="1"/>
  <c r="F19" i="3" s="1"/>
  <c r="E9" i="3"/>
  <c r="E19" i="3" s="1"/>
  <c r="F8" i="3"/>
  <c r="G44" i="18" l="1"/>
  <c r="C44" i="18"/>
  <c r="G14" i="18"/>
  <c r="K83" i="1"/>
  <c r="K82" i="1"/>
  <c r="J82" i="1"/>
  <c r="J83" i="1" s="1"/>
  <c r="H82" i="1"/>
  <c r="G82" i="1"/>
  <c r="G83" i="1"/>
  <c r="K75" i="1"/>
  <c r="J75" i="1"/>
  <c r="K65" i="1"/>
  <c r="K64" i="1"/>
  <c r="K63" i="1"/>
  <c r="J58" i="1"/>
  <c r="L58" i="1"/>
  <c r="K58" i="1"/>
  <c r="G50" i="1"/>
  <c r="J50" i="1"/>
  <c r="G49" i="1"/>
  <c r="L48" i="1"/>
  <c r="K48" i="1"/>
  <c r="K49" i="1"/>
  <c r="K43" i="1"/>
  <c r="K42" i="1" s="1"/>
  <c r="K47" i="1" s="1"/>
  <c r="L47" i="1"/>
  <c r="L42" i="1"/>
  <c r="K38" i="1"/>
  <c r="K34" i="1"/>
  <c r="K33" i="1"/>
  <c r="K23" i="1"/>
  <c r="K26" i="1" s="1"/>
  <c r="L26" i="1"/>
  <c r="L22" i="1"/>
  <c r="K22" i="1"/>
  <c r="L14" i="1"/>
  <c r="K14" i="1"/>
  <c r="I62" i="1"/>
  <c r="H62" i="1"/>
  <c r="G63" i="1"/>
  <c r="G55" i="1"/>
  <c r="G54" i="1"/>
  <c r="G25" i="1"/>
  <c r="G24" i="1"/>
  <c r="G23" i="1"/>
  <c r="G26" i="1" s="1"/>
  <c r="G21" i="1"/>
  <c r="G20" i="1"/>
  <c r="G19" i="1"/>
  <c r="G18" i="1"/>
  <c r="G17" i="1"/>
  <c r="G16" i="1"/>
  <c r="G15" i="1"/>
  <c r="G14" i="1"/>
  <c r="G11" i="1"/>
  <c r="G12" i="1"/>
  <c r="G10" i="1"/>
  <c r="G43" i="1"/>
  <c r="G42" i="1"/>
  <c r="G34" i="1"/>
  <c r="G35" i="1"/>
  <c r="G36" i="1"/>
  <c r="G37" i="1"/>
  <c r="G38" i="1"/>
  <c r="G33" i="1"/>
  <c r="I82" i="1"/>
  <c r="F81" i="1"/>
  <c r="F80" i="1"/>
  <c r="F79" i="1"/>
  <c r="F78" i="1"/>
  <c r="G77" i="1"/>
  <c r="F77" i="1"/>
  <c r="F82" i="1" s="1"/>
  <c r="D77" i="1"/>
  <c r="E76" i="1"/>
  <c r="E82" i="1" s="1"/>
  <c r="D76" i="1"/>
  <c r="D82" i="1" s="1"/>
  <c r="H75" i="1"/>
  <c r="D74" i="1"/>
  <c r="F74" i="1" s="1"/>
  <c r="F71" i="1"/>
  <c r="F70" i="1"/>
  <c r="G69" i="1"/>
  <c r="G74" i="1" s="1"/>
  <c r="G75" i="1" s="1"/>
  <c r="F69" i="1"/>
  <c r="D69" i="1"/>
  <c r="F68" i="1"/>
  <c r="H65" i="1"/>
  <c r="F65" i="1"/>
  <c r="F64" i="1" s="1"/>
  <c r="F67" i="1" s="1"/>
  <c r="E65" i="1"/>
  <c r="D65" i="1" s="1"/>
  <c r="G64" i="1"/>
  <c r="H63" i="1"/>
  <c r="F63" i="1"/>
  <c r="E63" i="1"/>
  <c r="I58" i="1"/>
  <c r="H58" i="1"/>
  <c r="F57" i="1"/>
  <c r="E57" i="1"/>
  <c r="F56" i="1"/>
  <c r="E56" i="1"/>
  <c r="F55" i="1"/>
  <c r="E55" i="1"/>
  <c r="F53" i="1"/>
  <c r="E53" i="1"/>
  <c r="F52" i="1"/>
  <c r="E52" i="1"/>
  <c r="G51" i="1"/>
  <c r="F51" i="1"/>
  <c r="D51" i="1"/>
  <c r="F50" i="1"/>
  <c r="E50" i="1"/>
  <c r="E48" i="1" s="1"/>
  <c r="F49" i="1"/>
  <c r="E49" i="1"/>
  <c r="I47" i="1"/>
  <c r="I61" i="1" s="1"/>
  <c r="I84" i="1" s="1"/>
  <c r="F46" i="1"/>
  <c r="E46" i="1"/>
  <c r="G45" i="1"/>
  <c r="F45" i="1"/>
  <c r="D45" i="1" s="1"/>
  <c r="E45" i="1"/>
  <c r="F44" i="1"/>
  <c r="E44" i="1"/>
  <c r="D44" i="1" s="1"/>
  <c r="H43" i="1"/>
  <c r="F43" i="1"/>
  <c r="E43" i="1"/>
  <c r="H42" i="1"/>
  <c r="F41" i="1"/>
  <c r="E41" i="1"/>
  <c r="F40" i="1"/>
  <c r="E40" i="1"/>
  <c r="D40" i="1" s="1"/>
  <c r="F39" i="1"/>
  <c r="F38" i="1" s="1"/>
  <c r="E39" i="1"/>
  <c r="D39" i="1" s="1"/>
  <c r="F37" i="1"/>
  <c r="E37" i="1"/>
  <c r="F36" i="1"/>
  <c r="E36" i="1"/>
  <c r="D36" i="1" s="1"/>
  <c r="F35" i="1"/>
  <c r="F34" i="1" s="1"/>
  <c r="E35" i="1"/>
  <c r="E34" i="1" s="1"/>
  <c r="H33" i="1"/>
  <c r="F33" i="1"/>
  <c r="E33" i="1"/>
  <c r="D33" i="1" s="1"/>
  <c r="F29" i="1"/>
  <c r="F28" i="1"/>
  <c r="I26" i="1"/>
  <c r="F25" i="1"/>
  <c r="E25" i="1"/>
  <c r="D25" i="1" s="1"/>
  <c r="F24" i="1"/>
  <c r="E24" i="1"/>
  <c r="D24" i="1" s="1"/>
  <c r="H23" i="1"/>
  <c r="H26" i="1" s="1"/>
  <c r="F23" i="1"/>
  <c r="E23" i="1"/>
  <c r="F21" i="1"/>
  <c r="D21" i="1" s="1"/>
  <c r="E21" i="1"/>
  <c r="E20" i="1"/>
  <c r="D20" i="1"/>
  <c r="F19" i="1"/>
  <c r="D19" i="1"/>
  <c r="F18" i="1"/>
  <c r="E18" i="1"/>
  <c r="F17" i="1"/>
  <c r="E17" i="1"/>
  <c r="F16" i="1"/>
  <c r="E16" i="1"/>
  <c r="F15" i="1"/>
  <c r="E15" i="1"/>
  <c r="I14" i="1"/>
  <c r="I22" i="1" s="1"/>
  <c r="I30" i="1" s="1"/>
  <c r="I83" i="1" s="1"/>
  <c r="H14" i="1"/>
  <c r="F13" i="1"/>
  <c r="E13" i="1"/>
  <c r="D13" i="1" s="1"/>
  <c r="H12" i="1"/>
  <c r="F12" i="1"/>
  <c r="E12" i="1"/>
  <c r="H11" i="1"/>
  <c r="F11" i="1"/>
  <c r="E11" i="1"/>
  <c r="H10" i="1"/>
  <c r="F10" i="1"/>
  <c r="E10" i="1"/>
  <c r="D10" i="1"/>
  <c r="H80" i="15"/>
  <c r="G80" i="15"/>
  <c r="E80" i="15"/>
  <c r="D80" i="15"/>
  <c r="F80" i="15" s="1"/>
  <c r="I80" i="15" s="1"/>
  <c r="I79" i="15"/>
  <c r="F79" i="15"/>
  <c r="F78" i="15"/>
  <c r="I78" i="15" s="1"/>
  <c r="I77" i="15"/>
  <c r="F77" i="15"/>
  <c r="G76" i="15"/>
  <c r="F76" i="15"/>
  <c r="I76" i="15" s="1"/>
  <c r="D76" i="15"/>
  <c r="F75" i="15"/>
  <c r="I75" i="15" s="1"/>
  <c r="F70" i="15"/>
  <c r="I70" i="15" s="1"/>
  <c r="I69" i="15"/>
  <c r="F69" i="15"/>
  <c r="G68" i="15"/>
  <c r="G73" i="15" s="1"/>
  <c r="F68" i="15"/>
  <c r="I68" i="15" s="1"/>
  <c r="D68" i="15"/>
  <c r="D73" i="15" s="1"/>
  <c r="F73" i="15" s="1"/>
  <c r="F67" i="15"/>
  <c r="I67" i="15" s="1"/>
  <c r="I66" i="15"/>
  <c r="H66" i="15"/>
  <c r="H74" i="15" s="1"/>
  <c r="F66" i="15"/>
  <c r="F74" i="15" s="1"/>
  <c r="E66" i="15"/>
  <c r="E74" i="15" s="1"/>
  <c r="G63" i="15"/>
  <c r="G66" i="15" s="1"/>
  <c r="G74" i="15" s="1"/>
  <c r="D63" i="15"/>
  <c r="D66" i="15" s="1"/>
  <c r="D74" i="15" s="1"/>
  <c r="G62" i="15"/>
  <c r="F62" i="15"/>
  <c r="E62" i="15"/>
  <c r="D62" i="15"/>
  <c r="F56" i="15"/>
  <c r="F53" i="15" s="1"/>
  <c r="I55" i="15"/>
  <c r="F55" i="15"/>
  <c r="H53" i="15"/>
  <c r="G53" i="15"/>
  <c r="E53" i="15"/>
  <c r="D53" i="15"/>
  <c r="I52" i="15"/>
  <c r="F52" i="15"/>
  <c r="F51" i="15"/>
  <c r="I51" i="15" s="1"/>
  <c r="I50" i="15"/>
  <c r="H50" i="15"/>
  <c r="G50" i="15"/>
  <c r="F50" i="15"/>
  <c r="E50" i="15"/>
  <c r="D50" i="15"/>
  <c r="F48" i="15"/>
  <c r="I48" i="15" s="1"/>
  <c r="I47" i="15" s="1"/>
  <c r="H47" i="15"/>
  <c r="H57" i="15" s="1"/>
  <c r="G47" i="15"/>
  <c r="G57" i="15" s="1"/>
  <c r="F47" i="15"/>
  <c r="F57" i="15" s="1"/>
  <c r="E47" i="15"/>
  <c r="E57" i="15" s="1"/>
  <c r="D47" i="15"/>
  <c r="D57" i="15" s="1"/>
  <c r="I45" i="15"/>
  <c r="F45" i="15"/>
  <c r="F44" i="15"/>
  <c r="F41" i="15" s="1"/>
  <c r="D41" i="15" s="1"/>
  <c r="I43" i="15"/>
  <c r="F43" i="15"/>
  <c r="D42" i="15"/>
  <c r="H41" i="15"/>
  <c r="E41" i="15"/>
  <c r="I39" i="15"/>
  <c r="I37" i="15" s="1"/>
  <c r="F39" i="15"/>
  <c r="G37" i="15"/>
  <c r="F37" i="15"/>
  <c r="D37" i="15"/>
  <c r="I33" i="15"/>
  <c r="H33" i="15"/>
  <c r="H46" i="15" s="1"/>
  <c r="G33" i="15"/>
  <c r="F33" i="15"/>
  <c r="F46" i="15" s="1"/>
  <c r="E33" i="15"/>
  <c r="E46" i="15" s="1"/>
  <c r="E60" i="15" s="1"/>
  <c r="E82" i="15" s="1"/>
  <c r="D33" i="15"/>
  <c r="D46" i="15" s="1"/>
  <c r="G32" i="15"/>
  <c r="G46" i="15" s="1"/>
  <c r="D32" i="15"/>
  <c r="H29" i="15"/>
  <c r="H81" i="15" s="1"/>
  <c r="I28" i="15"/>
  <c r="F28" i="15"/>
  <c r="F27" i="15"/>
  <c r="I27" i="15" s="1"/>
  <c r="I25" i="15"/>
  <c r="G25" i="15" s="1"/>
  <c r="G29" i="15" s="1"/>
  <c r="F25" i="15"/>
  <c r="D22" i="15"/>
  <c r="D25" i="15" s="1"/>
  <c r="I21" i="15"/>
  <c r="H21" i="15"/>
  <c r="G21" i="15"/>
  <c r="F21" i="15"/>
  <c r="F29" i="15" s="1"/>
  <c r="D14" i="15"/>
  <c r="G12" i="15"/>
  <c r="F12" i="15"/>
  <c r="E12" i="15"/>
  <c r="D12" i="15"/>
  <c r="G11" i="15"/>
  <c r="E11" i="15"/>
  <c r="D11" i="15"/>
  <c r="G10" i="15"/>
  <c r="E10" i="15"/>
  <c r="E21" i="15" s="1"/>
  <c r="E29" i="15" s="1"/>
  <c r="L84" i="16"/>
  <c r="K84" i="16"/>
  <c r="J84" i="16"/>
  <c r="L83" i="16"/>
  <c r="K83" i="16"/>
  <c r="J83" i="16"/>
  <c r="L82" i="16"/>
  <c r="K82" i="16"/>
  <c r="J82" i="16"/>
  <c r="L75" i="16"/>
  <c r="K75" i="16"/>
  <c r="J75" i="16"/>
  <c r="J74" i="16"/>
  <c r="L67" i="16"/>
  <c r="K67" i="16"/>
  <c r="J67" i="16" s="1"/>
  <c r="K64" i="16"/>
  <c r="L64" i="16"/>
  <c r="J64" i="16"/>
  <c r="J66" i="16"/>
  <c r="J65" i="16"/>
  <c r="L62" i="16"/>
  <c r="K62" i="16"/>
  <c r="J62" i="16"/>
  <c r="L61" i="16"/>
  <c r="K61" i="16"/>
  <c r="J61" i="16"/>
  <c r="L58" i="16"/>
  <c r="K58" i="16"/>
  <c r="J56" i="16"/>
  <c r="J57" i="16"/>
  <c r="J55" i="16"/>
  <c r="J54" i="16" s="1"/>
  <c r="J58" i="16" s="1"/>
  <c r="K54" i="16"/>
  <c r="L54" i="16"/>
  <c r="J50" i="16"/>
  <c r="J49" i="16"/>
  <c r="J48" i="16" s="1"/>
  <c r="K48" i="16"/>
  <c r="L48" i="16"/>
  <c r="L47" i="16"/>
  <c r="K47" i="16"/>
  <c r="K42" i="16"/>
  <c r="L42" i="16"/>
  <c r="J46" i="16"/>
  <c r="J45" i="16"/>
  <c r="J44" i="16"/>
  <c r="J43" i="16"/>
  <c r="J42" i="16" s="1"/>
  <c r="J41" i="16"/>
  <c r="J40" i="16"/>
  <c r="J38" i="16" s="1"/>
  <c r="J47" i="16" s="1"/>
  <c r="J39" i="16"/>
  <c r="K38" i="16"/>
  <c r="K34" i="16"/>
  <c r="J37" i="16"/>
  <c r="J36" i="16"/>
  <c r="J35" i="16"/>
  <c r="J33" i="16"/>
  <c r="L30" i="16"/>
  <c r="K30" i="16"/>
  <c r="J30" i="16"/>
  <c r="K26" i="16"/>
  <c r="L26" i="16"/>
  <c r="J26" i="16"/>
  <c r="J25" i="16"/>
  <c r="J24" i="16"/>
  <c r="J23" i="16"/>
  <c r="L22" i="16"/>
  <c r="K22" i="16"/>
  <c r="J22" i="16"/>
  <c r="J15" i="16"/>
  <c r="J16" i="16"/>
  <c r="J17" i="16"/>
  <c r="J18" i="16"/>
  <c r="J19" i="16"/>
  <c r="J20" i="16"/>
  <c r="L14" i="16"/>
  <c r="K14" i="16"/>
  <c r="J14" i="16" s="1"/>
  <c r="J11" i="16"/>
  <c r="J12" i="16"/>
  <c r="J13" i="16"/>
  <c r="J10" i="16"/>
  <c r="G25" i="16"/>
  <c r="G24" i="16"/>
  <c r="G12" i="16"/>
  <c r="H81" i="16"/>
  <c r="I80" i="16"/>
  <c r="F80" i="16"/>
  <c r="I79" i="16"/>
  <c r="F79" i="16"/>
  <c r="I78" i="16"/>
  <c r="F78" i="16"/>
  <c r="G77" i="16"/>
  <c r="I77" i="16" s="1"/>
  <c r="I82" i="16" s="1"/>
  <c r="D77" i="16"/>
  <c r="F77" i="16" s="1"/>
  <c r="F82" i="16" s="1"/>
  <c r="H76" i="16"/>
  <c r="H82" i="16" s="1"/>
  <c r="E76" i="16"/>
  <c r="E82" i="16" s="1"/>
  <c r="D76" i="16"/>
  <c r="D82" i="16" s="1"/>
  <c r="E75" i="16"/>
  <c r="I71" i="16"/>
  <c r="F71" i="16"/>
  <c r="I70" i="16"/>
  <c r="F70" i="16"/>
  <c r="G69" i="16"/>
  <c r="G74" i="16" s="1"/>
  <c r="D69" i="16"/>
  <c r="F69" i="16" s="1"/>
  <c r="F68" i="16"/>
  <c r="E67" i="16"/>
  <c r="H65" i="16"/>
  <c r="H67" i="16" s="1"/>
  <c r="G65" i="16"/>
  <c r="D65" i="16"/>
  <c r="I64" i="16"/>
  <c r="I67" i="16" s="1"/>
  <c r="I75" i="16" s="1"/>
  <c r="H64" i="16"/>
  <c r="G64" i="16"/>
  <c r="F64" i="16"/>
  <c r="F67" i="16" s="1"/>
  <c r="E64" i="16"/>
  <c r="D64" i="16"/>
  <c r="E58" i="16"/>
  <c r="I57" i="16"/>
  <c r="F57" i="16"/>
  <c r="F56" i="16"/>
  <c r="F54" i="16" s="1"/>
  <c r="I55" i="16"/>
  <c r="F55" i="16"/>
  <c r="D55" i="16"/>
  <c r="D54" i="16" s="1"/>
  <c r="H54" i="16"/>
  <c r="E54" i="16"/>
  <c r="I53" i="16"/>
  <c r="F53" i="16"/>
  <c r="I52" i="16"/>
  <c r="F52" i="16"/>
  <c r="I51" i="16"/>
  <c r="H51" i="16"/>
  <c r="G51" i="16"/>
  <c r="E51" i="16"/>
  <c r="D51" i="16"/>
  <c r="F51" i="16" s="1"/>
  <c r="I50" i="16"/>
  <c r="D50" i="16"/>
  <c r="I49" i="16"/>
  <c r="D49" i="16"/>
  <c r="H48" i="16"/>
  <c r="F48" i="16"/>
  <c r="E48" i="16"/>
  <c r="D48" i="16"/>
  <c r="D58" i="16" s="1"/>
  <c r="I46" i="16"/>
  <c r="F46" i="16"/>
  <c r="D45" i="16"/>
  <c r="D44" i="16"/>
  <c r="I43" i="16"/>
  <c r="H43" i="16"/>
  <c r="H42" i="16" s="1"/>
  <c r="F43" i="16"/>
  <c r="D43" i="16" s="1"/>
  <c r="E42" i="16"/>
  <c r="G41" i="16"/>
  <c r="D41" i="16"/>
  <c r="G40" i="16"/>
  <c r="D40" i="16"/>
  <c r="H39" i="16"/>
  <c r="G39" i="16"/>
  <c r="E39" i="16"/>
  <c r="D39" i="16"/>
  <c r="I38" i="16"/>
  <c r="H38" i="16"/>
  <c r="G38" i="16" s="1"/>
  <c r="F38" i="16"/>
  <c r="E38" i="16"/>
  <c r="D38" i="16" s="1"/>
  <c r="G37" i="16"/>
  <c r="D37" i="16"/>
  <c r="G36" i="16"/>
  <c r="D36" i="16"/>
  <c r="H35" i="16"/>
  <c r="G35" i="16"/>
  <c r="E35" i="16"/>
  <c r="E34" i="16" s="1"/>
  <c r="I34" i="16"/>
  <c r="H34" i="16"/>
  <c r="G34" i="16"/>
  <c r="F34" i="16"/>
  <c r="H33" i="16"/>
  <c r="G33" i="16"/>
  <c r="E33" i="16"/>
  <c r="E47" i="16" s="1"/>
  <c r="I29" i="16"/>
  <c r="F29" i="16"/>
  <c r="I28" i="16"/>
  <c r="F28" i="16"/>
  <c r="I25" i="16"/>
  <c r="F25" i="16"/>
  <c r="F26" i="16" s="1"/>
  <c r="D25" i="16"/>
  <c r="I24" i="16"/>
  <c r="D24" i="16"/>
  <c r="I23" i="16"/>
  <c r="G23" i="16" s="1"/>
  <c r="D23" i="16"/>
  <c r="I21" i="16"/>
  <c r="H21" i="16"/>
  <c r="G21" i="16" s="1"/>
  <c r="F21" i="16"/>
  <c r="D21" i="16" s="1"/>
  <c r="E21" i="16"/>
  <c r="D20" i="16"/>
  <c r="H19" i="16"/>
  <c r="G19" i="16" s="1"/>
  <c r="E19" i="16"/>
  <c r="E14" i="16" s="1"/>
  <c r="D19" i="16"/>
  <c r="H18" i="16"/>
  <c r="G18" i="16" s="1"/>
  <c r="D18" i="16"/>
  <c r="G17" i="16"/>
  <c r="D17" i="16"/>
  <c r="G16" i="16"/>
  <c r="D16" i="16"/>
  <c r="I15" i="16"/>
  <c r="H15" i="16"/>
  <c r="H14" i="16" s="1"/>
  <c r="F15" i="16"/>
  <c r="D15" i="16"/>
  <c r="F14" i="16"/>
  <c r="F22" i="16" s="1"/>
  <c r="F30" i="16" s="1"/>
  <c r="G13" i="16"/>
  <c r="D13" i="16"/>
  <c r="H12" i="16"/>
  <c r="E12" i="16"/>
  <c r="D12" i="16" s="1"/>
  <c r="H11" i="16"/>
  <c r="G11" i="16"/>
  <c r="D11" i="16"/>
  <c r="H10" i="16"/>
  <c r="G10" i="16" s="1"/>
  <c r="E10" i="16"/>
  <c r="D10" i="16"/>
  <c r="D16" i="1" l="1"/>
  <c r="E14" i="1"/>
  <c r="D23" i="1"/>
  <c r="D26" i="1" s="1"/>
  <c r="D55" i="1"/>
  <c r="D54" i="1" s="1"/>
  <c r="D63" i="1"/>
  <c r="D18" i="1"/>
  <c r="D37" i="1"/>
  <c r="D35" i="1"/>
  <c r="E38" i="1"/>
  <c r="D41" i="1"/>
  <c r="D49" i="1"/>
  <c r="E54" i="1"/>
  <c r="D34" i="1"/>
  <c r="D38" i="1"/>
  <c r="D17" i="1"/>
  <c r="F48" i="1"/>
  <c r="D50" i="1"/>
  <c r="E51" i="1"/>
  <c r="F54" i="1"/>
  <c r="E64" i="1"/>
  <c r="D64" i="1" s="1"/>
  <c r="F42" i="1"/>
  <c r="G22" i="1"/>
  <c r="G30" i="1" s="1"/>
  <c r="G47" i="1"/>
  <c r="D11" i="1"/>
  <c r="D15" i="1"/>
  <c r="F14" i="1"/>
  <c r="D14" i="1" s="1"/>
  <c r="F26" i="1"/>
  <c r="H22" i="1"/>
  <c r="H30" i="1" s="1"/>
  <c r="H83" i="1" s="1"/>
  <c r="D12" i="1"/>
  <c r="E22" i="1"/>
  <c r="E30" i="1" s="1"/>
  <c r="F47" i="1"/>
  <c r="D48" i="1"/>
  <c r="D58" i="1" s="1"/>
  <c r="F75" i="1"/>
  <c r="H47" i="1"/>
  <c r="H61" i="1" s="1"/>
  <c r="H84" i="1" s="1"/>
  <c r="E67" i="1"/>
  <c r="E42" i="1"/>
  <c r="D42" i="1" s="1"/>
  <c r="D47" i="1" s="1"/>
  <c r="D61" i="1" s="1"/>
  <c r="D43" i="1"/>
  <c r="E81" i="15"/>
  <c r="E61" i="15"/>
  <c r="G81" i="15"/>
  <c r="F60" i="15"/>
  <c r="F82" i="15" s="1"/>
  <c r="F81" i="15"/>
  <c r="G60" i="15"/>
  <c r="G82" i="15" s="1"/>
  <c r="I53" i="15"/>
  <c r="I57" i="15" s="1"/>
  <c r="D60" i="15"/>
  <c r="D82" i="15" s="1"/>
  <c r="H60" i="15"/>
  <c r="H82" i="15" s="1"/>
  <c r="I73" i="15"/>
  <c r="I74" i="15" s="1"/>
  <c r="I29" i="15"/>
  <c r="I44" i="15"/>
  <c r="I41" i="15" s="1"/>
  <c r="I46" i="15" s="1"/>
  <c r="I60" i="15" s="1"/>
  <c r="I56" i="15"/>
  <c r="D10" i="15"/>
  <c r="D21" i="15" s="1"/>
  <c r="D29" i="15" s="1"/>
  <c r="J34" i="16"/>
  <c r="D26" i="16"/>
  <c r="F42" i="16"/>
  <c r="D42" i="16" s="1"/>
  <c r="H47" i="16"/>
  <c r="H22" i="16"/>
  <c r="H30" i="16" s="1"/>
  <c r="D33" i="16"/>
  <c r="F47" i="16"/>
  <c r="D35" i="16"/>
  <c r="I54" i="16"/>
  <c r="I69" i="16"/>
  <c r="G82" i="16"/>
  <c r="H83" i="16"/>
  <c r="F83" i="16"/>
  <c r="D67" i="16"/>
  <c r="I14" i="16"/>
  <c r="G14" i="16" s="1"/>
  <c r="G15" i="16"/>
  <c r="I42" i="16"/>
  <c r="I47" i="16" s="1"/>
  <c r="G43" i="16"/>
  <c r="G42" i="16" s="1"/>
  <c r="G47" i="16" s="1"/>
  <c r="G48" i="16"/>
  <c r="G58" i="16" s="1"/>
  <c r="I48" i="16"/>
  <c r="I58" i="16" s="1"/>
  <c r="F58" i="16"/>
  <c r="D14" i="16"/>
  <c r="D22" i="16" s="1"/>
  <c r="D30" i="16" s="1"/>
  <c r="D47" i="16"/>
  <c r="D61" i="16" s="1"/>
  <c r="G67" i="16"/>
  <c r="G75" i="16" s="1"/>
  <c r="H75" i="16"/>
  <c r="E22" i="16"/>
  <c r="E30" i="16" s="1"/>
  <c r="I26" i="16"/>
  <c r="G26" i="16"/>
  <c r="E61" i="16"/>
  <c r="E84" i="16" s="1"/>
  <c r="D34" i="16"/>
  <c r="H58" i="16"/>
  <c r="D74" i="16"/>
  <c r="F74" i="16" s="1"/>
  <c r="F75" i="16" s="1"/>
  <c r="G82" i="12"/>
  <c r="G74" i="12"/>
  <c r="G66" i="12"/>
  <c r="F66" i="12"/>
  <c r="E80" i="12"/>
  <c r="E74" i="12"/>
  <c r="E62" i="12"/>
  <c r="E53" i="12"/>
  <c r="E50" i="12"/>
  <c r="E57" i="12" s="1"/>
  <c r="E47" i="12"/>
  <c r="E41" i="12"/>
  <c r="E33" i="12"/>
  <c r="E46" i="12" s="1"/>
  <c r="E60" i="12" s="1"/>
  <c r="E82" i="12" s="1"/>
  <c r="E21" i="12"/>
  <c r="E29" i="12" s="1"/>
  <c r="D80" i="12"/>
  <c r="D74" i="12"/>
  <c r="D62" i="12"/>
  <c r="D53" i="12"/>
  <c r="D50" i="12"/>
  <c r="D57" i="12" s="1"/>
  <c r="D47" i="12"/>
  <c r="D41" i="12"/>
  <c r="D33" i="12"/>
  <c r="D46" i="12" s="1"/>
  <c r="D21" i="12"/>
  <c r="D29" i="12" s="1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2" i="12"/>
  <c r="F33" i="12"/>
  <c r="F37" i="12"/>
  <c r="F41" i="12"/>
  <c r="F42" i="12"/>
  <c r="F46" i="12"/>
  <c r="F47" i="12"/>
  <c r="F50" i="12"/>
  <c r="F53" i="12"/>
  <c r="F57" i="12"/>
  <c r="F58" i="12"/>
  <c r="F59" i="12"/>
  <c r="F60" i="12"/>
  <c r="F61" i="12"/>
  <c r="F62" i="12"/>
  <c r="F74" i="12" s="1"/>
  <c r="F82" i="12" s="1"/>
  <c r="F63" i="12"/>
  <c r="F64" i="12"/>
  <c r="F81" i="12"/>
  <c r="G63" i="12"/>
  <c r="G62" i="12"/>
  <c r="G60" i="12"/>
  <c r="G42" i="12"/>
  <c r="G12" i="12"/>
  <c r="G11" i="12"/>
  <c r="G10" i="12"/>
  <c r="G21" i="12" s="1"/>
  <c r="H50" i="12"/>
  <c r="J29" i="15"/>
  <c r="D99" i="22"/>
  <c r="D7" i="22"/>
  <c r="D12" i="22"/>
  <c r="D16" i="22"/>
  <c r="D20" i="22"/>
  <c r="D28" i="22"/>
  <c r="D45" i="22"/>
  <c r="D44" i="22" s="1"/>
  <c r="D55" i="22"/>
  <c r="D71" i="22"/>
  <c r="D80" i="22"/>
  <c r="D88" i="22"/>
  <c r="D92" i="22"/>
  <c r="D109" i="22"/>
  <c r="D122" i="22"/>
  <c r="D117" i="22" s="1"/>
  <c r="G21" i="22"/>
  <c r="G15" i="22"/>
  <c r="G14" i="22"/>
  <c r="G13" i="22"/>
  <c r="G12" i="22" s="1"/>
  <c r="G11" i="22" s="1"/>
  <c r="G19" i="22"/>
  <c r="G48" i="22"/>
  <c r="G45" i="22" s="1"/>
  <c r="G44" i="22" s="1"/>
  <c r="G29" i="22"/>
  <c r="G8" i="22"/>
  <c r="G7" i="22" s="1"/>
  <c r="G6" i="22" s="1"/>
  <c r="G80" i="22"/>
  <c r="G88" i="22"/>
  <c r="G92" i="22"/>
  <c r="G16" i="22"/>
  <c r="G20" i="22"/>
  <c r="G28" i="22"/>
  <c r="G55" i="22"/>
  <c r="G71" i="22"/>
  <c r="G99" i="22"/>
  <c r="G109" i="22"/>
  <c r="G122" i="22"/>
  <c r="G117" i="22" s="1"/>
  <c r="G127" i="22"/>
  <c r="D26" i="20"/>
  <c r="F13" i="23"/>
  <c r="F14" i="23"/>
  <c r="F16" i="23"/>
  <c r="F17" i="23"/>
  <c r="E18" i="23"/>
  <c r="F18" i="23"/>
  <c r="F19" i="23"/>
  <c r="E20" i="23"/>
  <c r="F21" i="23"/>
  <c r="E22" i="23"/>
  <c r="F22" i="23"/>
  <c r="F23" i="23"/>
  <c r="B17" i="21"/>
  <c r="C26" i="20"/>
  <c r="D9" i="19"/>
  <c r="D12" i="19"/>
  <c r="D15" i="19"/>
  <c r="D17" i="19"/>
  <c r="D19" i="19"/>
  <c r="D21" i="19"/>
  <c r="E12" i="19"/>
  <c r="E17" i="19"/>
  <c r="E19" i="19"/>
  <c r="E21" i="19"/>
  <c r="F12" i="19"/>
  <c r="F17" i="19"/>
  <c r="F19" i="19"/>
  <c r="F21" i="19"/>
  <c r="G12" i="19"/>
  <c r="G17" i="19"/>
  <c r="G19" i="19"/>
  <c r="G21" i="19"/>
  <c r="H12" i="19"/>
  <c r="H15" i="19"/>
  <c r="I15" i="19" s="1"/>
  <c r="H17" i="19"/>
  <c r="H21" i="19"/>
  <c r="I20" i="19"/>
  <c r="I19" i="19"/>
  <c r="I18" i="19"/>
  <c r="I16" i="19"/>
  <c r="I14" i="19"/>
  <c r="I13" i="19"/>
  <c r="I12" i="19"/>
  <c r="I11" i="19"/>
  <c r="I10" i="19"/>
  <c r="G23" i="18"/>
  <c r="C8" i="18"/>
  <c r="C9" i="18"/>
  <c r="C11" i="18"/>
  <c r="C12" i="18"/>
  <c r="C13" i="18" s="1"/>
  <c r="G40" i="18"/>
  <c r="G43" i="18"/>
  <c r="C40" i="18"/>
  <c r="C43" i="18"/>
  <c r="G10" i="18"/>
  <c r="G13" i="18"/>
  <c r="L55" i="15"/>
  <c r="L48" i="15"/>
  <c r="L47" i="15" s="1"/>
  <c r="J47" i="15" s="1"/>
  <c r="L43" i="15"/>
  <c r="K41" i="15"/>
  <c r="L33" i="15"/>
  <c r="K33" i="15"/>
  <c r="J24" i="1"/>
  <c r="L63" i="1"/>
  <c r="J38" i="1"/>
  <c r="J36" i="1"/>
  <c r="J34" i="1"/>
  <c r="J23" i="1"/>
  <c r="J26" i="1" s="1"/>
  <c r="J18" i="1"/>
  <c r="L66" i="1"/>
  <c r="L68" i="1"/>
  <c r="L73" i="1"/>
  <c r="K68" i="1"/>
  <c r="K73" i="1"/>
  <c r="J68" i="1"/>
  <c r="J73" i="1" s="1"/>
  <c r="L27" i="1"/>
  <c r="L28" i="1"/>
  <c r="J78" i="1"/>
  <c r="J49" i="1"/>
  <c r="G48" i="1" s="1"/>
  <c r="G58" i="1" s="1"/>
  <c r="J40" i="1"/>
  <c r="J39" i="1"/>
  <c r="G39" i="1" s="1"/>
  <c r="J20" i="1"/>
  <c r="J13" i="1"/>
  <c r="AD39" i="6"/>
  <c r="AD42" i="6"/>
  <c r="I46" i="12"/>
  <c r="I66" i="12"/>
  <c r="I74" i="12" s="1"/>
  <c r="H66" i="12"/>
  <c r="H74" i="12"/>
  <c r="H32" i="12"/>
  <c r="H33" i="12"/>
  <c r="H39" i="12"/>
  <c r="H37" i="12" s="1"/>
  <c r="H41" i="12"/>
  <c r="H47" i="12"/>
  <c r="H53" i="12"/>
  <c r="H64" i="12"/>
  <c r="I21" i="12"/>
  <c r="I29" i="12" s="1"/>
  <c r="I81" i="12" s="1"/>
  <c r="H14" i="12"/>
  <c r="H21" i="12"/>
  <c r="H29" i="12" s="1"/>
  <c r="H15" i="12"/>
  <c r="L39" i="15"/>
  <c r="J39" i="15" s="1"/>
  <c r="L37" i="15"/>
  <c r="L46" i="15" s="1"/>
  <c r="L44" i="15"/>
  <c r="J44" i="15" s="1"/>
  <c r="L45" i="15"/>
  <c r="J45" i="15" s="1"/>
  <c r="L50" i="15"/>
  <c r="L56" i="15"/>
  <c r="J56" i="15" s="1"/>
  <c r="L53" i="15"/>
  <c r="J53" i="15" s="1"/>
  <c r="L66" i="15"/>
  <c r="L74" i="15"/>
  <c r="K47" i="15"/>
  <c r="K50" i="15"/>
  <c r="K53" i="15"/>
  <c r="K66" i="15"/>
  <c r="J66" i="15" s="1"/>
  <c r="K74" i="15"/>
  <c r="J74" i="15" s="1"/>
  <c r="L21" i="15"/>
  <c r="L27" i="15"/>
  <c r="L28" i="15"/>
  <c r="J28" i="15" s="1"/>
  <c r="K80" i="15"/>
  <c r="J80" i="15" s="1"/>
  <c r="J79" i="15"/>
  <c r="J78" i="15"/>
  <c r="J77" i="15"/>
  <c r="J76" i="15"/>
  <c r="J75" i="15"/>
  <c r="J73" i="15"/>
  <c r="J72" i="15"/>
  <c r="J71" i="15"/>
  <c r="J70" i="15"/>
  <c r="J69" i="15"/>
  <c r="J68" i="15"/>
  <c r="J67" i="15"/>
  <c r="J65" i="15"/>
  <c r="J64" i="15"/>
  <c r="J63" i="15"/>
  <c r="J62" i="15"/>
  <c r="J59" i="15"/>
  <c r="J58" i="15"/>
  <c r="J55" i="15"/>
  <c r="J54" i="15"/>
  <c r="L52" i="15"/>
  <c r="J52" i="15" s="1"/>
  <c r="L51" i="15"/>
  <c r="J51" i="15"/>
  <c r="J49" i="15"/>
  <c r="J42" i="15"/>
  <c r="J41" i="15"/>
  <c r="J40" i="15"/>
  <c r="J38" i="15"/>
  <c r="J36" i="15"/>
  <c r="J35" i="15"/>
  <c r="J34" i="15"/>
  <c r="J32" i="15"/>
  <c r="J26" i="15"/>
  <c r="J24" i="15"/>
  <c r="J23" i="15"/>
  <c r="J20" i="15"/>
  <c r="J19" i="15"/>
  <c r="J18" i="15"/>
  <c r="J17" i="15"/>
  <c r="J15" i="15"/>
  <c r="J13" i="15"/>
  <c r="T39" i="6"/>
  <c r="D127" i="22" l="1"/>
  <c r="D75" i="22"/>
  <c r="D11" i="22"/>
  <c r="D6" i="22" s="1"/>
  <c r="D97" i="22" s="1"/>
  <c r="E58" i="1"/>
  <c r="F58" i="1"/>
  <c r="F61" i="1" s="1"/>
  <c r="F84" i="1" s="1"/>
  <c r="C10" i="18"/>
  <c r="C14" i="18" s="1"/>
  <c r="J63" i="1"/>
  <c r="G61" i="1"/>
  <c r="E83" i="1"/>
  <c r="D67" i="1"/>
  <c r="D75" i="1" s="1"/>
  <c r="D84" i="1" s="1"/>
  <c r="E75" i="1"/>
  <c r="E47" i="1"/>
  <c r="E61" i="1" s="1"/>
  <c r="D22" i="1"/>
  <c r="D30" i="1" s="1"/>
  <c r="F22" i="1"/>
  <c r="F30" i="1" s="1"/>
  <c r="I82" i="15"/>
  <c r="H61" i="15"/>
  <c r="I81" i="15"/>
  <c r="I61" i="15"/>
  <c r="F61" i="15"/>
  <c r="D81" i="15"/>
  <c r="D61" i="15"/>
  <c r="G61" i="15"/>
  <c r="H61" i="16"/>
  <c r="J17" i="1"/>
  <c r="J19" i="1"/>
  <c r="J35" i="1"/>
  <c r="G61" i="16"/>
  <c r="G84" i="16" s="1"/>
  <c r="J43" i="1"/>
  <c r="F61" i="16"/>
  <c r="F84" i="16" s="1"/>
  <c r="I61" i="16"/>
  <c r="I84" i="16" s="1"/>
  <c r="H84" i="16"/>
  <c r="H62" i="16"/>
  <c r="I22" i="16"/>
  <c r="I30" i="16" s="1"/>
  <c r="G22" i="16"/>
  <c r="G30" i="16" s="1"/>
  <c r="D75" i="16"/>
  <c r="D84" i="16" s="1"/>
  <c r="D86" i="16" s="1"/>
  <c r="E83" i="16"/>
  <c r="E62" i="16"/>
  <c r="D83" i="16"/>
  <c r="D62" i="16"/>
  <c r="H46" i="12"/>
  <c r="H60" i="12" s="1"/>
  <c r="H82" i="12" s="1"/>
  <c r="J15" i="1"/>
  <c r="E81" i="12"/>
  <c r="E61" i="12"/>
  <c r="D81" i="12"/>
  <c r="D60" i="12"/>
  <c r="D82" i="12" s="1"/>
  <c r="G29" i="12"/>
  <c r="J16" i="1"/>
  <c r="J42" i="1"/>
  <c r="J47" i="1" s="1"/>
  <c r="J14" i="1"/>
  <c r="J22" i="1" s="1"/>
  <c r="J37" i="15"/>
  <c r="J43" i="15"/>
  <c r="J50" i="15"/>
  <c r="K57" i="15"/>
  <c r="J48" i="1"/>
  <c r="J33" i="15"/>
  <c r="K46" i="15"/>
  <c r="J27" i="15"/>
  <c r="L29" i="15"/>
  <c r="H81" i="12"/>
  <c r="C128" i="22"/>
  <c r="L57" i="15"/>
  <c r="L60" i="15" s="1"/>
  <c r="L82" i="15" s="1"/>
  <c r="C22" i="18"/>
  <c r="G53" i="18"/>
  <c r="J11" i="1"/>
  <c r="K21" i="15"/>
  <c r="J55" i="1"/>
  <c r="Y39" i="6"/>
  <c r="L80" i="1"/>
  <c r="J10" i="1"/>
  <c r="J37" i="1"/>
  <c r="I21" i="19"/>
  <c r="E24" i="23"/>
  <c r="F20" i="23"/>
  <c r="F24" i="23" s="1"/>
  <c r="I60" i="12"/>
  <c r="L30" i="1"/>
  <c r="J12" i="1"/>
  <c r="J25" i="1"/>
  <c r="J48" i="15"/>
  <c r="I17" i="19"/>
  <c r="G75" i="22"/>
  <c r="G97" i="22" s="1"/>
  <c r="G128" i="22" s="1"/>
  <c r="E84" i="1" l="1"/>
  <c r="C23" i="18"/>
  <c r="G84" i="1"/>
  <c r="G62" i="1"/>
  <c r="D62" i="1"/>
  <c r="D83" i="1"/>
  <c r="F83" i="1"/>
  <c r="F62" i="1"/>
  <c r="E62" i="1"/>
  <c r="F62" i="16"/>
  <c r="G83" i="16"/>
  <c r="G86" i="16" s="1"/>
  <c r="H86" i="16" s="1"/>
  <c r="G62" i="16"/>
  <c r="I83" i="16"/>
  <c r="I62" i="16"/>
  <c r="D61" i="12"/>
  <c r="G61" i="12"/>
  <c r="G81" i="12"/>
  <c r="H61" i="12"/>
  <c r="K30" i="1"/>
  <c r="L81" i="1"/>
  <c r="L61" i="1"/>
  <c r="K29" i="15"/>
  <c r="J21" i="15"/>
  <c r="L81" i="15"/>
  <c r="L61" i="15"/>
  <c r="K60" i="15"/>
  <c r="J46" i="15"/>
  <c r="J57" i="15"/>
  <c r="I61" i="12"/>
  <c r="I82" i="12"/>
  <c r="J33" i="1"/>
  <c r="L84" i="1" l="1"/>
  <c r="L62" i="1"/>
  <c r="J21" i="1"/>
  <c r="L82" i="1"/>
  <c r="L83" i="1" s="1"/>
  <c r="K82" i="15"/>
  <c r="J60" i="15"/>
  <c r="K61" i="15"/>
  <c r="K81" i="15"/>
  <c r="J81" i="15" s="1"/>
  <c r="K61" i="1" l="1"/>
  <c r="J61" i="1"/>
  <c r="J30" i="1"/>
  <c r="J61" i="15"/>
  <c r="J82" i="15"/>
  <c r="K84" i="1" l="1"/>
  <c r="K62" i="1"/>
  <c r="J84" i="1"/>
  <c r="J62" i="1"/>
</calcChain>
</file>

<file path=xl/sharedStrings.xml><?xml version="1.0" encoding="utf-8"?>
<sst xmlns="http://schemas.openxmlformats.org/spreadsheetml/2006/main" count="1184" uniqueCount="431">
  <si>
    <t>Sármellék Község Önkormányzata</t>
  </si>
  <si>
    <t>Kiadásainak és bevételeinek fő összesítője</t>
  </si>
  <si>
    <t>2.melléklet</t>
  </si>
  <si>
    <t>Sor-szám</t>
  </si>
  <si>
    <t>Megnevezés</t>
  </si>
  <si>
    <t>KIADÁSOK</t>
  </si>
  <si>
    <t>Személyi juttatások</t>
  </si>
  <si>
    <t xml:space="preserve">Munkaadókat terhelő járulékok </t>
  </si>
  <si>
    <t>Dologi és egyéb folyó kiadások</t>
  </si>
  <si>
    <t>4.</t>
  </si>
  <si>
    <t>Ellátottak pénzbeli juttatásai</t>
  </si>
  <si>
    <t>5.</t>
  </si>
  <si>
    <t>Egyéb működési kiadások (a+b+c+d)</t>
  </si>
  <si>
    <t>a.</t>
  </si>
  <si>
    <t>Támogatásértékű működési kiadások</t>
  </si>
  <si>
    <t>b.</t>
  </si>
  <si>
    <t>Működési célú pénzeszközátadás AHT-n kívülre és belül</t>
  </si>
  <si>
    <t>c.</t>
  </si>
  <si>
    <t>Társadalom-, szociálpolitikai és egyéb juttatás, Önormányzat által folyósított ellátások</t>
  </si>
  <si>
    <t>d.</t>
  </si>
  <si>
    <t>Előző évi működési célú előirányzat-maradvány, pénzmaradvány átadás</t>
  </si>
  <si>
    <t>Általános és céltartalék</t>
  </si>
  <si>
    <t>I.</t>
  </si>
  <si>
    <t>Működési kiadások (1+….+5)</t>
  </si>
  <si>
    <t>6.</t>
  </si>
  <si>
    <t>Beruházás</t>
  </si>
  <si>
    <t>7.</t>
  </si>
  <si>
    <t>Felújítás</t>
  </si>
  <si>
    <t>8.</t>
  </si>
  <si>
    <t>Egyéb felhalmozási kiadások</t>
  </si>
  <si>
    <t>II.</t>
  </si>
  <si>
    <t>Felhalmozási kiadások (6+7+8)</t>
  </si>
  <si>
    <t>III.</t>
  </si>
  <si>
    <t>IV.</t>
  </si>
  <si>
    <t>V.</t>
  </si>
  <si>
    <t>A.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</si>
  <si>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</si>
  <si>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BEVÉTELEK</t>
  </si>
  <si>
    <t>1.</t>
  </si>
  <si>
    <t>Intézményi Működési bevételek</t>
  </si>
  <si>
    <t>2.</t>
  </si>
  <si>
    <t>Önkormányzatok sajátos működési bevételei</t>
  </si>
  <si>
    <t>2.1.</t>
  </si>
  <si>
    <t>Helyi adók</t>
  </si>
  <si>
    <t>2.2.</t>
  </si>
  <si>
    <t>Átengedett központi adók</t>
  </si>
  <si>
    <t>2.3.</t>
  </si>
  <si>
    <t>Bírságok, egyéb bevételek</t>
  </si>
  <si>
    <t>3.</t>
  </si>
  <si>
    <t>Működési támogatások</t>
  </si>
  <si>
    <t>3.1.</t>
  </si>
  <si>
    <t>Helyi Önkormányzatok általános működésének támogatása</t>
  </si>
  <si>
    <t>3.2.</t>
  </si>
  <si>
    <t>Központosított előirányzatokból a működési célúak</t>
  </si>
  <si>
    <t>3.3.</t>
  </si>
  <si>
    <t>Helyi önkormányzatok kiegészítő támogatása</t>
  </si>
  <si>
    <t>Egyéb működési bevételek</t>
  </si>
  <si>
    <t>4.1.</t>
  </si>
  <si>
    <t>Támogatásértékű működési bevételek összesen</t>
  </si>
  <si>
    <t>4.2.</t>
  </si>
  <si>
    <t>Működési célú pénzeszköz átvétel államháztartáson kívülről</t>
  </si>
  <si>
    <t>4.3.</t>
  </si>
  <si>
    <t>Előző évi működési célú előirányzat-maradvány, pénzmaradvány átvétel</t>
  </si>
  <si>
    <t>4.4.</t>
  </si>
  <si>
    <t>Előző évi költségvetési kiegészítések, visszatérülések</t>
  </si>
  <si>
    <t>Működési bevételek (1+2+3+4)</t>
  </si>
  <si>
    <t>Felhalmozási és tőkejellegű bevételek</t>
  </si>
  <si>
    <t>5.1.</t>
  </si>
  <si>
    <t>Tárgyi eszközök, immateriális javak értékesítése</t>
  </si>
  <si>
    <t>5.2.</t>
  </si>
  <si>
    <t>Önkormányzatok sajátos felhalmozási és tőke bevételei</t>
  </si>
  <si>
    <t>Felhalmozási támogatások</t>
  </si>
  <si>
    <t>6.1.</t>
  </si>
  <si>
    <t>Köpontosított előirányzatokból fejlesztési célúak</t>
  </si>
  <si>
    <t>6.2.</t>
  </si>
  <si>
    <t>Fejlesztési célú támogatások</t>
  </si>
  <si>
    <t>Egyéb felhalmozási bevételek</t>
  </si>
  <si>
    <t>7.1.</t>
  </si>
  <si>
    <t>Támogatásértékű felhalmozási bevételek összesen</t>
  </si>
  <si>
    <t>7.2.</t>
  </si>
  <si>
    <t>Felhalmozási célú pénzeszközátvétel államháztartáson kívülről</t>
  </si>
  <si>
    <t>7.3.</t>
  </si>
  <si>
    <t>előző évi felhalmozási célú előirányzat-maradvány</t>
  </si>
  <si>
    <t>Felhalmozási bevételek (5+6+7)</t>
  </si>
  <si>
    <t>Támogatási kölcsönök visszatérülése</t>
  </si>
  <si>
    <t>Pénzforgalom nélküli bevételek</t>
  </si>
  <si>
    <t>B.</t>
  </si>
  <si>
    <t>Költségvetési bevételek összesen (I+II+III+IV)</t>
  </si>
  <si>
    <t>A.Költségvetési kiadások és B.költségvetési bevételek egyenlege (A-B)</t>
  </si>
  <si>
    <t>Pénzmaradvány igénybevétele</t>
  </si>
  <si>
    <t>Működési célra</t>
  </si>
  <si>
    <t>Felhalmozási célra</t>
  </si>
  <si>
    <t>C.</t>
  </si>
  <si>
    <t>Költségvetési hiány belső finanszírozására szolgáló pénzforgalom nélküli bevételek (V)</t>
  </si>
  <si>
    <t>VI.</t>
  </si>
  <si>
    <t>Értékpapír értékesítésének bevétele</t>
  </si>
  <si>
    <t>VII.</t>
  </si>
  <si>
    <t>Hitelek felvétele</t>
  </si>
  <si>
    <t xml:space="preserve">Működési célú hitel felvétele </t>
  </si>
  <si>
    <t>Felhalmozási célú hitel felvétele</t>
  </si>
  <si>
    <t>Bérhitel</t>
  </si>
  <si>
    <t>Folyószámlahitel</t>
  </si>
  <si>
    <t>D.</t>
  </si>
  <si>
    <t>Költségvetési hiány belső finanszírozását meghaladó összegének külső finanszírozására szolgáló bevételek  (VI+VII)</t>
  </si>
  <si>
    <t>E.</t>
  </si>
  <si>
    <t>Finanszírozási bevételek (C+D)</t>
  </si>
  <si>
    <t>VIII.</t>
  </si>
  <si>
    <t>Felügyeleti szervi támogatás</t>
  </si>
  <si>
    <t>IX.</t>
  </si>
  <si>
    <t>Hitelek törlesztése</t>
  </si>
  <si>
    <t>Működési célú hitel törlesztése (folyószámlahitel)</t>
  </si>
  <si>
    <t>Működési célú hitel törlesztése (éven túli)</t>
  </si>
  <si>
    <t>Felhalmozási célú hitel törlesztése</t>
  </si>
  <si>
    <t>F.</t>
  </si>
  <si>
    <t>Finanszírozási kiadások összesen (VIII+IX)</t>
  </si>
  <si>
    <t>G.</t>
  </si>
  <si>
    <t>Tárgyévi kiadások  össsesen (A+F)</t>
  </si>
  <si>
    <t>H.</t>
  </si>
  <si>
    <t>Tárgyévi bevételek összesen (B+E)</t>
  </si>
  <si>
    <t>1.melléklet</t>
  </si>
  <si>
    <t>Irányítószerv alá tartozó költségvetési szervnek folyósított támogatás</t>
  </si>
  <si>
    <t>9.</t>
  </si>
  <si>
    <t>10.</t>
  </si>
  <si>
    <t>11.</t>
  </si>
  <si>
    <t>Felhalmozási kiadások feladatonként</t>
  </si>
  <si>
    <t>Felhalmozási kiadás  megnevezése</t>
  </si>
  <si>
    <t>Kivitelezés kezdési és befejezési éve</t>
  </si>
  <si>
    <t>Felújítási kiadások célonként</t>
  </si>
  <si>
    <t>Dózsa 324 épület energetikai felújítás</t>
  </si>
  <si>
    <t>Beruházási kiadások feladatonként</t>
  </si>
  <si>
    <t>ÖSSZESEN:</t>
  </si>
  <si>
    <t>3.melléklet</t>
  </si>
  <si>
    <t>Önkormányzatok által folyósított ellátások részletezése</t>
  </si>
  <si>
    <t>5.melléklet</t>
  </si>
  <si>
    <t>Eredeti előirányzat</t>
  </si>
  <si>
    <t>Rendszeres szociális segély az SZt. 37/B (1) bek. b-c) pontok szerint</t>
  </si>
  <si>
    <t>01</t>
  </si>
  <si>
    <t>Rendszeres szociális segély az SZt. 37/B (1) bek. d) pont szerint</t>
  </si>
  <si>
    <t>Rendszeres szociális segély egészségkárosodott személyek részére az SZt. 37/B (1) bek. a) pont szerint</t>
  </si>
  <si>
    <t>Önkormányzat által folyósított ellátás kereső tevékenység mellett Szt. 37/E (1) bek.</t>
  </si>
  <si>
    <t>Közcélú munka Szt. 36. §.</t>
  </si>
  <si>
    <t xml:space="preserve">Idõskorúak járadéka </t>
  </si>
  <si>
    <t xml:space="preserve">Adósságkezelési szolgáltatásban részesülőknek kifizetett lakásfenntartási támogatás </t>
  </si>
  <si>
    <t>Lakásfenntartási támogatás  (helyi megállapítás)</t>
  </si>
  <si>
    <t xml:space="preserve">Ápolási díj  (normatív) </t>
  </si>
  <si>
    <t xml:space="preserve">Ápolási díj   (helyi megállapítás) </t>
  </si>
  <si>
    <t xml:space="preserve">Átmeneti segély </t>
  </si>
  <si>
    <t xml:space="preserve">Temetési segély Szt. </t>
  </si>
  <si>
    <t xml:space="preserve">Rendszeres gyermekvédelmi kedvezményben részesülők pénzbeli támogatása (Gyvt. 20/A.§) </t>
  </si>
  <si>
    <t>Kiegészítő gyermekvédelmi támogatás és a kiegészítő gyermekvédelmi támogatás pótléka (Gyvt. 20/B.§)</t>
  </si>
  <si>
    <t>Rendkívüli gyermekvédelmi támogatás Gyvt. 21.§ (helyi megállapítás)</t>
  </si>
  <si>
    <t>Rászorultságtól függõ pénzbeli szociális, gyermekvédelmi ellátások összesen (01+...+19)</t>
  </si>
  <si>
    <t>Természetben nyújtott lakásfenntartási támogatás Szt. 47.§ (1) bek. b) pont</t>
  </si>
  <si>
    <t>Természetben nyújtott rendszeres szociális segély (Szt. 45.§ (1) bek. a) pont)</t>
  </si>
  <si>
    <t>Adósságkezelési szolgáltatás keretében gáz-vagy áram fogyasztást mérő készülék biztosítása (Szt. 55/A. § (3) bek.)</t>
  </si>
  <si>
    <t>Átmeneti segély Szt. 47.§ (1) bek. c) pont</t>
  </si>
  <si>
    <t>Köztemetés Szt. 48.§</t>
  </si>
  <si>
    <t xml:space="preserve">Közgyógyellátás Szt. 49.§ </t>
  </si>
  <si>
    <t>Rászorultságtól függõ normatív kedvezmények (Gyvt. 148.§ (5) bek., Közokt. tv. 10.§ (4) bek., Tpr.tv. 8.§ (4) bek.)</t>
  </si>
  <si>
    <t>Étkeztetés (Szt. 62.§)</t>
  </si>
  <si>
    <t>Házi segítségnyújtás (Szt. 63.§)</t>
  </si>
  <si>
    <t>Rendkívüli gyermekvédelmi támogatás (Gyvt. 18. § (5) bek. alapján.)</t>
  </si>
  <si>
    <t>Természetben nyújtott szociális ellátások összesen (21+…+31)</t>
  </si>
  <si>
    <t>Önkormányzatok által folyósított szociális, gyermekvédelmi 
ellátások összesen (20+32)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</si>
  <si>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</si>
  <si>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 (szociális tüzifa)</t>
  </si>
  <si>
    <t>Önkormányzatok által folyósított ellátások összesen (33+34+35)</t>
  </si>
  <si>
    <t>Működési célú pénzeszköz-átadások részletezése</t>
  </si>
  <si>
    <t>Működési célú pénzeszköz átadás ÁHT-n belül</t>
  </si>
  <si>
    <t>Hévízi TASZI</t>
  </si>
  <si>
    <t>Keszthelyi Kistérségi támogatás ( belső ellenőr)</t>
  </si>
  <si>
    <t>Működési célú pénzeszköz átadás ÁHT-n belül összesen</t>
  </si>
  <si>
    <t>Működési célú pénzeszköz átadás ÁHT-n kívül</t>
  </si>
  <si>
    <t>Érző Lélek Alapítvány</t>
  </si>
  <si>
    <t>Értelmifogyatékos Gyerekekért Alapítvány</t>
  </si>
  <si>
    <t>Máltai Szeretetszolgálat</t>
  </si>
  <si>
    <t>Sármelléki Polgárőrség</t>
  </si>
  <si>
    <t>Sármelléki Sportegyesület</t>
  </si>
  <si>
    <t>Országos Mentőszolg.Alapítvány</t>
  </si>
  <si>
    <t>RNÖ</t>
  </si>
  <si>
    <t>Erdős Bt (Iskola e.ü.)</t>
  </si>
  <si>
    <t>Bursa Hungarica ösztöndíj-támogatás</t>
  </si>
  <si>
    <t>Működési célú pénzeszköz átadás ÁHT-n kívül összesen</t>
  </si>
  <si>
    <t>Működési célú pénzeszköz átadás  összesen</t>
  </si>
  <si>
    <t>Összesen</t>
  </si>
  <si>
    <t>ÁMK</t>
  </si>
  <si>
    <t>Felügyeleti szervtől kapott támogatás</t>
  </si>
  <si>
    <t>Értékpapír vásárlásainak kiadása</t>
  </si>
  <si>
    <t>10.melléklet</t>
  </si>
  <si>
    <t>11.melléklet</t>
  </si>
  <si>
    <t>Sármelléki Közös Önkormányzati Hivatal</t>
  </si>
  <si>
    <t>Sármelléki Római Katolikus Plébánia</t>
  </si>
  <si>
    <t xml:space="preserve"> előirányzat (eFt)</t>
  </si>
  <si>
    <t xml:space="preserve">Közös Önk.Hiv. eredeti </t>
  </si>
  <si>
    <t>Közös Önk.Hiv. módosított</t>
  </si>
  <si>
    <t>Kötelező feladat módosított</t>
  </si>
  <si>
    <t>Kötelező feladat eredeti</t>
  </si>
  <si>
    <t>Önként vállalt feladat eredeti</t>
  </si>
  <si>
    <t>Önként vállalt feladat módosított</t>
  </si>
  <si>
    <t xml:space="preserve">Önként vállalt feladat eredeti </t>
  </si>
  <si>
    <t>Államháztartáson belüli megelőlegezések</t>
  </si>
  <si>
    <t>Módosított előirányzat</t>
  </si>
  <si>
    <t>Felhalmozási célú pénzeszköz átadás</t>
  </si>
  <si>
    <t>Sármellékért Nonprofit</t>
  </si>
  <si>
    <t>Dózsa 324 felújítása</t>
  </si>
  <si>
    <t>ÁMK teljesítés</t>
  </si>
  <si>
    <t>Kötelező feladat teljesítés</t>
  </si>
  <si>
    <t>Önként vállalt feladat teljesítés</t>
  </si>
  <si>
    <t>Közös Önk.Hiv. teljesítés</t>
  </si>
  <si>
    <t>Kötelező feladat telejsítés</t>
  </si>
  <si>
    <t xml:space="preserve"> (eFt)</t>
  </si>
  <si>
    <t>Teljesítés</t>
  </si>
  <si>
    <t>Sármellék Önk. Teljesítés</t>
  </si>
  <si>
    <t>Sármellék Község Önkormányzata és intézményei összesen</t>
  </si>
  <si>
    <t>Maradvány kimutatás</t>
  </si>
  <si>
    <t>eFt</t>
  </si>
  <si>
    <t>sr.</t>
  </si>
  <si>
    <t>összeg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</si>
  <si>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</si>
  <si>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</si>
  <si>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</si>
  <si>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</si>
  <si>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</si>
  <si>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</si>
  <si>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 3+6</t>
  </si>
  <si>
    <t>Vállalkozásitevékenység költségvetési bevételei</t>
  </si>
  <si>
    <t>Vállalkozási tevékenység költségvetési kiadásai</t>
  </si>
  <si>
    <t>Vállalkozási tevékenység költségvetési egyenlege</t>
  </si>
  <si>
    <t>Vállalkozási tevékenység finanszírozási bevételei</t>
  </si>
  <si>
    <t>12.</t>
  </si>
  <si>
    <t>Vállalkozási tevékenység finanszírozási kiadásai</t>
  </si>
  <si>
    <t>13.</t>
  </si>
  <si>
    <t>Vállalkozási tevékenység finanszírozási egyenlege</t>
  </si>
  <si>
    <t>14.</t>
  </si>
  <si>
    <t>Vállalkozási tevékenység maradványa 10.+13.</t>
  </si>
  <si>
    <t>15.</t>
  </si>
  <si>
    <t>16.</t>
  </si>
  <si>
    <t>Alaptevékenség kötelezettségvállalással terhelt maradványa</t>
  </si>
  <si>
    <t>17.</t>
  </si>
  <si>
    <t>18.</t>
  </si>
  <si>
    <t>Vállalkozási tevékenységet terhelő befizetési kötelezettség</t>
  </si>
  <si>
    <t>19.</t>
  </si>
  <si>
    <t>Vállalkozási tevékenység felhasználható maradványa</t>
  </si>
  <si>
    <t>Sármellék Község Önkormányzata és Intézményei összesen</t>
  </si>
  <si>
    <t xml:space="preserve">ÁMK Sármellék </t>
  </si>
  <si>
    <t>20.</t>
  </si>
  <si>
    <t>Maradvány korrekció</t>
  </si>
  <si>
    <t>Alaptevékenység szabad pénzmaradványa</t>
  </si>
  <si>
    <t>Összes pénzmaradvány 7.+15.</t>
  </si>
  <si>
    <t>Többéves kihatással járó kötelezettségvállalások listája</t>
  </si>
  <si>
    <t>Sor-
szám</t>
  </si>
  <si>
    <t>Kötelezettség jogcíme</t>
  </si>
  <si>
    <t>Köt. váll.
 éve</t>
  </si>
  <si>
    <t>2014. előtti kifizetés</t>
  </si>
  <si>
    <t>Kiadás vonzata évenként</t>
  </si>
  <si>
    <t>2014.</t>
  </si>
  <si>
    <t>2015.</t>
  </si>
  <si>
    <t>2016.</t>
  </si>
  <si>
    <t>2016. után</t>
  </si>
  <si>
    <t>9=(4+5+6+7+8)</t>
  </si>
  <si>
    <t>Működési célú hiteltörlesztés tőke</t>
  </si>
  <si>
    <t>Felhalmozási célú hiteltörlesztés (tőke+kamat)</t>
  </si>
  <si>
    <t>Beruházás feladatonként</t>
  </si>
  <si>
    <t>Felújítás célonként</t>
  </si>
  <si>
    <t xml:space="preserve">Egyéb </t>
  </si>
  <si>
    <t>Összesen (1+4+7+9+11)</t>
  </si>
  <si>
    <t>7.melléklet</t>
  </si>
  <si>
    <t xml:space="preserve">Adott, közvetett támogatások  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</si>
  <si>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</si>
  <si>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</si>
  <si>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</si>
  <si>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</si>
  <si>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</si>
  <si>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</si>
  <si>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</si>
  <si>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</si>
  <si>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</si>
  <si>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</si>
  <si>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</si>
  <si>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</si>
  <si>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</si>
  <si>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</si>
  <si>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</si>
  <si>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</si>
  <si>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</si>
  <si>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</si>
  <si>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</si>
  <si>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</si>
  <si>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Összesen:</t>
  </si>
  <si>
    <t>6.melléklet</t>
  </si>
  <si>
    <t>Adósságállomány</t>
  </si>
  <si>
    <t>Hitelek</t>
  </si>
  <si>
    <t>Összeg</t>
  </si>
  <si>
    <t>Lejárat</t>
  </si>
  <si>
    <t>Hitelező</t>
  </si>
  <si>
    <t>Hosszúlejáratú működési célú hitel</t>
  </si>
  <si>
    <t>8.melléklet</t>
  </si>
  <si>
    <t>Vagyonkimutatás</t>
  </si>
  <si>
    <t>Befektetett eszközök</t>
  </si>
  <si>
    <t>Immateriális javak</t>
  </si>
  <si>
    <t>Törzsvagyon forgalomképes</t>
  </si>
  <si>
    <t>Törzsvagyon forgalomképtelen</t>
  </si>
  <si>
    <t>Törzsvagyonon kívüli egyéb vagyon</t>
  </si>
  <si>
    <t>Tárgyi eszközök</t>
  </si>
  <si>
    <t>Ingalanok és a kapcsolódó vagyoni értékű jogok</t>
  </si>
  <si>
    <t>Korlátozottan forgalomképes törzsvagyon</t>
  </si>
  <si>
    <t>Forgalomképtelen törzsvagyon</t>
  </si>
  <si>
    <t>Üzleti vagyon</t>
  </si>
  <si>
    <t>Gépek berendezések és felszerelések</t>
  </si>
  <si>
    <t>Járművek</t>
  </si>
  <si>
    <t>Tenyészállatok</t>
  </si>
  <si>
    <t>Beruházások, felújítások</t>
  </si>
  <si>
    <t>Beruházásra adott előlegek</t>
  </si>
  <si>
    <t>Állami készletek, tartalékok</t>
  </si>
  <si>
    <t>Tárgyi eszközök értékhelyesbítése</t>
  </si>
  <si>
    <t>Befektetett pénzügyi eszközök</t>
  </si>
  <si>
    <t>Egyéb tartós részesedés</t>
  </si>
  <si>
    <t>Tartós hitelviszonyt megtestesítő értékpapír</t>
  </si>
  <si>
    <t>tartósan adott kölcsön</t>
  </si>
  <si>
    <t>Hosszú lejáratú bankbetétek</t>
  </si>
  <si>
    <t>Egyéb hosszú lejáratú követelések</t>
  </si>
  <si>
    <t>Befektetett pénzügyi eszközök értékhelyesbítése</t>
  </si>
  <si>
    <t>Üzemeltetésre, kezelésre átadott, koncesszióba, vagyonkezelésbe adott, illetve vett eszközök</t>
  </si>
  <si>
    <t>FORGÓESZKÖZÖK</t>
  </si>
  <si>
    <t>Készletek</t>
  </si>
  <si>
    <t>Követelések</t>
  </si>
  <si>
    <t>Értékpapírok</t>
  </si>
  <si>
    <t>Pénzeszközök</t>
  </si>
  <si>
    <t>Egyéb aktív pénzügyi elszámolások</t>
  </si>
  <si>
    <t>ESZKÖZÖK ÖSSZESEN</t>
  </si>
  <si>
    <t>FORRÁSOK</t>
  </si>
  <si>
    <t>Saját tőke</t>
  </si>
  <si>
    <t>Nemzeti vagyon induláskori értéke</t>
  </si>
  <si>
    <t>Mérleg szerinti eredmény</t>
  </si>
  <si>
    <t>TARTALÉKOK</t>
  </si>
  <si>
    <t>KÖTELEZETTSÉGEK</t>
  </si>
  <si>
    <t>Hosszú lejáratú kötelezettségek</t>
  </si>
  <si>
    <t>Rövid lejártú kötelezettségek</t>
  </si>
  <si>
    <t>Egyéb passzív pénzügyi elszámolások</t>
  </si>
  <si>
    <t>FORRÁSOK ÖSSZESEN</t>
  </si>
  <si>
    <t>Stabilitási tv 3§-aszerinti adósságot keletkeztető ügyletek és értékei</t>
  </si>
  <si>
    <t>Adósságot keletkezetető ügylet neve:</t>
  </si>
  <si>
    <t>Összege:</t>
  </si>
  <si>
    <t>Köt. váll.
 Összege</t>
  </si>
  <si>
    <t>Fennmaradó összeg:</t>
  </si>
  <si>
    <t>2015. törlesztés</t>
  </si>
  <si>
    <t>Részesedések alakulása</t>
  </si>
  <si>
    <t>Sr.</t>
  </si>
  <si>
    <t>összesen:</t>
  </si>
  <si>
    <t>13.melléklet</t>
  </si>
  <si>
    <t>Sármellékért Nonprofit Közhasznú Kft</t>
  </si>
  <si>
    <t>ZSA Kft</t>
  </si>
  <si>
    <t xml:space="preserve">DRV </t>
  </si>
  <si>
    <t>Tartós Tőke</t>
  </si>
  <si>
    <t>Tőke változás</t>
  </si>
  <si>
    <t>Költségvetési tartalékok</t>
  </si>
  <si>
    <t>Vállalkozási tartalékok</t>
  </si>
  <si>
    <t>Egyéb sajátos eszközelszámoás</t>
  </si>
  <si>
    <t>Egyéb eszközök induláskori értéke és változásai</t>
  </si>
  <si>
    <t>Felhalmozott eredmény</t>
  </si>
  <si>
    <t>Eszközök értékhelyesbítésének forrása</t>
  </si>
  <si>
    <t>9. melléklet</t>
  </si>
  <si>
    <t>ÁMK összesen eredeti</t>
  </si>
  <si>
    <t>ÁMK összesen módosított</t>
  </si>
  <si>
    <t>Kötelező feladat módosítás</t>
  </si>
  <si>
    <t>Önként vállalt feladat módosítás</t>
  </si>
  <si>
    <t>2015 évi  előirányzat (eFt)</t>
  </si>
  <si>
    <t xml:space="preserve">2015 ÉVI Zárszámadás </t>
  </si>
  <si>
    <t xml:space="preserve">2015 ÉVI KÖLTSÉGVETÉS  </t>
  </si>
  <si>
    <t>15.melléklet</t>
  </si>
  <si>
    <t>Sármellék Önkorm. Eredeti</t>
  </si>
  <si>
    <t>Sármellék Önkorm. Módosított</t>
  </si>
  <si>
    <t>Előző évi állami támogatás visszafizetés</t>
  </si>
  <si>
    <t>Kötött  céltartalék közös hiv. állami t. miatt, koncessziós díj+bank szla , lakásért.bev. jmiatt</t>
  </si>
  <si>
    <t>Ffelhalmozási célú támogatásérétkű kiadás</t>
  </si>
  <si>
    <t>Önkormányzatok sajátos működési bevételei, közhatalmi bevételek</t>
  </si>
  <si>
    <t>ÁFA visszaigénylés</t>
  </si>
  <si>
    <t>Felhalmozási célú visszatérítendő támogatások visszatérülése államháztartáson kívülről</t>
  </si>
  <si>
    <t>X.</t>
  </si>
  <si>
    <t>Államháztartáson belüli megelőlegezések visszafizetése</t>
  </si>
  <si>
    <t xml:space="preserve">Sármellék Önkorm. </t>
  </si>
  <si>
    <t xml:space="preserve">Kötelező feladat </t>
  </si>
  <si>
    <t xml:space="preserve">Önként vállalt feladat </t>
  </si>
  <si>
    <t>2015 évi  teljesítés (eFt)</t>
  </si>
  <si>
    <t>Sármellék összesen eredeti</t>
  </si>
  <si>
    <t>2015 évi eredeti előirányzat (eFt)</t>
  </si>
  <si>
    <t>Kötött-,  céltartalék</t>
  </si>
  <si>
    <t>Felhalmozási célú támogatásérétkű kiadás</t>
  </si>
  <si>
    <r>
      <t xml:space="preserve">Költségvetési kiadások összesen </t>
    </r>
    <r>
      <rPr>
        <i/>
        <sz val="16"/>
        <rFont val="Times New Roman"/>
        <family val="1"/>
        <charset val="238"/>
      </rPr>
      <t>(I+II+III+IV+V)</t>
    </r>
  </si>
  <si>
    <t xml:space="preserve">Államháztartáson belüli megelőlegezések </t>
  </si>
  <si>
    <t>2015 évi zárszámadás</t>
  </si>
  <si>
    <t>Teljes költség</t>
  </si>
  <si>
    <t>Felhasználás
2014. XII.31-ig</t>
  </si>
  <si>
    <t>2015. évi előirányzat eredeti</t>
  </si>
  <si>
    <t>2015. évi módosított előirányzat</t>
  </si>
  <si>
    <t>traktor felújítás</t>
  </si>
  <si>
    <t>szennyvízakna felújítás</t>
  </si>
  <si>
    <t>buszvráró (Hévíz)</t>
  </si>
  <si>
    <t>ÁMK hangosítás</t>
  </si>
  <si>
    <t>termőföld vásárlás 09/1</t>
  </si>
  <si>
    <t>közfoglalk. Eszköz támog.</t>
  </si>
  <si>
    <t>egyéb kisértékű tárgyi eszk.</t>
  </si>
  <si>
    <t>teljesítés
(6=2 - 4 - 5)</t>
  </si>
  <si>
    <t>ezer forintban</t>
  </si>
  <si>
    <t>FHT</t>
  </si>
  <si>
    <t>Lakásfenntartási támogatás t (államilag kötelező normatív)</t>
  </si>
  <si>
    <t>Egyéb önkormányzati támogatás, teljesítés nem könyvelhető</t>
  </si>
  <si>
    <t>Egyéb, az önkormányzat rendeletében megállapított juttatás babakötvény</t>
  </si>
  <si>
    <t>Temetési segély Szt. 47.§ (1) bek. d) pont (önkormányzati segély)</t>
  </si>
  <si>
    <t>2015 ÉVI Zárszámadás</t>
  </si>
  <si>
    <t xml:space="preserve"> 2015 évi zárszámadás</t>
  </si>
  <si>
    <t>2015 évi Zárszámadás</t>
  </si>
  <si>
    <t>2015 ÉVI ZÁRSZÁMADÁS</t>
  </si>
  <si>
    <t xml:space="preserve">2015 év Zárszámadás </t>
  </si>
  <si>
    <t>2015 Évi költségvetés</t>
  </si>
  <si>
    <t>Keszthelyi és Környéke többcélú Kistérségi Társulás 2014 után</t>
  </si>
  <si>
    <t>Keszthelyi és Környéke többcélú Kistérségi Társulás 2015</t>
  </si>
  <si>
    <t>Kármentesítő társulás támogatása</t>
  </si>
  <si>
    <t>Sármellékért Közh. Nonpr. Kft</t>
  </si>
  <si>
    <t>Lakossági víz és csatorna támogatás</t>
  </si>
  <si>
    <t>Műk. Célú támog nyújtása háztartásnak</t>
  </si>
  <si>
    <t>Működési célú pénzeszköz átadás ÁHT-n belűl és kívül összesen</t>
  </si>
  <si>
    <t>Felhalmozási célú pe.átadás Sármelléki Sport Egy.</t>
  </si>
  <si>
    <t>Felhalmozási célú pe.átadás, Római Katolikus Plébánia</t>
  </si>
  <si>
    <t>Sármelléki Polgárőrség kisbusz vásárlás támogatása</t>
  </si>
  <si>
    <t>Játszótéri támogatás</t>
  </si>
  <si>
    <t>Felhalmozási célúcélú pénzeszköz átadás  összesen</t>
  </si>
  <si>
    <t>2015 Zárszámadás</t>
  </si>
  <si>
    <t>Vajda Öreg Diákok</t>
  </si>
  <si>
    <t>Öreg Gólyák</t>
  </si>
  <si>
    <t>Nemzeti vagyon változásai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</si>
</sst>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#,##0\ _F_t"/>
    <numFmt numFmtId="165" formatCode="_-* #,##0.00\ _€_-;\-* #,##0.00\ _€_-;_-* &quot;-&quot;??\ _€_-;_-@_-"/>
    <numFmt numFmtId="166" formatCode="_-* #,##0\ _F_t_-;\-* #,##0\ _F_t_-;_-* &quot;-&quot;??\ _F_t_-;_-@_-"/>
    <numFmt numFmtId="167" formatCode="#,###"/>
    <numFmt numFmtId="168" formatCode="0__"/>
    <numFmt numFmtId="169" formatCode="#"/>
    <numFmt numFmtId="170" formatCode="#,##0_ ;\-#,##0\ "/>
  </numFmts>
  <fonts count="4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Arial"/>
      <family val="2"/>
      <charset val="238"/>
    </font>
    <font>
      <b/>
      <sz val="13"/>
      <name val="Times New Roman"/>
      <family val="1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4"/>
      <name val="Times New Roman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sz val="14"/>
      <name val="Arial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14"/>
      <name val="Times New Roman CE"/>
      <charset val="238"/>
    </font>
    <font>
      <b/>
      <sz val="14"/>
      <name val="Arial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b/>
      <sz val="16"/>
      <name val="Arial CE"/>
      <charset val="238"/>
    </font>
    <font>
      <b/>
      <sz val="10"/>
      <name val="Arial CE"/>
      <charset val="238"/>
    </font>
    <font>
      <sz val="16"/>
      <name val="Arial CE"/>
      <charset val="238"/>
    </font>
    <font>
      <b/>
      <i/>
      <sz val="16"/>
      <name val="Times New Roman"/>
      <family val="1"/>
      <charset val="238"/>
    </font>
    <font>
      <i/>
      <sz val="16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0625">
        <bgColor indexed="43"/>
      </patternFill>
    </fill>
    <fill>
      <patternFill patternType="gray0625">
        <bgColor rgb="FFFFFF99"/>
      </patternFill>
    </fill>
    <fill>
      <patternFill patternType="solid">
        <fgColor indexed="9"/>
        <bgColor indexed="64"/>
      </patternFill>
    </fill>
    <fill>
      <patternFill patternType="gray0625">
        <bgColor indexed="41"/>
      </patternFill>
    </fill>
    <fill>
      <patternFill patternType="gray0625">
        <bgColor indexed="31"/>
      </patternFill>
    </fill>
    <fill>
      <patternFill patternType="gray0625">
        <bgColor rgb="FFCCCCFF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5" fillId="0" borderId="0"/>
  </cellStyleXfs>
  <cellXfs count="684">
    <xf numFmtId="0" fontId="0" fillId="0" borderId="0" xfId="0"/>
    <xf numFmtId="0" fontId="3" fillId="0" borderId="0" xfId="3" applyFont="1" applyAlignment="1">
      <alignment vertical="center"/>
    </xf>
    <xf numFmtId="0" fontId="5" fillId="0" borderId="1" xfId="3" applyFont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/>
    </xf>
    <xf numFmtId="164" fontId="7" fillId="0" borderId="3" xfId="3" applyNumberFormat="1" applyFont="1" applyBorder="1" applyAlignment="1">
      <alignment horizontal="center" vertical="center"/>
    </xf>
    <xf numFmtId="164" fontId="7" fillId="0" borderId="5" xfId="2" applyNumberFormat="1" applyFont="1" applyFill="1" applyBorder="1" applyAlignment="1">
      <alignment horizontal="center"/>
    </xf>
    <xf numFmtId="166" fontId="3" fillId="0" borderId="6" xfId="1" applyNumberFormat="1" applyFont="1" applyBorder="1" applyAlignment="1">
      <alignment vertical="center"/>
    </xf>
    <xf numFmtId="164" fontId="7" fillId="0" borderId="7" xfId="3" applyNumberFormat="1" applyFont="1" applyBorder="1" applyAlignment="1">
      <alignment horizontal="center" vertical="center"/>
    </xf>
    <xf numFmtId="0" fontId="7" fillId="0" borderId="5" xfId="3" applyFont="1" applyBorder="1" applyAlignment="1">
      <alignment horizontal="left" vertical="center"/>
    </xf>
    <xf numFmtId="164" fontId="7" fillId="0" borderId="8" xfId="3" applyNumberFormat="1" applyFont="1" applyBorder="1" applyAlignment="1">
      <alignment horizontal="center" vertical="center"/>
    </xf>
    <xf numFmtId="164" fontId="7" fillId="0" borderId="5" xfId="3" applyNumberFormat="1" applyFont="1" applyBorder="1" applyAlignment="1">
      <alignment horizontal="center" vertical="center"/>
    </xf>
    <xf numFmtId="164" fontId="7" fillId="0" borderId="5" xfId="2" applyNumberFormat="1" applyFont="1" applyBorder="1" applyAlignment="1">
      <alignment horizontal="center"/>
    </xf>
    <xf numFmtId="164" fontId="7" fillId="0" borderId="7" xfId="2" applyNumberFormat="1" applyFont="1" applyBorder="1" applyAlignment="1">
      <alignment horizontal="center"/>
    </xf>
    <xf numFmtId="0" fontId="0" fillId="0" borderId="5" xfId="0" applyBorder="1"/>
    <xf numFmtId="164" fontId="7" fillId="0" borderId="3" xfId="2" applyNumberFormat="1" applyFont="1" applyBorder="1" applyAlignment="1">
      <alignment horizontal="center"/>
    </xf>
    <xf numFmtId="164" fontId="4" fillId="0" borderId="5" xfId="2" applyNumberFormat="1" applyFont="1" applyBorder="1" applyAlignment="1">
      <alignment horizontal="center"/>
    </xf>
    <xf numFmtId="164" fontId="4" fillId="0" borderId="3" xfId="2" applyNumberFormat="1" applyFont="1" applyBorder="1" applyAlignment="1">
      <alignment horizontal="center"/>
    </xf>
    <xf numFmtId="164" fontId="7" fillId="3" borderId="3" xfId="2" applyNumberFormat="1" applyFont="1" applyFill="1" applyBorder="1" applyAlignment="1">
      <alignment horizontal="center"/>
    </xf>
    <xf numFmtId="0" fontId="2" fillId="0" borderId="4" xfId="3" applyFont="1" applyBorder="1" applyAlignment="1">
      <alignment horizontal="center" vertical="center"/>
    </xf>
    <xf numFmtId="164" fontId="2" fillId="0" borderId="5" xfId="2" applyNumberFormat="1" applyFont="1" applyBorder="1" applyAlignment="1">
      <alignment horizontal="center"/>
    </xf>
    <xf numFmtId="164" fontId="2" fillId="0" borderId="9" xfId="2" applyNumberFormat="1" applyFont="1" applyBorder="1" applyAlignment="1">
      <alignment horizontal="center"/>
    </xf>
    <xf numFmtId="164" fontId="2" fillId="0" borderId="6" xfId="2" applyNumberFormat="1" applyFont="1" applyBorder="1" applyAlignment="1">
      <alignment horizontal="center"/>
    </xf>
    <xf numFmtId="0" fontId="7" fillId="2" borderId="4" xfId="3" applyFont="1" applyFill="1" applyBorder="1" applyAlignment="1">
      <alignment horizontal="center" vertical="center"/>
    </xf>
    <xf numFmtId="164" fontId="7" fillId="2" borderId="6" xfId="2" applyNumberFormat="1" applyFont="1" applyFill="1" applyBorder="1" applyAlignment="1">
      <alignment horizontal="center"/>
    </xf>
    <xf numFmtId="164" fontId="7" fillId="2" borderId="3" xfId="2" applyNumberFormat="1" applyFont="1" applyFill="1" applyBorder="1" applyAlignment="1">
      <alignment horizontal="center"/>
    </xf>
    <xf numFmtId="164" fontId="7" fillId="2" borderId="5" xfId="2" applyNumberFormat="1" applyFont="1" applyFill="1" applyBorder="1" applyAlignment="1">
      <alignment horizontal="center"/>
    </xf>
    <xf numFmtId="3" fontId="7" fillId="0" borderId="3" xfId="2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49" fontId="7" fillId="0" borderId="5" xfId="3" applyNumberFormat="1" applyFont="1" applyBorder="1" applyAlignment="1">
      <alignment horizontal="left"/>
    </xf>
    <xf numFmtId="0" fontId="4" fillId="0" borderId="4" xfId="3" applyFont="1" applyBorder="1" applyAlignment="1">
      <alignment horizontal="center" vertical="center"/>
    </xf>
    <xf numFmtId="3" fontId="7" fillId="0" borderId="7" xfId="2" applyNumberFormat="1" applyFont="1" applyBorder="1" applyAlignment="1">
      <alignment horizontal="center"/>
    </xf>
    <xf numFmtId="3" fontId="4" fillId="0" borderId="5" xfId="2" applyNumberFormat="1" applyFont="1" applyBorder="1" applyAlignment="1">
      <alignment horizontal="center"/>
    </xf>
    <xf numFmtId="3" fontId="4" fillId="0" borderId="7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7" xfId="2" applyNumberFormat="1" applyFont="1" applyBorder="1" applyAlignment="1">
      <alignment horizontal="center"/>
    </xf>
    <xf numFmtId="164" fontId="2" fillId="0" borderId="7" xfId="2" applyNumberFormat="1" applyFont="1" applyBorder="1" applyAlignment="1">
      <alignment horizontal="center"/>
    </xf>
    <xf numFmtId="49" fontId="7" fillId="0" borderId="5" xfId="3" applyNumberFormat="1" applyFont="1" applyBorder="1" applyAlignment="1">
      <alignment horizontal="right"/>
    </xf>
    <xf numFmtId="164" fontId="9" fillId="0" borderId="5" xfId="2" applyNumberFormat="1" applyFont="1" applyBorder="1" applyAlignment="1">
      <alignment horizontal="center"/>
    </xf>
    <xf numFmtId="164" fontId="2" fillId="0" borderId="3" xfId="2" applyNumberFormat="1" applyFont="1" applyBorder="1" applyAlignment="1">
      <alignment horizontal="center"/>
    </xf>
    <xf numFmtId="164" fontId="2" fillId="0" borderId="5" xfId="2" applyNumberFormat="1" applyFont="1" applyFill="1" applyBorder="1" applyAlignment="1">
      <alignment horizontal="center"/>
    </xf>
    <xf numFmtId="166" fontId="10" fillId="0" borderId="6" xfId="1" applyNumberFormat="1" applyFont="1" applyBorder="1" applyAlignment="1">
      <alignment vertical="center"/>
    </xf>
    <xf numFmtId="164" fontId="9" fillId="0" borderId="3" xfId="2" applyNumberFormat="1" applyFont="1" applyBorder="1" applyAlignment="1">
      <alignment horizontal="center"/>
    </xf>
    <xf numFmtId="164" fontId="2" fillId="0" borderId="5" xfId="3" applyNumberFormat="1" applyFont="1" applyBorder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6" xfId="3" applyNumberFormat="1" applyFont="1" applyBorder="1" applyAlignment="1">
      <alignment horizontal="center"/>
    </xf>
    <xf numFmtId="0" fontId="2" fillId="0" borderId="10" xfId="3" applyFont="1" applyBorder="1" applyAlignment="1">
      <alignment horizontal="center" vertical="center"/>
    </xf>
    <xf numFmtId="0" fontId="2" fillId="0" borderId="11" xfId="3" applyFont="1" applyBorder="1" applyAlignment="1">
      <alignment vertical="center"/>
    </xf>
    <xf numFmtId="164" fontId="2" fillId="0" borderId="12" xfId="3" applyNumberFormat="1" applyFont="1" applyBorder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 wrapText="1"/>
    </xf>
    <xf numFmtId="164" fontId="7" fillId="0" borderId="0" xfId="3" applyNumberFormat="1" applyFont="1" applyAlignment="1">
      <alignment horizontal="center" vertical="center" wrapText="1"/>
    </xf>
    <xf numFmtId="164" fontId="4" fillId="0" borderId="5" xfId="2" applyNumberFormat="1" applyFont="1" applyFill="1" applyBorder="1" applyAlignment="1">
      <alignment horizontal="center"/>
    </xf>
    <xf numFmtId="0" fontId="4" fillId="0" borderId="0" xfId="3" applyFont="1" applyBorder="1" applyAlignment="1">
      <alignment horizontal="right"/>
    </xf>
    <xf numFmtId="0" fontId="0" fillId="0" borderId="1" xfId="0" applyBorder="1"/>
    <xf numFmtId="0" fontId="0" fillId="0" borderId="4" xfId="0" applyBorder="1"/>
    <xf numFmtId="164" fontId="7" fillId="0" borderId="6" xfId="2" applyNumberFormat="1" applyFont="1" applyFill="1" applyBorder="1" applyAlignment="1">
      <alignment horizontal="center"/>
    </xf>
    <xf numFmtId="164" fontId="7" fillId="2" borderId="13" xfId="2" applyNumberFormat="1" applyFont="1" applyFill="1" applyBorder="1" applyAlignment="1">
      <alignment horizontal="center"/>
    </xf>
    <xf numFmtId="0" fontId="0" fillId="0" borderId="14" xfId="0" applyBorder="1"/>
    <xf numFmtId="164" fontId="4" fillId="0" borderId="6" xfId="2" applyNumberFormat="1" applyFont="1" applyFill="1" applyBorder="1" applyAlignment="1">
      <alignment horizontal="center"/>
    </xf>
    <xf numFmtId="164" fontId="2" fillId="0" borderId="6" xfId="2" applyNumberFormat="1" applyFont="1" applyFill="1" applyBorder="1" applyAlignment="1">
      <alignment horizontal="center"/>
    </xf>
    <xf numFmtId="0" fontId="0" fillId="0" borderId="10" xfId="0" applyBorder="1"/>
    <xf numFmtId="164" fontId="2" fillId="0" borderId="11" xfId="3" applyNumberFormat="1" applyFont="1" applyBorder="1" applyAlignment="1">
      <alignment horizontal="center"/>
    </xf>
    <xf numFmtId="167" fontId="14" fillId="0" borderId="0" xfId="4" applyNumberFormat="1" applyFont="1" applyFill="1" applyAlignment="1">
      <alignment horizontal="center" vertical="center" wrapText="1"/>
    </xf>
    <xf numFmtId="167" fontId="15" fillId="0" borderId="0" xfId="4" applyNumberFormat="1" applyFill="1" applyAlignment="1">
      <alignment vertical="center" wrapText="1"/>
    </xf>
    <xf numFmtId="167" fontId="14" fillId="0" borderId="0" xfId="4" applyNumberFormat="1" applyFont="1" applyFill="1" applyAlignment="1">
      <alignment vertical="center" wrapText="1"/>
    </xf>
    <xf numFmtId="167" fontId="15" fillId="0" borderId="0" xfId="4" applyNumberFormat="1" applyFill="1" applyAlignment="1">
      <alignment horizontal="center" vertical="center" wrapText="1"/>
    </xf>
    <xf numFmtId="167" fontId="16" fillId="0" borderId="0" xfId="4" applyNumberFormat="1" applyFont="1" applyFill="1" applyAlignment="1">
      <alignment horizontal="right" wrapText="1"/>
    </xf>
    <xf numFmtId="167" fontId="17" fillId="0" borderId="0" xfId="4" applyNumberFormat="1" applyFont="1" applyFill="1" applyAlignment="1">
      <alignment horizontal="right" wrapText="1"/>
    </xf>
    <xf numFmtId="167" fontId="18" fillId="0" borderId="15" xfId="4" applyNumberFormat="1" applyFont="1" applyFill="1" applyBorder="1" applyAlignment="1">
      <alignment horizontal="center" vertical="center" wrapText="1"/>
    </xf>
    <xf numFmtId="167" fontId="18" fillId="0" borderId="16" xfId="4" applyNumberFormat="1" applyFont="1" applyFill="1" applyBorder="1" applyAlignment="1">
      <alignment horizontal="center" vertical="center" wrapText="1"/>
    </xf>
    <xf numFmtId="167" fontId="18" fillId="0" borderId="17" xfId="4" applyNumberFormat="1" applyFont="1" applyFill="1" applyBorder="1" applyAlignment="1" applyProtection="1">
      <alignment horizontal="center" vertical="center" wrapText="1"/>
    </xf>
    <xf numFmtId="167" fontId="19" fillId="0" borderId="18" xfId="4" applyNumberFormat="1" applyFont="1" applyFill="1" applyBorder="1" applyAlignment="1" applyProtection="1">
      <alignment horizontal="center" vertical="center" wrapText="1"/>
    </xf>
    <xf numFmtId="167" fontId="19" fillId="0" borderId="19" xfId="4" applyNumberFormat="1" applyFont="1" applyFill="1" applyBorder="1" applyAlignment="1" applyProtection="1">
      <alignment horizontal="center" vertical="center" wrapText="1"/>
    </xf>
    <xf numFmtId="167" fontId="19" fillId="0" borderId="20" xfId="4" applyNumberFormat="1" applyFont="1" applyFill="1" applyBorder="1" applyAlignment="1" applyProtection="1">
      <alignment horizontal="center" vertical="center" wrapText="1"/>
    </xf>
    <xf numFmtId="167" fontId="20" fillId="0" borderId="4" xfId="4" applyNumberFormat="1" applyFont="1" applyFill="1" applyBorder="1" applyAlignment="1" applyProtection="1">
      <alignment horizontal="left" vertical="center" wrapText="1" indent="1"/>
      <protection locked="0"/>
    </xf>
    <xf numFmtId="167" fontId="21" fillId="0" borderId="5" xfId="4" applyNumberFormat="1" applyFont="1" applyFill="1" applyBorder="1" applyAlignment="1" applyProtection="1">
      <alignment vertical="center" wrapText="1"/>
      <protection locked="0"/>
    </xf>
    <xf numFmtId="1" fontId="21" fillId="0" borderId="5" xfId="4" applyNumberFormat="1" applyFont="1" applyFill="1" applyBorder="1" applyAlignment="1" applyProtection="1">
      <alignment vertical="center" wrapText="1"/>
      <protection locked="0"/>
    </xf>
    <xf numFmtId="167" fontId="21" fillId="0" borderId="6" xfId="4" applyNumberFormat="1" applyFont="1" applyFill="1" applyBorder="1" applyAlignment="1" applyProtection="1">
      <alignment vertical="center" wrapText="1"/>
    </xf>
    <xf numFmtId="167" fontId="22" fillId="0" borderId="4" xfId="4" applyNumberFormat="1" applyFont="1" applyFill="1" applyBorder="1" applyAlignment="1" applyProtection="1">
      <alignment horizontal="left" vertical="center" wrapText="1" indent="1"/>
      <protection locked="0"/>
    </xf>
    <xf numFmtId="167" fontId="23" fillId="0" borderId="4" xfId="4" applyNumberFormat="1" applyFont="1" applyFill="1" applyBorder="1" applyAlignment="1" applyProtection="1">
      <alignment horizontal="left" vertical="center" wrapText="1" indent="1"/>
      <protection locked="0"/>
    </xf>
    <xf numFmtId="167" fontId="23" fillId="0" borderId="21" xfId="4" applyNumberFormat="1" applyFont="1" applyFill="1" applyBorder="1" applyAlignment="1" applyProtection="1">
      <alignment horizontal="left" vertical="center" wrapText="1" indent="1"/>
      <protection locked="0"/>
    </xf>
    <xf numFmtId="167" fontId="21" fillId="0" borderId="13" xfId="4" applyNumberFormat="1" applyFont="1" applyFill="1" applyBorder="1" applyAlignment="1" applyProtection="1">
      <alignment vertical="center" wrapText="1"/>
      <protection locked="0"/>
    </xf>
    <xf numFmtId="1" fontId="21" fillId="0" borderId="13" xfId="4" applyNumberFormat="1" applyFont="1" applyFill="1" applyBorder="1" applyAlignment="1" applyProtection="1">
      <alignment vertical="center" wrapText="1"/>
      <protection locked="0"/>
    </xf>
    <xf numFmtId="167" fontId="21" fillId="0" borderId="22" xfId="4" applyNumberFormat="1" applyFont="1" applyFill="1" applyBorder="1" applyAlignment="1" applyProtection="1">
      <alignment vertical="center" wrapText="1"/>
    </xf>
    <xf numFmtId="167" fontId="18" fillId="0" borderId="15" xfId="4" applyNumberFormat="1" applyFont="1" applyFill="1" applyBorder="1" applyAlignment="1">
      <alignment horizontal="left" vertical="center" wrapText="1"/>
    </xf>
    <xf numFmtId="167" fontId="18" fillId="0" borderId="16" xfId="4" applyNumberFormat="1" applyFont="1" applyFill="1" applyBorder="1" applyAlignment="1">
      <alignment vertical="center" wrapText="1"/>
    </xf>
    <xf numFmtId="167" fontId="18" fillId="2" borderId="16" xfId="4" applyNumberFormat="1" applyFont="1" applyFill="1" applyBorder="1" applyAlignment="1" applyProtection="1">
      <alignment vertical="center" wrapText="1"/>
    </xf>
    <xf numFmtId="0" fontId="25" fillId="0" borderId="0" xfId="0" applyFont="1"/>
    <xf numFmtId="0" fontId="25" fillId="0" borderId="23" xfId="0" applyFont="1" applyBorder="1" applyAlignment="1">
      <alignment horizontal="centerContinuous"/>
    </xf>
    <xf numFmtId="0" fontId="25" fillId="0" borderId="0" xfId="0" applyFont="1" applyBorder="1" applyAlignment="1">
      <alignment horizontal="centerContinuous"/>
    </xf>
    <xf numFmtId="0" fontId="25" fillId="0" borderId="0" xfId="0" applyFont="1" applyAlignment="1">
      <alignment horizontal="centerContinuous"/>
    </xf>
    <xf numFmtId="0" fontId="25" fillId="0" borderId="24" xfId="0" applyFont="1" applyBorder="1" applyAlignment="1">
      <alignment horizontal="centerContinuous"/>
    </xf>
    <xf numFmtId="0" fontId="25" fillId="0" borderId="25" xfId="0" applyFont="1" applyBorder="1" applyAlignment="1">
      <alignment vertical="center"/>
    </xf>
    <xf numFmtId="168" fontId="25" fillId="0" borderId="26" xfId="0" applyNumberFormat="1" applyFont="1" applyBorder="1" applyAlignment="1">
      <alignment vertical="center"/>
    </xf>
    <xf numFmtId="0" fontId="25" fillId="0" borderId="26" xfId="0" applyFont="1" applyBorder="1"/>
    <xf numFmtId="0" fontId="25" fillId="0" borderId="26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164" fontId="7" fillId="0" borderId="6" xfId="3" applyNumberFormat="1" applyFont="1" applyBorder="1" applyAlignment="1">
      <alignment horizontal="center" vertical="center"/>
    </xf>
    <xf numFmtId="164" fontId="7" fillId="0" borderId="6" xfId="2" applyNumberFormat="1" applyFont="1" applyBorder="1" applyAlignment="1">
      <alignment horizontal="center"/>
    </xf>
    <xf numFmtId="164" fontId="4" fillId="0" borderId="6" xfId="2" applyNumberFormat="1" applyFont="1" applyBorder="1" applyAlignment="1">
      <alignment horizontal="center"/>
    </xf>
    <xf numFmtId="164" fontId="9" fillId="0" borderId="6" xfId="2" applyNumberFormat="1" applyFont="1" applyFill="1" applyBorder="1" applyAlignment="1">
      <alignment horizontal="center"/>
    </xf>
    <xf numFmtId="166" fontId="8" fillId="0" borderId="6" xfId="1" applyNumberFormat="1" applyFont="1" applyBorder="1" applyAlignment="1">
      <alignment vertical="center"/>
    </xf>
    <xf numFmtId="166" fontId="0" fillId="0" borderId="0" xfId="1" applyNumberFormat="1" applyFont="1"/>
    <xf numFmtId="0" fontId="7" fillId="0" borderId="8" xfId="3" applyFont="1" applyBorder="1" applyAlignment="1">
      <alignment horizontal="left"/>
    </xf>
    <xf numFmtId="0" fontId="3" fillId="0" borderId="28" xfId="3" applyFont="1" applyBorder="1" applyAlignment="1">
      <alignment vertical="center"/>
    </xf>
    <xf numFmtId="164" fontId="7" fillId="3" borderId="5" xfId="2" applyNumberFormat="1" applyFont="1" applyFill="1" applyBorder="1" applyAlignment="1">
      <alignment horizontal="center"/>
    </xf>
    <xf numFmtId="0" fontId="6" fillId="2" borderId="29" xfId="3" applyFont="1" applyFill="1" applyBorder="1" applyAlignment="1">
      <alignment horizontal="center" vertical="center" wrapText="1"/>
    </xf>
    <xf numFmtId="164" fontId="2" fillId="0" borderId="12" xfId="2" applyNumberFormat="1" applyFont="1" applyBorder="1" applyAlignment="1">
      <alignment horizontal="center"/>
    </xf>
    <xf numFmtId="0" fontId="7" fillId="2" borderId="21" xfId="3" applyFont="1" applyFill="1" applyBorder="1" applyAlignment="1">
      <alignment horizontal="center" vertical="center"/>
    </xf>
    <xf numFmtId="164" fontId="7" fillId="2" borderId="0" xfId="2" applyNumberFormat="1" applyFont="1" applyFill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166" fontId="3" fillId="0" borderId="2" xfId="1" applyNumberFormat="1" applyFont="1" applyBorder="1" applyAlignment="1">
      <alignment vertical="center"/>
    </xf>
    <xf numFmtId="164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2" fillId="0" borderId="0" xfId="3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3" applyFont="1" applyAlignment="1">
      <alignment horizontal="center" vertical="center"/>
    </xf>
    <xf numFmtId="0" fontId="0" fillId="0" borderId="8" xfId="0" applyBorder="1"/>
    <xf numFmtId="164" fontId="7" fillId="0" borderId="4" xfId="3" applyNumberFormat="1" applyFont="1" applyBorder="1" applyAlignment="1">
      <alignment horizontal="center" vertical="center"/>
    </xf>
    <xf numFmtId="164" fontId="7" fillId="0" borderId="4" xfId="2" applyNumberFormat="1" applyFont="1" applyBorder="1" applyAlignment="1">
      <alignment horizontal="center"/>
    </xf>
    <xf numFmtId="164" fontId="4" fillId="0" borderId="4" xfId="2" applyNumberFormat="1" applyFont="1" applyBorder="1" applyAlignment="1">
      <alignment horizontal="center"/>
    </xf>
    <xf numFmtId="164" fontId="2" fillId="0" borderId="10" xfId="2" applyNumberFormat="1" applyFont="1" applyBorder="1" applyAlignment="1">
      <alignment horizontal="center"/>
    </xf>
    <xf numFmtId="164" fontId="2" fillId="0" borderId="30" xfId="2" applyNumberFormat="1" applyFont="1" applyBorder="1" applyAlignment="1">
      <alignment horizontal="center"/>
    </xf>
    <xf numFmtId="0" fontId="7" fillId="0" borderId="8" xfId="0" applyFont="1" applyBorder="1"/>
    <xf numFmtId="0" fontId="2" fillId="0" borderId="31" xfId="3" applyFont="1" applyBorder="1" applyAlignment="1">
      <alignment vertical="center"/>
    </xf>
    <xf numFmtId="164" fontId="7" fillId="0" borderId="32" xfId="2" applyNumberFormat="1" applyFont="1" applyBorder="1" applyAlignment="1">
      <alignment horizontal="center"/>
    </xf>
    <xf numFmtId="164" fontId="7" fillId="0" borderId="2" xfId="2" applyNumberFormat="1" applyFont="1" applyFill="1" applyBorder="1" applyAlignment="1">
      <alignment horizontal="center"/>
    </xf>
    <xf numFmtId="3" fontId="7" fillId="0" borderId="4" xfId="3" applyNumberFormat="1" applyFont="1" applyBorder="1" applyAlignment="1">
      <alignment horizontal="center" vertical="center"/>
    </xf>
    <xf numFmtId="3" fontId="7" fillId="0" borderId="6" xfId="2" applyNumberFormat="1" applyFont="1" applyFill="1" applyBorder="1" applyAlignment="1">
      <alignment horizontal="center"/>
    </xf>
    <xf numFmtId="3" fontId="7" fillId="0" borderId="4" xfId="2" applyNumberFormat="1" applyFont="1" applyBorder="1" applyAlignment="1">
      <alignment horizontal="center"/>
    </xf>
    <xf numFmtId="3" fontId="7" fillId="0" borderId="6" xfId="2" applyNumberFormat="1" applyFont="1" applyBorder="1" applyAlignment="1">
      <alignment horizontal="center"/>
    </xf>
    <xf numFmtId="3" fontId="4" fillId="0" borderId="4" xfId="2" applyNumberFormat="1" applyFont="1" applyBorder="1" applyAlignment="1">
      <alignment horizontal="center"/>
    </xf>
    <xf numFmtId="3" fontId="4" fillId="0" borderId="6" xfId="2" applyNumberFormat="1" applyFont="1" applyFill="1" applyBorder="1" applyAlignment="1">
      <alignment horizontal="center"/>
    </xf>
    <xf numFmtId="3" fontId="2" fillId="0" borderId="4" xfId="2" applyNumberFormat="1" applyFont="1" applyBorder="1" applyAlignment="1">
      <alignment horizontal="center"/>
    </xf>
    <xf numFmtId="3" fontId="2" fillId="0" borderId="6" xfId="2" applyNumberFormat="1" applyFont="1" applyBorder="1" applyAlignment="1">
      <alignment horizontal="center"/>
    </xf>
    <xf numFmtId="164" fontId="2" fillId="0" borderId="4" xfId="2" applyNumberFormat="1" applyFont="1" applyBorder="1" applyAlignment="1">
      <alignment horizontal="center"/>
    </xf>
    <xf numFmtId="164" fontId="9" fillId="0" borderId="4" xfId="2" applyNumberFormat="1" applyFont="1" applyBorder="1" applyAlignment="1">
      <alignment horizontal="center"/>
    </xf>
    <xf numFmtId="164" fontId="2" fillId="0" borderId="4" xfId="3" applyNumberFormat="1" applyFont="1" applyBorder="1" applyAlignment="1">
      <alignment horizontal="center"/>
    </xf>
    <xf numFmtId="164" fontId="2" fillId="0" borderId="33" xfId="3" applyNumberFormat="1" applyFont="1" applyBorder="1" applyAlignment="1">
      <alignment horizontal="center"/>
    </xf>
    <xf numFmtId="164" fontId="2" fillId="0" borderId="34" xfId="2" applyNumberFormat="1" applyFont="1" applyBorder="1" applyAlignment="1">
      <alignment horizontal="center"/>
    </xf>
    <xf numFmtId="0" fontId="6" fillId="2" borderId="35" xfId="3" applyFont="1" applyFill="1" applyBorder="1" applyAlignment="1">
      <alignment horizontal="center" vertical="center" wrapText="1"/>
    </xf>
    <xf numFmtId="164" fontId="7" fillId="0" borderId="1" xfId="3" applyNumberFormat="1" applyFont="1" applyBorder="1" applyAlignment="1">
      <alignment horizontal="center" vertical="center"/>
    </xf>
    <xf numFmtId="164" fontId="4" fillId="0" borderId="8" xfId="2" applyNumberFormat="1" applyFont="1" applyBorder="1" applyAlignment="1">
      <alignment horizontal="center"/>
    </xf>
    <xf numFmtId="0" fontId="6" fillId="2" borderId="36" xfId="3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/>
    </xf>
    <xf numFmtId="164" fontId="7" fillId="0" borderId="4" xfId="2" applyNumberFormat="1" applyFont="1" applyFill="1" applyBorder="1" applyAlignment="1">
      <alignment horizontal="center"/>
    </xf>
    <xf numFmtId="164" fontId="2" fillId="0" borderId="10" xfId="3" applyNumberFormat="1" applyFont="1" applyBorder="1" applyAlignment="1">
      <alignment horizontal="center" vertical="center"/>
    </xf>
    <xf numFmtId="166" fontId="29" fillId="0" borderId="6" xfId="1" applyNumberFormat="1" applyFont="1" applyBorder="1" applyAlignment="1">
      <alignment vertical="center"/>
    </xf>
    <xf numFmtId="164" fontId="2" fillId="0" borderId="37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4" fontId="2" fillId="0" borderId="8" xfId="2" applyNumberFormat="1" applyFont="1" applyBorder="1" applyAlignment="1">
      <alignment horizontal="center"/>
    </xf>
    <xf numFmtId="164" fontId="4" fillId="0" borderId="4" xfId="2" applyNumberFormat="1" applyFont="1" applyFill="1" applyBorder="1" applyAlignment="1">
      <alignment horizontal="center"/>
    </xf>
    <xf numFmtId="164" fontId="2" fillId="0" borderId="4" xfId="2" applyNumberFormat="1" applyFont="1" applyFill="1" applyBorder="1" applyAlignment="1">
      <alignment horizontal="center"/>
    </xf>
    <xf numFmtId="164" fontId="9" fillId="0" borderId="4" xfId="2" applyNumberFormat="1" applyFont="1" applyFill="1" applyBorder="1" applyAlignment="1">
      <alignment horizontal="center"/>
    </xf>
    <xf numFmtId="164" fontId="7" fillId="2" borderId="4" xfId="2" applyNumberFormat="1" applyFont="1" applyFill="1" applyBorder="1" applyAlignment="1">
      <alignment horizontal="center"/>
    </xf>
    <xf numFmtId="164" fontId="7" fillId="0" borderId="8" xfId="2" applyNumberFormat="1" applyFont="1" applyFill="1" applyBorder="1" applyAlignment="1">
      <alignment horizontal="center"/>
    </xf>
    <xf numFmtId="3" fontId="7" fillId="0" borderId="8" xfId="2" applyNumberFormat="1" applyFont="1" applyFill="1" applyBorder="1" applyAlignment="1">
      <alignment horizontal="center"/>
    </xf>
    <xf numFmtId="3" fontId="4" fillId="0" borderId="8" xfId="2" applyNumberFormat="1" applyFont="1" applyFill="1" applyBorder="1" applyAlignment="1">
      <alignment horizontal="center"/>
    </xf>
    <xf numFmtId="164" fontId="9" fillId="0" borderId="8" xfId="2" applyNumberFormat="1" applyFont="1" applyFill="1" applyBorder="1" applyAlignment="1">
      <alignment horizontal="center"/>
    </xf>
    <xf numFmtId="164" fontId="2" fillId="0" borderId="8" xfId="2" applyNumberFormat="1" applyFont="1" applyFill="1" applyBorder="1" applyAlignment="1">
      <alignment horizontal="center"/>
    </xf>
    <xf numFmtId="3" fontId="4" fillId="0" borderId="3" xfId="2" applyNumberFormat="1" applyFont="1" applyBorder="1" applyAlignment="1">
      <alignment horizontal="center"/>
    </xf>
    <xf numFmtId="3" fontId="2" fillId="0" borderId="3" xfId="2" applyNumberFormat="1" applyFont="1" applyBorder="1" applyAlignment="1">
      <alignment horizontal="center"/>
    </xf>
    <xf numFmtId="164" fontId="2" fillId="0" borderId="3" xfId="3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39" xfId="0" applyBorder="1" applyAlignment="1">
      <alignment horizontal="right"/>
    </xf>
    <xf numFmtId="166" fontId="0" fillId="0" borderId="40" xfId="1" applyNumberFormat="1" applyFont="1" applyBorder="1"/>
    <xf numFmtId="0" fontId="0" fillId="0" borderId="5" xfId="0" applyBorder="1" applyAlignment="1">
      <alignment horizontal="right"/>
    </xf>
    <xf numFmtId="166" fontId="0" fillId="0" borderId="6" xfId="1" applyNumberFormat="1" applyFont="1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7" fontId="15" fillId="0" borderId="0" xfId="4" applyNumberFormat="1" applyFont="1" applyFill="1" applyAlignment="1">
      <alignment vertical="center" wrapText="1"/>
    </xf>
    <xf numFmtId="167" fontId="17" fillId="0" borderId="0" xfId="4" applyNumberFormat="1" applyFont="1" applyFill="1" applyAlignment="1">
      <alignment horizontal="right"/>
    </xf>
    <xf numFmtId="167" fontId="18" fillId="0" borderId="41" xfId="4" applyNumberFormat="1" applyFont="1" applyFill="1" applyBorder="1" applyAlignment="1">
      <alignment horizontal="center" vertical="center"/>
    </xf>
    <xf numFmtId="167" fontId="18" fillId="0" borderId="31" xfId="4" applyNumberFormat="1" applyFont="1" applyFill="1" applyBorder="1" applyAlignment="1">
      <alignment horizontal="center" vertical="center"/>
    </xf>
    <xf numFmtId="167" fontId="18" fillId="0" borderId="12" xfId="4" applyNumberFormat="1" applyFont="1" applyFill="1" applyBorder="1" applyAlignment="1">
      <alignment horizontal="center" vertical="center" wrapText="1"/>
    </xf>
    <xf numFmtId="167" fontId="19" fillId="0" borderId="42" xfId="4" applyNumberFormat="1" applyFont="1" applyFill="1" applyBorder="1" applyAlignment="1">
      <alignment horizontal="center" vertical="center" wrapText="1"/>
    </xf>
    <xf numFmtId="167" fontId="19" fillId="0" borderId="43" xfId="4" applyNumberFormat="1" applyFont="1" applyFill="1" applyBorder="1" applyAlignment="1">
      <alignment horizontal="center" vertical="center" wrapText="1"/>
    </xf>
    <xf numFmtId="167" fontId="19" fillId="0" borderId="44" xfId="4" applyNumberFormat="1" applyFont="1" applyFill="1" applyBorder="1" applyAlignment="1">
      <alignment horizontal="center" vertical="center" wrapText="1"/>
    </xf>
    <xf numFmtId="167" fontId="19" fillId="0" borderId="17" xfId="4" applyNumberFormat="1" applyFont="1" applyFill="1" applyBorder="1" applyAlignment="1">
      <alignment horizontal="center" vertical="center" wrapText="1"/>
    </xf>
    <xf numFmtId="167" fontId="19" fillId="0" borderId="45" xfId="4" applyNumberFormat="1" applyFont="1" applyFill="1" applyBorder="1" applyAlignment="1">
      <alignment horizontal="center" vertical="center" wrapText="1"/>
    </xf>
    <xf numFmtId="167" fontId="19" fillId="0" borderId="15" xfId="4" applyNumberFormat="1" applyFont="1" applyFill="1" applyBorder="1" applyAlignment="1">
      <alignment horizontal="center" vertical="center" wrapText="1"/>
    </xf>
    <xf numFmtId="167" fontId="19" fillId="0" borderId="43" xfId="4" applyNumberFormat="1" applyFont="1" applyFill="1" applyBorder="1" applyAlignment="1">
      <alignment horizontal="left" vertical="center" wrapText="1" indent="1"/>
    </xf>
    <xf numFmtId="167" fontId="32" fillId="0" borderId="16" xfId="4" applyNumberFormat="1" applyFont="1" applyFill="1" applyBorder="1" applyAlignment="1" applyProtection="1">
      <alignment horizontal="left" vertical="center" wrapText="1" indent="2"/>
    </xf>
    <xf numFmtId="167" fontId="32" fillId="0" borderId="43" xfId="4" applyNumberFormat="1" applyFont="1" applyFill="1" applyBorder="1" applyAlignment="1" applyProtection="1">
      <alignment vertical="center" wrapText="1"/>
    </xf>
    <xf numFmtId="167" fontId="32" fillId="0" borderId="15" xfId="4" applyNumberFormat="1" applyFont="1" applyFill="1" applyBorder="1" applyAlignment="1" applyProtection="1">
      <alignment vertical="center" wrapText="1"/>
    </xf>
    <xf numFmtId="167" fontId="32" fillId="0" borderId="16" xfId="4" applyNumberFormat="1" applyFont="1" applyFill="1" applyBorder="1" applyAlignment="1" applyProtection="1">
      <alignment vertical="center" wrapText="1"/>
    </xf>
    <xf numFmtId="167" fontId="32" fillId="0" borderId="17" xfId="4" applyNumberFormat="1" applyFont="1" applyFill="1" applyBorder="1" applyAlignment="1" applyProtection="1">
      <alignment vertical="center" wrapText="1"/>
    </xf>
    <xf numFmtId="167" fontId="32" fillId="0" borderId="43" xfId="4" applyNumberFormat="1" applyFont="1" applyFill="1" applyBorder="1" applyAlignment="1">
      <alignment vertical="center" wrapText="1"/>
    </xf>
    <xf numFmtId="167" fontId="19" fillId="0" borderId="4" xfId="4" applyNumberFormat="1" applyFont="1" applyFill="1" applyBorder="1" applyAlignment="1">
      <alignment horizontal="center" vertical="center" wrapText="1"/>
    </xf>
    <xf numFmtId="167" fontId="32" fillId="0" borderId="46" xfId="4" applyNumberFormat="1" applyFont="1" applyFill="1" applyBorder="1" applyAlignment="1" applyProtection="1">
      <alignment horizontal="left" vertical="center" wrapText="1" indent="1"/>
      <protection locked="0"/>
    </xf>
    <xf numFmtId="169" fontId="33" fillId="0" borderId="5" xfId="4" applyNumberFormat="1" applyFont="1" applyFill="1" applyBorder="1" applyAlignment="1" applyProtection="1">
      <alignment horizontal="left" vertical="center" wrapText="1" indent="2"/>
      <protection locked="0"/>
    </xf>
    <xf numFmtId="167" fontId="32" fillId="0" borderId="46" xfId="4" applyNumberFormat="1" applyFont="1" applyFill="1" applyBorder="1" applyAlignment="1" applyProtection="1">
      <alignment vertical="center" wrapText="1"/>
      <protection locked="0"/>
    </xf>
    <xf numFmtId="167" fontId="32" fillId="0" borderId="4" xfId="4" applyNumberFormat="1" applyFont="1" applyFill="1" applyBorder="1" applyAlignment="1" applyProtection="1">
      <alignment vertical="center" wrapText="1"/>
      <protection locked="0"/>
    </xf>
    <xf numFmtId="167" fontId="32" fillId="0" borderId="5" xfId="4" applyNumberFormat="1" applyFont="1" applyFill="1" applyBorder="1" applyAlignment="1" applyProtection="1">
      <alignment vertical="center" wrapText="1"/>
      <protection locked="0"/>
    </xf>
    <xf numFmtId="167" fontId="32" fillId="0" borderId="6" xfId="4" applyNumberFormat="1" applyFont="1" applyFill="1" applyBorder="1" applyAlignment="1" applyProtection="1">
      <alignment vertical="center" wrapText="1"/>
      <protection locked="0"/>
    </xf>
    <xf numFmtId="167" fontId="32" fillId="0" borderId="46" xfId="4" applyNumberFormat="1" applyFont="1" applyFill="1" applyBorder="1" applyAlignment="1">
      <alignment vertical="center" wrapText="1"/>
    </xf>
    <xf numFmtId="167" fontId="19" fillId="0" borderId="43" xfId="4" applyNumberFormat="1" applyFont="1" applyFill="1" applyBorder="1" applyAlignment="1" applyProtection="1">
      <alignment horizontal="left" vertical="center" wrapText="1" indent="1"/>
      <protection locked="0"/>
    </xf>
    <xf numFmtId="167" fontId="33" fillId="0" borderId="16" xfId="4" applyNumberFormat="1" applyFont="1" applyFill="1" applyBorder="1" applyAlignment="1" applyProtection="1">
      <alignment horizontal="left" vertical="center" wrapText="1" indent="2"/>
    </xf>
    <xf numFmtId="14" fontId="33" fillId="0" borderId="5" xfId="4" applyNumberFormat="1" applyFont="1" applyFill="1" applyBorder="1" applyAlignment="1" applyProtection="1">
      <alignment horizontal="left" vertical="center" wrapText="1" indent="2"/>
      <protection locked="0"/>
    </xf>
    <xf numFmtId="167" fontId="19" fillId="0" borderId="47" xfId="4" applyNumberFormat="1" applyFont="1" applyFill="1" applyBorder="1" applyAlignment="1">
      <alignment horizontal="center" vertical="center" wrapText="1"/>
    </xf>
    <xf numFmtId="167" fontId="32" fillId="0" borderId="48" xfId="4" applyNumberFormat="1" applyFont="1" applyFill="1" applyBorder="1" applyAlignment="1" applyProtection="1">
      <alignment horizontal="left" vertical="center" wrapText="1" indent="1"/>
      <protection locked="0"/>
    </xf>
    <xf numFmtId="169" fontId="33" fillId="0" borderId="49" xfId="4" applyNumberFormat="1" applyFont="1" applyFill="1" applyBorder="1" applyAlignment="1" applyProtection="1">
      <alignment horizontal="left" vertical="center" wrapText="1" indent="2"/>
      <protection locked="0"/>
    </xf>
    <xf numFmtId="167" fontId="32" fillId="0" borderId="48" xfId="4" applyNumberFormat="1" applyFont="1" applyFill="1" applyBorder="1" applyAlignment="1" applyProtection="1">
      <alignment vertical="center" wrapText="1"/>
      <protection locked="0"/>
    </xf>
    <xf numFmtId="167" fontId="32" fillId="0" borderId="47" xfId="4" applyNumberFormat="1" applyFont="1" applyFill="1" applyBorder="1" applyAlignment="1" applyProtection="1">
      <alignment vertical="center" wrapText="1"/>
      <protection locked="0"/>
    </xf>
    <xf numFmtId="167" fontId="32" fillId="0" borderId="49" xfId="4" applyNumberFormat="1" applyFont="1" applyFill="1" applyBorder="1" applyAlignment="1" applyProtection="1">
      <alignment vertical="center" wrapText="1"/>
      <protection locked="0"/>
    </xf>
    <xf numFmtId="167" fontId="32" fillId="0" borderId="28" xfId="4" applyNumberFormat="1" applyFont="1" applyFill="1" applyBorder="1" applyAlignment="1" applyProtection="1">
      <alignment vertical="center" wrapText="1"/>
      <protection locked="0"/>
    </xf>
    <xf numFmtId="167" fontId="32" fillId="0" borderId="48" xfId="4" applyNumberFormat="1" applyFont="1" applyFill="1" applyBorder="1" applyAlignment="1">
      <alignment vertical="center" wrapText="1"/>
    </xf>
    <xf numFmtId="167" fontId="34" fillId="0" borderId="43" xfId="4" applyNumberFormat="1" applyFont="1" applyFill="1" applyBorder="1" applyAlignment="1" applyProtection="1">
      <alignment horizontal="left" vertical="center" wrapText="1" indent="1"/>
      <protection locked="0"/>
    </xf>
    <xf numFmtId="167" fontId="32" fillId="0" borderId="43" xfId="4" applyNumberFormat="1" applyFont="1" applyFill="1" applyBorder="1" applyAlignment="1" applyProtection="1">
      <alignment vertical="center" wrapText="1"/>
      <protection locked="0"/>
    </xf>
    <xf numFmtId="167" fontId="32" fillId="0" borderId="15" xfId="4" applyNumberFormat="1" applyFont="1" applyFill="1" applyBorder="1" applyAlignment="1" applyProtection="1">
      <alignment vertical="center" wrapText="1"/>
      <protection locked="0"/>
    </xf>
    <xf numFmtId="167" fontId="32" fillId="0" borderId="16" xfId="4" applyNumberFormat="1" applyFont="1" applyFill="1" applyBorder="1" applyAlignment="1" applyProtection="1">
      <alignment vertical="center" wrapText="1"/>
      <protection locked="0"/>
    </xf>
    <xf numFmtId="167" fontId="32" fillId="0" borderId="17" xfId="4" applyNumberFormat="1" applyFont="1" applyFill="1" applyBorder="1" applyAlignment="1" applyProtection="1">
      <alignment vertical="center" wrapText="1"/>
      <protection locked="0"/>
    </xf>
    <xf numFmtId="167" fontId="19" fillId="0" borderId="21" xfId="4" applyNumberFormat="1" applyFont="1" applyFill="1" applyBorder="1" applyAlignment="1">
      <alignment horizontal="center" vertical="center" wrapText="1"/>
    </xf>
    <xf numFmtId="167" fontId="32" fillId="0" borderId="50" xfId="4" applyNumberFormat="1" applyFont="1" applyFill="1" applyBorder="1" applyAlignment="1" applyProtection="1">
      <alignment horizontal="left" vertical="center" wrapText="1" indent="1"/>
      <protection locked="0"/>
    </xf>
    <xf numFmtId="169" fontId="33" fillId="0" borderId="23" xfId="4" applyNumberFormat="1" applyFont="1" applyFill="1" applyBorder="1" applyAlignment="1" applyProtection="1">
      <alignment horizontal="left" vertical="center" wrapText="1" indent="2"/>
      <protection locked="0"/>
    </xf>
    <xf numFmtId="167" fontId="32" fillId="0" borderId="45" xfId="4" applyNumberFormat="1" applyFont="1" applyFill="1" applyBorder="1" applyAlignment="1" applyProtection="1">
      <alignment vertical="center" wrapText="1"/>
      <protection locked="0"/>
    </xf>
    <xf numFmtId="167" fontId="32" fillId="0" borderId="21" xfId="4" applyNumberFormat="1" applyFont="1" applyFill="1" applyBorder="1" applyAlignment="1" applyProtection="1">
      <alignment vertical="center" wrapText="1"/>
      <protection locked="0"/>
    </xf>
    <xf numFmtId="167" fontId="32" fillId="0" borderId="13" xfId="4" applyNumberFormat="1" applyFont="1" applyFill="1" applyBorder="1" applyAlignment="1" applyProtection="1">
      <alignment vertical="center" wrapText="1"/>
      <protection locked="0"/>
    </xf>
    <xf numFmtId="167" fontId="32" fillId="0" borderId="22" xfId="4" applyNumberFormat="1" applyFont="1" applyFill="1" applyBorder="1" applyAlignment="1" applyProtection="1">
      <alignment vertical="center" wrapText="1"/>
      <protection locked="0"/>
    </xf>
    <xf numFmtId="167" fontId="32" fillId="0" borderId="45" xfId="4" applyNumberFormat="1" applyFont="1" applyFill="1" applyBorder="1" applyAlignment="1">
      <alignment vertical="center" wrapText="1"/>
    </xf>
    <xf numFmtId="167" fontId="33" fillId="2" borderId="44" xfId="4" applyNumberFormat="1" applyFont="1" applyFill="1" applyBorder="1" applyAlignment="1" applyProtection="1">
      <alignment horizontal="left" vertical="center" wrapText="1" indent="2"/>
    </xf>
    <xf numFmtId="0" fontId="15" fillId="0" borderId="0" xfId="4" applyFill="1" applyAlignment="1">
      <alignment horizontal="center" vertical="center" wrapText="1"/>
    </xf>
    <xf numFmtId="0" fontId="15" fillId="0" borderId="0" xfId="4" applyFill="1" applyAlignment="1">
      <alignment vertical="center" wrapText="1"/>
    </xf>
    <xf numFmtId="167" fontId="37" fillId="0" borderId="0" xfId="4" applyNumberFormat="1" applyFont="1" applyFill="1" applyAlignment="1">
      <alignment horizontal="center" vertical="center" wrapText="1"/>
    </xf>
    <xf numFmtId="167" fontId="37" fillId="0" borderId="0" xfId="4" applyNumberFormat="1" applyFont="1" applyFill="1" applyAlignment="1">
      <alignment vertical="center" wrapText="1"/>
    </xf>
    <xf numFmtId="167" fontId="15" fillId="0" borderId="0" xfId="4" applyNumberFormat="1" applyFont="1" applyFill="1" applyAlignment="1">
      <alignment horizontal="right" vertical="center"/>
    </xf>
    <xf numFmtId="0" fontId="18" fillId="0" borderId="15" xfId="4" applyFont="1" applyFill="1" applyBorder="1" applyAlignment="1">
      <alignment horizontal="center" vertical="center" wrapText="1"/>
    </xf>
    <xf numFmtId="0" fontId="18" fillId="0" borderId="16" xfId="4" applyFont="1" applyFill="1" applyBorder="1" applyAlignment="1">
      <alignment horizontal="center" vertical="center" wrapText="1"/>
    </xf>
    <xf numFmtId="0" fontId="18" fillId="0" borderId="17" xfId="4" applyFont="1" applyFill="1" applyBorder="1" applyAlignment="1">
      <alignment horizontal="center" vertical="center" wrapText="1"/>
    </xf>
    <xf numFmtId="0" fontId="19" fillId="0" borderId="15" xfId="4" applyFont="1" applyFill="1" applyBorder="1" applyAlignment="1">
      <alignment horizontal="center" vertical="center" wrapText="1"/>
    </xf>
    <xf numFmtId="0" fontId="19" fillId="0" borderId="16" xfId="4" applyFont="1" applyFill="1" applyBorder="1" applyAlignment="1">
      <alignment horizontal="center" vertical="center" wrapText="1"/>
    </xf>
    <xf numFmtId="0" fontId="19" fillId="0" borderId="17" xfId="4" applyFont="1" applyFill="1" applyBorder="1" applyAlignment="1">
      <alignment horizontal="center" vertical="center" wrapText="1"/>
    </xf>
    <xf numFmtId="0" fontId="38" fillId="0" borderId="1" xfId="4" applyFont="1" applyFill="1" applyBorder="1" applyAlignment="1">
      <alignment horizontal="center" vertical="center" wrapText="1"/>
    </xf>
    <xf numFmtId="0" fontId="39" fillId="0" borderId="27" xfId="4" applyFont="1" applyFill="1" applyBorder="1" applyAlignment="1" applyProtection="1">
      <alignment horizontal="left" vertical="center" wrapText="1" indent="1"/>
      <protection locked="0"/>
    </xf>
    <xf numFmtId="167" fontId="38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7" fontId="38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4" xfId="4" applyFont="1" applyFill="1" applyBorder="1" applyAlignment="1">
      <alignment horizontal="center" vertical="center" wrapText="1"/>
    </xf>
    <xf numFmtId="0" fontId="39" fillId="0" borderId="3" xfId="4" applyFont="1" applyFill="1" applyBorder="1" applyAlignment="1" applyProtection="1">
      <alignment horizontal="left" vertical="center" wrapText="1" indent="1"/>
      <protection locked="0"/>
    </xf>
    <xf numFmtId="167" fontId="38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7" fontId="38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0" fontId="39" fillId="0" borderId="3" xfId="4" applyFont="1" applyFill="1" applyBorder="1" applyAlignment="1" applyProtection="1">
      <alignment horizontal="left" vertical="center" wrapText="1" indent="8"/>
      <protection locked="0"/>
    </xf>
    <xf numFmtId="0" fontId="38" fillId="0" borderId="39" xfId="4" applyFont="1" applyFill="1" applyBorder="1" applyAlignment="1" applyProtection="1">
      <alignment vertical="center" wrapText="1"/>
      <protection locked="0"/>
    </xf>
    <xf numFmtId="167" fontId="38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15" xfId="4" applyFont="1" applyFill="1" applyBorder="1" applyAlignment="1">
      <alignment horizontal="center" vertical="center" wrapText="1"/>
    </xf>
    <xf numFmtId="0" fontId="40" fillId="0" borderId="19" xfId="4" applyFont="1" applyFill="1" applyBorder="1" applyAlignment="1">
      <alignment vertical="center" wrapText="1"/>
    </xf>
    <xf numFmtId="167" fontId="34" fillId="0" borderId="19" xfId="4" applyNumberFormat="1" applyFont="1" applyFill="1" applyBorder="1" applyAlignment="1">
      <alignment vertical="center" wrapText="1"/>
    </xf>
    <xf numFmtId="167" fontId="34" fillId="0" borderId="20" xfId="4" applyNumberFormat="1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29" xfId="0" applyBorder="1"/>
    <xf numFmtId="0" fontId="0" fillId="0" borderId="2" xfId="0" applyBorder="1"/>
    <xf numFmtId="166" fontId="0" fillId="0" borderId="5" xfId="1" applyNumberFormat="1" applyFont="1" applyBorder="1"/>
    <xf numFmtId="14" fontId="0" fillId="0" borderId="5" xfId="0" applyNumberFormat="1" applyBorder="1"/>
    <xf numFmtId="0" fontId="0" fillId="0" borderId="6" xfId="0" applyBorder="1"/>
    <xf numFmtId="166" fontId="0" fillId="0" borderId="11" xfId="1" applyNumberFormat="1" applyFont="1" applyBorder="1"/>
    <xf numFmtId="0" fontId="0" fillId="0" borderId="12" xfId="0" applyBorder="1"/>
    <xf numFmtId="0" fontId="41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42" fillId="0" borderId="0" xfId="0" applyFont="1"/>
    <xf numFmtId="0" fontId="28" fillId="0" borderId="0" xfId="0" applyFont="1"/>
    <xf numFmtId="0" fontId="4" fillId="0" borderId="0" xfId="0" applyFont="1" applyAlignment="1">
      <alignment horizontal="center"/>
    </xf>
    <xf numFmtId="170" fontId="28" fillId="0" borderId="0" xfId="1" applyNumberFormat="1" applyFont="1"/>
    <xf numFmtId="0" fontId="28" fillId="0" borderId="5" xfId="0" applyFont="1" applyBorder="1"/>
    <xf numFmtId="0" fontId="5" fillId="0" borderId="5" xfId="0" applyFont="1" applyBorder="1"/>
    <xf numFmtId="0" fontId="5" fillId="0" borderId="5" xfId="0" applyFont="1" applyBorder="1" applyAlignment="1">
      <alignment wrapText="1"/>
    </xf>
    <xf numFmtId="0" fontId="43" fillId="0" borderId="0" xfId="0" applyFont="1"/>
    <xf numFmtId="0" fontId="30" fillId="0" borderId="0" xfId="0" applyFont="1" applyAlignment="1">
      <alignment horizontal="left"/>
    </xf>
    <xf numFmtId="167" fontId="19" fillId="0" borderId="5" xfId="4" applyNumberFormat="1" applyFont="1" applyFill="1" applyBorder="1" applyAlignment="1">
      <alignment horizontal="center" vertical="center" wrapText="1"/>
    </xf>
    <xf numFmtId="167" fontId="19" fillId="0" borderId="6" xfId="4" applyNumberFormat="1" applyFont="1" applyFill="1" applyBorder="1" applyAlignment="1">
      <alignment horizontal="center" vertical="center" wrapText="1"/>
    </xf>
    <xf numFmtId="167" fontId="22" fillId="0" borderId="5" xfId="4" applyNumberFormat="1" applyFont="1" applyFill="1" applyBorder="1" applyAlignment="1">
      <alignment horizontal="left" vertical="center" wrapText="1" indent="1"/>
    </xf>
    <xf numFmtId="167" fontId="32" fillId="0" borderId="5" xfId="4" applyNumberFormat="1" applyFont="1" applyFill="1" applyBorder="1" applyAlignment="1" applyProtection="1">
      <alignment horizontal="left" vertical="center" wrapText="1" indent="2"/>
    </xf>
    <xf numFmtId="166" fontId="32" fillId="0" borderId="5" xfId="1" applyNumberFormat="1" applyFont="1" applyFill="1" applyBorder="1" applyAlignment="1" applyProtection="1">
      <alignment vertical="center" wrapText="1"/>
    </xf>
    <xf numFmtId="166" fontId="32" fillId="0" borderId="6" xfId="1" applyNumberFormat="1" applyFont="1" applyFill="1" applyBorder="1" applyAlignment="1">
      <alignment vertical="center" wrapText="1"/>
    </xf>
    <xf numFmtId="167" fontId="32" fillId="0" borderId="5" xfId="4" applyNumberFormat="1" applyFont="1" applyFill="1" applyBorder="1" applyAlignment="1" applyProtection="1">
      <alignment horizontal="left" vertical="center" wrapText="1" indent="1"/>
      <protection locked="0"/>
    </xf>
    <xf numFmtId="167" fontId="32" fillId="0" borderId="6" xfId="4" applyNumberFormat="1" applyFont="1" applyFill="1" applyBorder="1" applyAlignment="1">
      <alignment vertical="center" wrapText="1"/>
    </xf>
    <xf numFmtId="167" fontId="19" fillId="0" borderId="5" xfId="4" applyNumberFormat="1" applyFont="1" applyFill="1" applyBorder="1" applyAlignment="1" applyProtection="1">
      <alignment horizontal="left" vertical="center" wrapText="1" indent="1"/>
      <protection locked="0"/>
    </xf>
    <xf numFmtId="167" fontId="33" fillId="0" borderId="5" xfId="4" applyNumberFormat="1" applyFont="1" applyFill="1" applyBorder="1" applyAlignment="1" applyProtection="1">
      <alignment horizontal="left" vertical="center" wrapText="1" indent="2"/>
    </xf>
    <xf numFmtId="167" fontId="32" fillId="0" borderId="5" xfId="4" applyNumberFormat="1" applyFont="1" applyFill="1" applyBorder="1" applyAlignment="1" applyProtection="1">
      <alignment vertical="center" wrapText="1"/>
    </xf>
    <xf numFmtId="167" fontId="22" fillId="0" borderId="5" xfId="4" applyNumberFormat="1" applyFont="1" applyFill="1" applyBorder="1" applyAlignment="1" applyProtection="1">
      <alignment horizontal="left" vertical="center" wrapText="1" indent="1"/>
      <protection locked="0"/>
    </xf>
    <xf numFmtId="167" fontId="34" fillId="0" borderId="5" xfId="4" applyNumberFormat="1" applyFont="1" applyFill="1" applyBorder="1" applyAlignment="1" applyProtection="1">
      <alignment horizontal="left" vertical="center" wrapText="1" indent="1"/>
      <protection locked="0"/>
    </xf>
    <xf numFmtId="167" fontId="33" fillId="2" borderId="11" xfId="4" applyNumberFormat="1" applyFont="1" applyFill="1" applyBorder="1" applyAlignment="1" applyProtection="1">
      <alignment horizontal="left" vertical="center" wrapText="1" indent="2"/>
    </xf>
    <xf numFmtId="167" fontId="32" fillId="0" borderId="11" xfId="4" applyNumberFormat="1" applyFont="1" applyFill="1" applyBorder="1" applyAlignment="1" applyProtection="1">
      <alignment vertical="center" wrapText="1"/>
    </xf>
    <xf numFmtId="167" fontId="32" fillId="0" borderId="12" xfId="4" applyNumberFormat="1" applyFont="1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43" fillId="0" borderId="0" xfId="0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0" applyFont="1" applyBorder="1"/>
    <xf numFmtId="0" fontId="28" fillId="0" borderId="0" xfId="0" applyFont="1" applyBorder="1" applyAlignment="1">
      <alignment wrapText="1"/>
    </xf>
    <xf numFmtId="166" fontId="0" fillId="0" borderId="0" xfId="1" applyNumberFormat="1" applyFont="1" applyBorder="1"/>
    <xf numFmtId="0" fontId="5" fillId="0" borderId="0" xfId="0" applyFont="1" applyBorder="1" applyAlignment="1">
      <alignment wrapText="1"/>
    </xf>
    <xf numFmtId="166" fontId="0" fillId="0" borderId="3" xfId="1" applyNumberFormat="1" applyFont="1" applyBorder="1"/>
    <xf numFmtId="166" fontId="42" fillId="0" borderId="3" xfId="1" applyNumberFormat="1" applyFont="1" applyBorder="1"/>
    <xf numFmtId="166" fontId="42" fillId="0" borderId="51" xfId="1" applyNumberFormat="1" applyFont="1" applyBorder="1"/>
    <xf numFmtId="166" fontId="0" fillId="0" borderId="27" xfId="1" applyNumberFormat="1" applyFont="1" applyBorder="1"/>
    <xf numFmtId="166" fontId="0" fillId="0" borderId="51" xfId="1" applyNumberFormat="1" applyFont="1" applyBorder="1"/>
    <xf numFmtId="170" fontId="28" fillId="0" borderId="0" xfId="1" applyNumberFormat="1" applyFont="1" applyBorder="1"/>
    <xf numFmtId="166" fontId="42" fillId="0" borderId="0" xfId="1" applyNumberFormat="1" applyFont="1" applyBorder="1"/>
    <xf numFmtId="0" fontId="5" fillId="0" borderId="13" xfId="0" applyFont="1" applyBorder="1"/>
    <xf numFmtId="0" fontId="5" fillId="0" borderId="13" xfId="0" applyFont="1" applyBorder="1" applyAlignment="1">
      <alignment wrapText="1"/>
    </xf>
    <xf numFmtId="166" fontId="0" fillId="0" borderId="13" xfId="1" applyNumberFormat="1" applyFont="1" applyBorder="1"/>
    <xf numFmtId="166" fontId="0" fillId="0" borderId="23" xfId="1" applyNumberFormat="1" applyFont="1" applyBorder="1"/>
    <xf numFmtId="0" fontId="28" fillId="0" borderId="1" xfId="0" applyFont="1" applyBorder="1"/>
    <xf numFmtId="0" fontId="28" fillId="0" borderId="29" xfId="0" applyFont="1" applyBorder="1"/>
    <xf numFmtId="0" fontId="5" fillId="0" borderId="4" xfId="0" applyFont="1" applyBorder="1"/>
    <xf numFmtId="166" fontId="42" fillId="0" borderId="6" xfId="1" applyNumberFormat="1" applyFont="1" applyBorder="1"/>
    <xf numFmtId="0" fontId="28" fillId="0" borderId="4" xfId="0" applyFont="1" applyBorder="1"/>
    <xf numFmtId="0" fontId="5" fillId="0" borderId="10" xfId="0" applyFont="1" applyBorder="1"/>
    <xf numFmtId="0" fontId="5" fillId="0" borderId="11" xfId="0" applyFont="1" applyBorder="1" applyAlignment="1">
      <alignment wrapText="1"/>
    </xf>
    <xf numFmtId="166" fontId="42" fillId="0" borderId="12" xfId="1" applyNumberFormat="1" applyFont="1" applyBorder="1"/>
    <xf numFmtId="170" fontId="28" fillId="0" borderId="2" xfId="1" applyNumberFormat="1" applyFont="1" applyBorder="1" applyAlignment="1">
      <alignment horizontal="center"/>
    </xf>
    <xf numFmtId="0" fontId="4" fillId="0" borderId="0" xfId="3" applyFont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left" vertical="center"/>
    </xf>
    <xf numFmtId="0" fontId="7" fillId="0" borderId="8" xfId="3" applyFont="1" applyBorder="1" applyAlignment="1">
      <alignment horizontal="left"/>
    </xf>
    <xf numFmtId="0" fontId="6" fillId="2" borderId="51" xfId="3" applyFont="1" applyFill="1" applyBorder="1" applyAlignment="1">
      <alignment horizontal="center" vertical="center" wrapText="1"/>
    </xf>
    <xf numFmtId="0" fontId="6" fillId="2" borderId="49" xfId="3" applyFont="1" applyFill="1" applyBorder="1" applyAlignment="1">
      <alignment horizontal="center" vertical="center" wrapText="1"/>
    </xf>
    <xf numFmtId="0" fontId="6" fillId="2" borderId="28" xfId="3" applyFont="1" applyFill="1" applyBorder="1" applyAlignment="1">
      <alignment horizontal="center" vertical="center" wrapText="1"/>
    </xf>
    <xf numFmtId="164" fontId="7" fillId="0" borderId="29" xfId="3" applyNumberFormat="1" applyFont="1" applyBorder="1" applyAlignment="1">
      <alignment horizontal="center" vertical="center"/>
    </xf>
    <xf numFmtId="164" fontId="7" fillId="0" borderId="32" xfId="3" applyNumberFormat="1" applyFont="1" applyBorder="1" applyAlignment="1">
      <alignment horizontal="center" vertical="center"/>
    </xf>
    <xf numFmtId="164" fontId="7" fillId="0" borderId="47" xfId="2" applyNumberFormat="1" applyFont="1" applyFill="1" applyBorder="1" applyAlignment="1">
      <alignment horizontal="center"/>
    </xf>
    <xf numFmtId="164" fontId="7" fillId="0" borderId="62" xfId="2" applyNumberFormat="1" applyFont="1" applyFill="1" applyBorder="1" applyAlignment="1">
      <alignment horizontal="center"/>
    </xf>
    <xf numFmtId="164" fontId="7" fillId="0" borderId="34" xfId="3" applyNumberFormat="1" applyFont="1" applyBorder="1" applyAlignment="1">
      <alignment horizontal="center" vertical="center"/>
    </xf>
    <xf numFmtId="164" fontId="7" fillId="0" borderId="14" xfId="2" applyNumberFormat="1" applyFont="1" applyFill="1" applyBorder="1" applyAlignment="1">
      <alignment horizontal="center"/>
    </xf>
    <xf numFmtId="164" fontId="7" fillId="0" borderId="40" xfId="2" applyNumberFormat="1" applyFont="1" applyFill="1" applyBorder="1" applyAlignment="1">
      <alignment horizontal="center"/>
    </xf>
    <xf numFmtId="164" fontId="7" fillId="0" borderId="9" xfId="2" applyNumberFormat="1" applyFont="1" applyBorder="1" applyAlignment="1">
      <alignment horizontal="center"/>
    </xf>
    <xf numFmtId="164" fontId="25" fillId="0" borderId="8" xfId="0" applyNumberFormat="1" applyFont="1" applyBorder="1" applyAlignment="1">
      <alignment horizontal="center"/>
    </xf>
    <xf numFmtId="164" fontId="25" fillId="0" borderId="7" xfId="0" applyNumberFormat="1" applyFont="1" applyBorder="1" applyAlignment="1">
      <alignment horizontal="center"/>
    </xf>
    <xf numFmtId="164" fontId="25" fillId="0" borderId="3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164" fontId="25" fillId="2" borderId="7" xfId="0" applyNumberFormat="1" applyFont="1" applyFill="1" applyBorder="1" applyAlignment="1">
      <alignment horizontal="center"/>
    </xf>
    <xf numFmtId="164" fontId="7" fillId="3" borderId="51" xfId="2" applyNumberFormat="1" applyFont="1" applyFill="1" applyBorder="1" applyAlignment="1">
      <alignment horizontal="center"/>
    </xf>
    <xf numFmtId="3" fontId="7" fillId="0" borderId="5" xfId="3" applyNumberFormat="1" applyFont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164" fontId="3" fillId="0" borderId="0" xfId="3" applyNumberFormat="1" applyFont="1" applyAlignment="1">
      <alignment vertical="center"/>
    </xf>
    <xf numFmtId="0" fontId="7" fillId="0" borderId="0" xfId="3" applyFont="1" applyAlignment="1">
      <alignment vertical="center"/>
    </xf>
    <xf numFmtId="164" fontId="7" fillId="2" borderId="7" xfId="2" applyNumberFormat="1" applyFont="1" applyFill="1" applyBorder="1" applyAlignment="1">
      <alignment horizontal="center"/>
    </xf>
    <xf numFmtId="164" fontId="7" fillId="0" borderId="8" xfId="2" applyNumberFormat="1" applyFont="1" applyBorder="1" applyAlignment="1">
      <alignment horizontal="center"/>
    </xf>
    <xf numFmtId="164" fontId="2" fillId="0" borderId="5" xfId="3" applyNumberFormat="1" applyFont="1" applyBorder="1" applyAlignment="1">
      <alignment horizontal="center" vertical="center"/>
    </xf>
    <xf numFmtId="0" fontId="5" fillId="0" borderId="63" xfId="3" applyFont="1" applyBorder="1" applyAlignment="1">
      <alignment horizontal="center" vertical="center" wrapText="1"/>
    </xf>
    <xf numFmtId="164" fontId="7" fillId="0" borderId="2" xfId="3" applyNumberFormat="1" applyFont="1" applyBorder="1" applyAlignment="1">
      <alignment horizontal="center" vertical="center"/>
    </xf>
    <xf numFmtId="164" fontId="2" fillId="0" borderId="3" xfId="3" applyNumberFormat="1" applyFont="1" applyBorder="1" applyAlignment="1">
      <alignment horizontal="center" vertical="center"/>
    </xf>
    <xf numFmtId="164" fontId="7" fillId="0" borderId="4" xfId="3" applyNumberFormat="1" applyFont="1" applyFill="1" applyBorder="1" applyAlignment="1">
      <alignment horizontal="center" vertical="center"/>
    </xf>
    <xf numFmtId="0" fontId="5" fillId="0" borderId="14" xfId="3" applyFont="1" applyBorder="1" applyAlignment="1">
      <alignment horizontal="center" vertical="center" wrapText="1"/>
    </xf>
    <xf numFmtId="0" fontId="6" fillId="5" borderId="27" xfId="3" applyFont="1" applyFill="1" applyBorder="1" applyAlignment="1">
      <alignment horizontal="center" vertical="center" wrapText="1"/>
    </xf>
    <xf numFmtId="0" fontId="6" fillId="5" borderId="25" xfId="3" applyFont="1" applyFill="1" applyBorder="1" applyAlignment="1">
      <alignment horizontal="center" vertical="center" wrapText="1"/>
    </xf>
    <xf numFmtId="0" fontId="6" fillId="5" borderId="4" xfId="3" applyFont="1" applyFill="1" applyBorder="1" applyAlignment="1">
      <alignment horizontal="center" vertical="center" wrapText="1"/>
    </xf>
    <xf numFmtId="0" fontId="0" fillId="6" borderId="5" xfId="0" applyFill="1" applyBorder="1"/>
    <xf numFmtId="166" fontId="13" fillId="6" borderId="6" xfId="1" applyNumberFormat="1" applyFont="1" applyFill="1" applyBorder="1"/>
    <xf numFmtId="166" fontId="7" fillId="0" borderId="6" xfId="1" applyNumberFormat="1" applyFont="1" applyBorder="1"/>
    <xf numFmtId="166" fontId="7" fillId="0" borderId="6" xfId="1" applyNumberFormat="1" applyFont="1" applyBorder="1" applyAlignment="1">
      <alignment horizontal="center" vertical="center"/>
    </xf>
    <xf numFmtId="164" fontId="4" fillId="7" borderId="3" xfId="3" applyNumberFormat="1" applyFont="1" applyFill="1" applyBorder="1" applyAlignment="1">
      <alignment horizontal="center" vertical="center"/>
    </xf>
    <xf numFmtId="164" fontId="4" fillId="7" borderId="7" xfId="3" applyNumberFormat="1" applyFont="1" applyFill="1" applyBorder="1" applyAlignment="1">
      <alignment horizontal="center" vertical="center"/>
    </xf>
    <xf numFmtId="164" fontId="4" fillId="7" borderId="8" xfId="3" applyNumberFormat="1" applyFont="1" applyFill="1" applyBorder="1" applyAlignment="1">
      <alignment horizontal="center" vertical="center"/>
    </xf>
    <xf numFmtId="164" fontId="4" fillId="7" borderId="4" xfId="3" applyNumberFormat="1" applyFont="1" applyFill="1" applyBorder="1" applyAlignment="1">
      <alignment horizontal="center" vertical="center"/>
    </xf>
    <xf numFmtId="164" fontId="4" fillId="7" borderId="5" xfId="3" applyNumberFormat="1" applyFont="1" applyFill="1" applyBorder="1" applyAlignment="1">
      <alignment horizontal="center" vertical="center"/>
    </xf>
    <xf numFmtId="164" fontId="4" fillId="7" borderId="6" xfId="3" applyNumberFormat="1" applyFont="1" applyFill="1" applyBorder="1" applyAlignment="1">
      <alignment horizontal="center" vertical="center"/>
    </xf>
    <xf numFmtId="164" fontId="4" fillId="7" borderId="3" xfId="2" applyNumberFormat="1" applyFont="1" applyFill="1" applyBorder="1" applyAlignment="1">
      <alignment horizontal="center"/>
    </xf>
    <xf numFmtId="164" fontId="4" fillId="7" borderId="8" xfId="2" applyNumberFormat="1" applyFont="1" applyFill="1" applyBorder="1" applyAlignment="1">
      <alignment horizontal="center"/>
    </xf>
    <xf numFmtId="164" fontId="4" fillId="7" borderId="4" xfId="2" applyNumberFormat="1" applyFont="1" applyFill="1" applyBorder="1" applyAlignment="1">
      <alignment horizontal="center"/>
    </xf>
    <xf numFmtId="164" fontId="4" fillId="7" borderId="5" xfId="2" applyNumberFormat="1" applyFont="1" applyFill="1" applyBorder="1" applyAlignment="1">
      <alignment horizontal="center"/>
    </xf>
    <xf numFmtId="164" fontId="4" fillId="7" borderId="6" xfId="2" applyNumberFormat="1" applyFont="1" applyFill="1" applyBorder="1" applyAlignment="1">
      <alignment horizontal="center"/>
    </xf>
    <xf numFmtId="164" fontId="2" fillId="8" borderId="7" xfId="2" applyNumberFormat="1" applyFont="1" applyFill="1" applyBorder="1" applyAlignment="1">
      <alignment horizontal="center"/>
    </xf>
    <xf numFmtId="164" fontId="2" fillId="8" borderId="5" xfId="2" applyNumberFormat="1" applyFont="1" applyFill="1" applyBorder="1" applyAlignment="1">
      <alignment horizontal="center"/>
    </xf>
    <xf numFmtId="164" fontId="2" fillId="8" borderId="8" xfId="2" applyNumberFormat="1" applyFont="1" applyFill="1" applyBorder="1" applyAlignment="1">
      <alignment horizontal="center"/>
    </xf>
    <xf numFmtId="164" fontId="2" fillId="8" borderId="4" xfId="2" applyNumberFormat="1" applyFont="1" applyFill="1" applyBorder="1" applyAlignment="1">
      <alignment horizontal="center"/>
    </xf>
    <xf numFmtId="164" fontId="2" fillId="8" borderId="6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27" xfId="2" applyNumberFormat="1" applyFont="1" applyFill="1" applyBorder="1" applyAlignment="1">
      <alignment horizontal="center"/>
    </xf>
    <xf numFmtId="164" fontId="7" fillId="5" borderId="8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164" fontId="7" fillId="5" borderId="5" xfId="2" applyNumberFormat="1" applyFont="1" applyFill="1" applyBorder="1" applyAlignment="1">
      <alignment horizontal="center"/>
    </xf>
    <xf numFmtId="164" fontId="7" fillId="5" borderId="6" xfId="2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6" xfId="3" applyFont="1" applyBorder="1" applyAlignment="1">
      <alignment horizontal="left"/>
    </xf>
    <xf numFmtId="0" fontId="7" fillId="0" borderId="6" xfId="3" applyFont="1" applyFill="1" applyBorder="1" applyAlignment="1">
      <alignment horizontal="left"/>
    </xf>
    <xf numFmtId="3" fontId="4" fillId="7" borderId="3" xfId="2" applyNumberFormat="1" applyFont="1" applyFill="1" applyBorder="1" applyAlignment="1">
      <alignment horizontal="center"/>
    </xf>
    <xf numFmtId="3" fontId="4" fillId="7" borderId="5" xfId="2" applyNumberFormat="1" applyFont="1" applyFill="1" applyBorder="1" applyAlignment="1">
      <alignment horizontal="center"/>
    </xf>
    <xf numFmtId="3" fontId="4" fillId="7" borderId="8" xfId="2" applyNumberFormat="1" applyFont="1" applyFill="1" applyBorder="1" applyAlignment="1">
      <alignment horizontal="center"/>
    </xf>
    <xf numFmtId="3" fontId="4" fillId="7" borderId="4" xfId="2" applyNumberFormat="1" applyFont="1" applyFill="1" applyBorder="1" applyAlignment="1">
      <alignment horizontal="center"/>
    </xf>
    <xf numFmtId="3" fontId="4" fillId="7" borderId="6" xfId="2" applyNumberFormat="1" applyFont="1" applyFill="1" applyBorder="1" applyAlignment="1">
      <alignment horizontal="center"/>
    </xf>
    <xf numFmtId="3" fontId="4" fillId="7" borderId="7" xfId="2" applyNumberFormat="1" applyFont="1" applyFill="1" applyBorder="1" applyAlignment="1">
      <alignment horizontal="center"/>
    </xf>
    <xf numFmtId="3" fontId="2" fillId="8" borderId="3" xfId="2" applyNumberFormat="1" applyFont="1" applyFill="1" applyBorder="1" applyAlignment="1">
      <alignment horizontal="center"/>
    </xf>
    <xf numFmtId="3" fontId="2" fillId="8" borderId="7" xfId="2" applyNumberFormat="1" applyFont="1" applyFill="1" applyBorder="1" applyAlignment="1">
      <alignment horizontal="center"/>
    </xf>
    <xf numFmtId="3" fontId="2" fillId="8" borderId="8" xfId="2" applyNumberFormat="1" applyFont="1" applyFill="1" applyBorder="1" applyAlignment="1">
      <alignment horizontal="center"/>
    </xf>
    <xf numFmtId="3" fontId="2" fillId="8" borderId="4" xfId="2" applyNumberFormat="1" applyFont="1" applyFill="1" applyBorder="1" applyAlignment="1">
      <alignment horizontal="center"/>
    </xf>
    <xf numFmtId="3" fontId="2" fillId="8" borderId="5" xfId="2" applyNumberFormat="1" applyFont="1" applyFill="1" applyBorder="1" applyAlignment="1">
      <alignment horizontal="center"/>
    </xf>
    <xf numFmtId="3" fontId="2" fillId="8" borderId="6" xfId="2" applyNumberFormat="1" applyFont="1" applyFill="1" applyBorder="1" applyAlignment="1">
      <alignment horizontal="center"/>
    </xf>
    <xf numFmtId="0" fontId="2" fillId="9" borderId="4" xfId="3" applyFont="1" applyFill="1" applyBorder="1" applyAlignment="1">
      <alignment horizontal="center" vertical="center"/>
    </xf>
    <xf numFmtId="164" fontId="2" fillId="10" borderId="3" xfId="3" applyNumberFormat="1" applyFont="1" applyFill="1" applyBorder="1" applyAlignment="1">
      <alignment horizontal="center"/>
    </xf>
    <xf numFmtId="164" fontId="2" fillId="9" borderId="5" xfId="3" applyNumberFormat="1" applyFont="1" applyFill="1" applyBorder="1" applyAlignment="1">
      <alignment horizontal="center"/>
    </xf>
    <xf numFmtId="164" fontId="2" fillId="9" borderId="8" xfId="3" applyNumberFormat="1" applyFont="1" applyFill="1" applyBorder="1" applyAlignment="1">
      <alignment horizontal="center"/>
    </xf>
    <xf numFmtId="164" fontId="2" fillId="10" borderId="4" xfId="3" applyNumberFormat="1" applyFont="1" applyFill="1" applyBorder="1" applyAlignment="1">
      <alignment horizontal="center"/>
    </xf>
    <xf numFmtId="164" fontId="2" fillId="10" borderId="5" xfId="3" applyNumberFormat="1" applyFont="1" applyFill="1" applyBorder="1" applyAlignment="1">
      <alignment horizontal="center"/>
    </xf>
    <xf numFmtId="164" fontId="2" fillId="10" borderId="6" xfId="3" applyNumberFormat="1" applyFont="1" applyFill="1" applyBorder="1" applyAlignment="1">
      <alignment horizontal="center"/>
    </xf>
    <xf numFmtId="0" fontId="2" fillId="9" borderId="10" xfId="3" applyFont="1" applyFill="1" applyBorder="1" applyAlignment="1">
      <alignment horizontal="center" vertical="center"/>
    </xf>
    <xf numFmtId="0" fontId="2" fillId="9" borderId="11" xfId="3" applyFont="1" applyFill="1" applyBorder="1" applyAlignment="1">
      <alignment vertical="center"/>
    </xf>
    <xf numFmtId="0" fontId="2" fillId="9" borderId="12" xfId="3" applyFont="1" applyFill="1" applyBorder="1" applyAlignment="1">
      <alignment vertical="center"/>
    </xf>
    <xf numFmtId="164" fontId="2" fillId="10" borderId="37" xfId="3" applyNumberFormat="1" applyFont="1" applyFill="1" applyBorder="1" applyAlignment="1">
      <alignment horizontal="center"/>
    </xf>
    <xf numFmtId="164" fontId="2" fillId="9" borderId="11" xfId="3" applyNumberFormat="1" applyFont="1" applyFill="1" applyBorder="1" applyAlignment="1">
      <alignment horizontal="center"/>
    </xf>
    <xf numFmtId="164" fontId="2" fillId="9" borderId="31" xfId="3" applyNumberFormat="1" applyFont="1" applyFill="1" applyBorder="1" applyAlignment="1">
      <alignment horizontal="center"/>
    </xf>
    <xf numFmtId="164" fontId="2" fillId="10" borderId="10" xfId="3" applyNumberFormat="1" applyFont="1" applyFill="1" applyBorder="1" applyAlignment="1">
      <alignment horizontal="center"/>
    </xf>
    <xf numFmtId="164" fontId="2" fillId="10" borderId="11" xfId="3" applyNumberFormat="1" applyFont="1" applyFill="1" applyBorder="1" applyAlignment="1">
      <alignment horizontal="center"/>
    </xf>
    <xf numFmtId="164" fontId="2" fillId="10" borderId="12" xfId="3" applyNumberFormat="1" applyFont="1" applyFill="1" applyBorder="1" applyAlignment="1">
      <alignment horizontal="center"/>
    </xf>
    <xf numFmtId="167" fontId="19" fillId="0" borderId="65" xfId="4" applyNumberFormat="1" applyFont="1" applyFill="1" applyBorder="1" applyAlignment="1" applyProtection="1">
      <alignment horizontal="center" vertical="center" wrapText="1"/>
    </xf>
    <xf numFmtId="167" fontId="40" fillId="0" borderId="8" xfId="4" applyNumberFormat="1" applyFont="1" applyFill="1" applyBorder="1" applyAlignment="1" applyProtection="1">
      <alignment vertical="center" wrapText="1"/>
      <protection locked="0"/>
    </xf>
    <xf numFmtId="167" fontId="21" fillId="0" borderId="8" xfId="4" applyNumberFormat="1" applyFont="1" applyFill="1" applyBorder="1" applyAlignment="1" applyProtection="1">
      <alignment vertical="center" wrapText="1"/>
      <protection locked="0"/>
    </xf>
    <xf numFmtId="1" fontId="21" fillId="0" borderId="5" xfId="4" applyNumberFormat="1" applyFont="1" applyFill="1" applyBorder="1" applyAlignment="1" applyProtection="1">
      <alignment horizontal="right" vertical="center" wrapText="1"/>
      <protection locked="0"/>
    </xf>
    <xf numFmtId="167" fontId="21" fillId="0" borderId="23" xfId="4" applyNumberFormat="1" applyFont="1" applyFill="1" applyBorder="1" applyAlignment="1" applyProtection="1">
      <alignment vertical="center" wrapText="1"/>
      <protection locked="0"/>
    </xf>
    <xf numFmtId="166" fontId="24" fillId="0" borderId="0" xfId="1" applyNumberFormat="1" applyFont="1" applyAlignment="1">
      <alignment horizontal="center"/>
    </xf>
    <xf numFmtId="166" fontId="24" fillId="0" borderId="0" xfId="1" applyNumberFormat="1" applyFont="1" applyAlignment="1">
      <alignment horizontal="center" vertical="center"/>
    </xf>
    <xf numFmtId="166" fontId="25" fillId="0" borderId="0" xfId="1" applyNumberFormat="1" applyFont="1"/>
    <xf numFmtId="0" fontId="25" fillId="0" borderId="0" xfId="0" applyFont="1" applyAlignment="1">
      <alignment horizontal="left"/>
    </xf>
    <xf numFmtId="166" fontId="25" fillId="0" borderId="8" xfId="1" applyNumberFormat="1" applyFont="1" applyBorder="1" applyAlignment="1">
      <alignment horizontal="center"/>
    </xf>
    <xf numFmtId="166" fontId="25" fillId="0" borderId="7" xfId="1" applyNumberFormat="1" applyFont="1" applyBorder="1" applyAlignment="1">
      <alignment horizontal="center"/>
    </xf>
    <xf numFmtId="166" fontId="25" fillId="0" borderId="3" xfId="1" applyNumberFormat="1" applyFont="1" applyBorder="1" applyAlignment="1">
      <alignment horizontal="center"/>
    </xf>
    <xf numFmtId="0" fontId="7" fillId="0" borderId="5" xfId="3" applyFont="1" applyBorder="1" applyAlignment="1">
      <alignment horizontal="left" wrapText="1"/>
    </xf>
    <xf numFmtId="0" fontId="7" fillId="0" borderId="6" xfId="3" applyFont="1" applyBorder="1" applyAlignment="1">
      <alignment horizontal="left" wrapText="1"/>
    </xf>
    <xf numFmtId="0" fontId="44" fillId="8" borderId="5" xfId="3" applyFont="1" applyFill="1" applyBorder="1" applyAlignment="1">
      <alignment horizontal="left" wrapText="1"/>
    </xf>
    <xf numFmtId="0" fontId="44" fillId="8" borderId="6" xfId="3" applyFont="1" applyFill="1" applyBorder="1" applyAlignment="1">
      <alignment horizontal="left" wrapText="1"/>
    </xf>
    <xf numFmtId="0" fontId="7" fillId="2" borderId="5" xfId="3" applyFont="1" applyFill="1" applyBorder="1" applyAlignment="1">
      <alignment horizontal="center"/>
    </xf>
    <xf numFmtId="0" fontId="7" fillId="2" borderId="6" xfId="3" applyFont="1" applyFill="1" applyBorder="1" applyAlignment="1">
      <alignment horizontal="center"/>
    </xf>
    <xf numFmtId="0" fontId="2" fillId="0" borderId="5" xfId="3" applyFont="1" applyBorder="1" applyAlignment="1">
      <alignment horizontal="left"/>
    </xf>
    <xf numFmtId="0" fontId="2" fillId="0" borderId="6" xfId="3" applyFont="1" applyBorder="1" applyAlignment="1">
      <alignment horizontal="left"/>
    </xf>
    <xf numFmtId="0" fontId="2" fillId="9" borderId="5" xfId="3" applyFont="1" applyFill="1" applyBorder="1" applyAlignment="1">
      <alignment horizontal="left"/>
    </xf>
    <xf numFmtId="0" fontId="2" fillId="9" borderId="6" xfId="3" applyFont="1" applyFill="1" applyBorder="1" applyAlignment="1">
      <alignment horizontal="left"/>
    </xf>
    <xf numFmtId="0" fontId="7" fillId="0" borderId="5" xfId="3" applyFont="1" applyBorder="1" applyAlignment="1">
      <alignment horizontal="left"/>
    </xf>
    <xf numFmtId="0" fontId="7" fillId="0" borderId="6" xfId="3" applyFont="1" applyBorder="1" applyAlignment="1">
      <alignment horizontal="left"/>
    </xf>
    <xf numFmtId="0" fontId="4" fillId="0" borderId="5" xfId="3" applyFont="1" applyBorder="1" applyAlignment="1">
      <alignment horizontal="left"/>
    </xf>
    <xf numFmtId="0" fontId="4" fillId="0" borderId="6" xfId="3" applyFont="1" applyBorder="1" applyAlignment="1">
      <alignment horizontal="left"/>
    </xf>
    <xf numFmtId="0" fontId="44" fillId="8" borderId="5" xfId="3" applyFont="1" applyFill="1" applyBorder="1" applyAlignment="1">
      <alignment horizontal="left"/>
    </xf>
    <xf numFmtId="0" fontId="44" fillId="8" borderId="6" xfId="3" applyFont="1" applyFill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9" xfId="3" applyFont="1" applyBorder="1" applyAlignment="1">
      <alignment horizontal="left"/>
    </xf>
    <xf numFmtId="0" fontId="7" fillId="0" borderId="5" xfId="3" applyFont="1" applyBorder="1" applyAlignment="1">
      <alignment horizontal="left" vertical="center" wrapText="1"/>
    </xf>
    <xf numFmtId="0" fontId="7" fillId="0" borderId="6" xfId="3" applyFont="1" applyBorder="1" applyAlignment="1">
      <alignment horizontal="left" vertical="center" wrapText="1"/>
    </xf>
    <xf numFmtId="0" fontId="2" fillId="7" borderId="5" xfId="3" applyFont="1" applyFill="1" applyBorder="1" applyAlignment="1">
      <alignment horizontal="left" vertical="center" wrapText="1"/>
    </xf>
    <xf numFmtId="0" fontId="2" fillId="7" borderId="6" xfId="3" applyFont="1" applyFill="1" applyBorder="1" applyAlignment="1">
      <alignment horizontal="left" vertical="center" wrapText="1"/>
    </xf>
    <xf numFmtId="0" fontId="2" fillId="0" borderId="0" xfId="3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 vertical="center"/>
    </xf>
    <xf numFmtId="0" fontId="4" fillId="0" borderId="60" xfId="3" applyFont="1" applyBorder="1" applyAlignment="1">
      <alignment horizontal="right"/>
    </xf>
    <xf numFmtId="0" fontId="3" fillId="0" borderId="29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4" fillId="0" borderId="29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6" fillId="0" borderId="32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3" fillId="0" borderId="38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166" fontId="7" fillId="0" borderId="2" xfId="1" applyNumberFormat="1" applyFont="1" applyBorder="1" applyAlignment="1">
      <alignment horizontal="center" vertical="center" wrapText="1"/>
    </xf>
    <xf numFmtId="166" fontId="7" fillId="0" borderId="6" xfId="1" applyNumberFormat="1" applyFont="1" applyBorder="1" applyAlignment="1">
      <alignment horizontal="center" vertical="center" wrapText="1"/>
    </xf>
    <xf numFmtId="0" fontId="6" fillId="0" borderId="64" xfId="3" applyFont="1" applyBorder="1" applyAlignment="1">
      <alignment horizontal="center" vertical="center" wrapText="1"/>
    </xf>
    <xf numFmtId="0" fontId="6" fillId="0" borderId="53" xfId="3" applyFont="1" applyBorder="1" applyAlignment="1">
      <alignment horizontal="center" vertical="center" wrapText="1"/>
    </xf>
    <xf numFmtId="0" fontId="0" fillId="0" borderId="53" xfId="0" applyBorder="1" applyAlignment="1"/>
    <xf numFmtId="0" fontId="0" fillId="0" borderId="62" xfId="0" applyBorder="1" applyAlignment="1"/>
    <xf numFmtId="0" fontId="4" fillId="5" borderId="39" xfId="3" applyFont="1" applyFill="1" applyBorder="1" applyAlignment="1">
      <alignment horizontal="center" vertical="center"/>
    </xf>
    <xf numFmtId="0" fontId="4" fillId="5" borderId="40" xfId="3" applyFont="1" applyFill="1" applyBorder="1" applyAlignment="1">
      <alignment horizontal="center" vertical="center"/>
    </xf>
    <xf numFmtId="0" fontId="7" fillId="0" borderId="5" xfId="3" applyFont="1" applyBorder="1" applyAlignment="1">
      <alignment horizontal="left" vertical="center"/>
    </xf>
    <xf numFmtId="0" fontId="7" fillId="0" borderId="6" xfId="3" applyFont="1" applyBorder="1" applyAlignment="1">
      <alignment horizontal="left" vertical="center"/>
    </xf>
    <xf numFmtId="0" fontId="7" fillId="0" borderId="5" xfId="3" applyFont="1" applyBorder="1" applyAlignment="1">
      <alignment horizontal="right" vertical="center"/>
    </xf>
    <xf numFmtId="0" fontId="7" fillId="0" borderId="6" xfId="3" applyFont="1" applyBorder="1" applyAlignment="1">
      <alignment horizontal="right" vertical="center"/>
    </xf>
    <xf numFmtId="0" fontId="7" fillId="0" borderId="8" xfId="3" applyFont="1" applyBorder="1" applyAlignment="1">
      <alignment horizontal="right" wrapText="1"/>
    </xf>
    <xf numFmtId="0" fontId="7" fillId="0" borderId="9" xfId="3" applyFont="1" applyBorder="1" applyAlignment="1">
      <alignment horizontal="right" wrapText="1"/>
    </xf>
    <xf numFmtId="0" fontId="7" fillId="0" borderId="5" xfId="3" applyFont="1" applyBorder="1" applyAlignment="1">
      <alignment horizontal="right" vertical="center" wrapText="1"/>
    </xf>
    <xf numFmtId="0" fontId="7" fillId="0" borderId="6" xfId="3" applyFont="1" applyBorder="1" applyAlignment="1">
      <alignment horizontal="right" vertical="center" wrapText="1"/>
    </xf>
    <xf numFmtId="0" fontId="11" fillId="0" borderId="5" xfId="3" applyFont="1" applyBorder="1" applyAlignment="1">
      <alignment horizontal="left" wrapText="1"/>
    </xf>
    <xf numFmtId="0" fontId="11" fillId="0" borderId="6" xfId="3" applyFont="1" applyBorder="1" applyAlignment="1">
      <alignment horizontal="left" wrapText="1"/>
    </xf>
    <xf numFmtId="0" fontId="2" fillId="0" borderId="5" xfId="3" applyFont="1" applyBorder="1" applyAlignment="1">
      <alignment horizontal="left" wrapText="1"/>
    </xf>
    <xf numFmtId="0" fontId="2" fillId="0" borderId="6" xfId="3" applyFont="1" applyBorder="1" applyAlignment="1">
      <alignment horizontal="left" wrapText="1"/>
    </xf>
    <xf numFmtId="0" fontId="7" fillId="0" borderId="1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13" fillId="0" borderId="47" xfId="3" applyFont="1" applyBorder="1" applyAlignment="1">
      <alignment horizontal="center" vertical="center" wrapText="1"/>
    </xf>
    <xf numFmtId="0" fontId="13" fillId="0" borderId="5" xfId="3" applyFont="1" applyBorder="1" applyAlignment="1">
      <alignment horizontal="center" vertical="center" wrapText="1"/>
    </xf>
    <xf numFmtId="0" fontId="13" fillId="0" borderId="6" xfId="3" applyFont="1" applyBorder="1" applyAlignment="1">
      <alignment horizontal="center" vertical="center" wrapText="1"/>
    </xf>
    <xf numFmtId="0" fontId="2" fillId="7" borderId="5" xfId="3" applyFont="1" applyFill="1" applyBorder="1" applyAlignment="1">
      <alignment horizontal="left"/>
    </xf>
    <xf numFmtId="0" fontId="2" fillId="7" borderId="6" xfId="3" applyFont="1" applyFill="1" applyBorder="1" applyAlignment="1">
      <alignment horizontal="left"/>
    </xf>
    <xf numFmtId="0" fontId="4" fillId="5" borderId="5" xfId="3" applyFont="1" applyFill="1" applyBorder="1" applyAlignment="1">
      <alignment horizontal="center"/>
    </xf>
    <xf numFmtId="0" fontId="4" fillId="5" borderId="6" xfId="3" applyFont="1" applyFill="1" applyBorder="1" applyAlignment="1">
      <alignment horizontal="center"/>
    </xf>
    <xf numFmtId="0" fontId="0" fillId="0" borderId="6" xfId="0" applyBorder="1" applyAlignment="1">
      <alignment horizontal="right" vertical="center" wrapText="1"/>
    </xf>
    <xf numFmtId="0" fontId="2" fillId="7" borderId="8" xfId="3" applyFont="1" applyFill="1" applyBorder="1" applyAlignment="1">
      <alignment horizontal="left" vertical="center"/>
    </xf>
    <xf numFmtId="0" fontId="36" fillId="7" borderId="9" xfId="0" applyFont="1" applyFill="1" applyBorder="1" applyAlignment="1"/>
    <xf numFmtId="166" fontId="25" fillId="0" borderId="8" xfId="1" applyNumberFormat="1" applyFont="1" applyBorder="1" applyAlignment="1">
      <alignment horizontal="center"/>
    </xf>
    <xf numFmtId="166" fontId="25" fillId="0" borderId="7" xfId="1" applyNumberFormat="1" applyFont="1" applyBorder="1" applyAlignment="1">
      <alignment horizontal="center"/>
    </xf>
    <xf numFmtId="166" fontId="25" fillId="0" borderId="3" xfId="1" applyNumberFormat="1" applyFont="1" applyBorder="1" applyAlignment="1">
      <alignment horizontal="center"/>
    </xf>
    <xf numFmtId="164" fontId="25" fillId="0" borderId="8" xfId="0" applyNumberFormat="1" applyFont="1" applyFill="1" applyBorder="1" applyAlignment="1">
      <alignment horizontal="center"/>
    </xf>
    <xf numFmtId="164" fontId="25" fillId="0" borderId="7" xfId="0" applyNumberFormat="1" applyFont="1" applyFill="1" applyBorder="1" applyAlignment="1">
      <alignment horizontal="center"/>
    </xf>
    <xf numFmtId="164" fontId="25" fillId="0" borderId="3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6" fontId="25" fillId="0" borderId="8" xfId="1" applyNumberFormat="1" applyFont="1" applyFill="1" applyBorder="1" applyAlignment="1">
      <alignment horizontal="center"/>
    </xf>
    <xf numFmtId="166" fontId="25" fillId="0" borderId="7" xfId="1" applyNumberFormat="1" applyFont="1" applyFill="1" applyBorder="1" applyAlignment="1">
      <alignment horizontal="center"/>
    </xf>
    <xf numFmtId="166" fontId="25" fillId="0" borderId="3" xfId="1" applyNumberFormat="1" applyFont="1" applyFill="1" applyBorder="1" applyAlignment="1">
      <alignment horizontal="center"/>
    </xf>
    <xf numFmtId="164" fontId="26" fillId="3" borderId="8" xfId="0" applyNumberFormat="1" applyFont="1" applyFill="1" applyBorder="1" applyAlignment="1">
      <alignment horizontal="center"/>
    </xf>
    <xf numFmtId="164" fontId="26" fillId="3" borderId="7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166" fontId="25" fillId="0" borderId="52" xfId="1" applyNumberFormat="1" applyFont="1" applyBorder="1" applyAlignment="1">
      <alignment horizontal="center" vertical="center" wrapText="1"/>
    </xf>
    <xf numFmtId="166" fontId="25" fillId="0" borderId="53" xfId="1" applyNumberFormat="1" applyFont="1" applyBorder="1" applyAlignment="1">
      <alignment horizontal="center" vertical="center" wrapText="1"/>
    </xf>
    <xf numFmtId="166" fontId="25" fillId="0" borderId="51" xfId="1" applyNumberFormat="1" applyFont="1" applyBorder="1" applyAlignment="1">
      <alignment horizontal="center" vertical="center" wrapText="1"/>
    </xf>
    <xf numFmtId="166" fontId="25" fillId="0" borderId="25" xfId="1" applyNumberFormat="1" applyFont="1" applyBorder="1" applyAlignment="1">
      <alignment horizontal="center" vertical="center" wrapText="1"/>
    </xf>
    <xf numFmtId="166" fontId="25" fillId="0" borderId="26" xfId="1" applyNumberFormat="1" applyFont="1" applyBorder="1" applyAlignment="1">
      <alignment horizontal="center" vertical="center" wrapText="1"/>
    </xf>
    <xf numFmtId="166" fontId="25" fillId="0" borderId="27" xfId="1" applyNumberFormat="1" applyFont="1" applyBorder="1" applyAlignment="1">
      <alignment horizontal="center" vertical="center" wrapText="1"/>
    </xf>
    <xf numFmtId="164" fontId="25" fillId="11" borderId="8" xfId="0" applyNumberFormat="1" applyFont="1" applyFill="1" applyBorder="1" applyAlignment="1">
      <alignment horizontal="center"/>
    </xf>
    <xf numFmtId="164" fontId="25" fillId="11" borderId="7" xfId="0" applyNumberFormat="1" applyFont="1" applyFill="1" applyBorder="1" applyAlignment="1">
      <alignment horizontal="center"/>
    </xf>
    <xf numFmtId="164" fontId="25" fillId="11" borderId="3" xfId="0" applyNumberFormat="1" applyFont="1" applyFill="1" applyBorder="1" applyAlignment="1">
      <alignment horizontal="center"/>
    </xf>
    <xf numFmtId="0" fontId="25" fillId="0" borderId="8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8" xfId="0" quotePrefix="1" applyFont="1" applyBorder="1" applyAlignment="1">
      <alignment horizontal="center" vertical="center"/>
    </xf>
    <xf numFmtId="0" fontId="25" fillId="0" borderId="3" xfId="0" quotePrefix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64" fontId="25" fillId="0" borderId="8" xfId="0" applyNumberFormat="1" applyFont="1" applyBorder="1" applyAlignment="1">
      <alignment horizontal="center"/>
    </xf>
    <xf numFmtId="164" fontId="25" fillId="0" borderId="7" xfId="0" applyNumberFormat="1" applyFont="1" applyBorder="1" applyAlignment="1">
      <alignment horizontal="center"/>
    </xf>
    <xf numFmtId="164" fontId="25" fillId="0" borderId="3" xfId="0" applyNumberFormat="1" applyFont="1" applyBorder="1" applyAlignment="1">
      <alignment horizontal="center"/>
    </xf>
    <xf numFmtId="0" fontId="25" fillId="11" borderId="8" xfId="0" applyFont="1" applyFill="1" applyBorder="1" applyAlignment="1">
      <alignment horizontal="left" vertical="center" wrapText="1"/>
    </xf>
    <xf numFmtId="0" fontId="25" fillId="11" borderId="7" xfId="0" applyFont="1" applyFill="1" applyBorder="1" applyAlignment="1">
      <alignment horizontal="left" vertical="center" wrapText="1"/>
    </xf>
    <xf numFmtId="0" fontId="25" fillId="11" borderId="3" xfId="0" applyFont="1" applyFill="1" applyBorder="1" applyAlignment="1">
      <alignment horizontal="left" vertical="center" wrapText="1"/>
    </xf>
    <xf numFmtId="0" fontId="25" fillId="11" borderId="8" xfId="0" quotePrefix="1" applyFont="1" applyFill="1" applyBorder="1" applyAlignment="1">
      <alignment horizontal="center" vertical="center"/>
    </xf>
    <xf numFmtId="0" fontId="25" fillId="11" borderId="3" xfId="0" quotePrefix="1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6" fillId="0" borderId="25" xfId="0" applyFont="1" applyBorder="1" applyAlignment="1">
      <alignment horizontal="left" vertical="top" wrapText="1"/>
    </xf>
    <xf numFmtId="0" fontId="26" fillId="0" borderId="26" xfId="0" applyFont="1" applyBorder="1" applyAlignment="1">
      <alignment horizontal="left" vertical="top"/>
    </xf>
    <xf numFmtId="0" fontId="26" fillId="0" borderId="27" xfId="0" applyFont="1" applyBorder="1" applyAlignment="1">
      <alignment horizontal="left" vertical="top"/>
    </xf>
    <xf numFmtId="164" fontId="25" fillId="3" borderId="8" xfId="0" applyNumberFormat="1" applyFont="1" applyFill="1" applyBorder="1" applyAlignment="1">
      <alignment horizontal="center"/>
    </xf>
    <xf numFmtId="164" fontId="25" fillId="3" borderId="7" xfId="0" applyNumberFormat="1" applyFont="1" applyFill="1" applyBorder="1" applyAlignment="1">
      <alignment horizontal="center"/>
    </xf>
    <xf numFmtId="164" fontId="25" fillId="3" borderId="3" xfId="0" applyNumberFormat="1" applyFont="1" applyFill="1" applyBorder="1" applyAlignment="1">
      <alignment horizontal="center"/>
    </xf>
    <xf numFmtId="0" fontId="26" fillId="0" borderId="8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166" fontId="0" fillId="0" borderId="5" xfId="1" applyNumberFormat="1" applyFont="1" applyBorder="1" applyAlignment="1"/>
    <xf numFmtId="164" fontId="26" fillId="0" borderId="8" xfId="0" applyNumberFormat="1" applyFont="1" applyBorder="1" applyAlignment="1">
      <alignment horizontal="center"/>
    </xf>
    <xf numFmtId="164" fontId="26" fillId="0" borderId="7" xfId="0" applyNumberFormat="1" applyFont="1" applyBorder="1" applyAlignment="1">
      <alignment horizontal="center"/>
    </xf>
    <xf numFmtId="164" fontId="26" fillId="0" borderId="3" xfId="0" applyNumberFormat="1" applyFont="1" applyBorder="1" applyAlignment="1">
      <alignment horizontal="center"/>
    </xf>
    <xf numFmtId="0" fontId="25" fillId="12" borderId="8" xfId="0" applyFont="1" applyFill="1" applyBorder="1" applyAlignment="1">
      <alignment horizontal="left" vertical="center" wrapText="1"/>
    </xf>
    <xf numFmtId="0" fontId="25" fillId="12" borderId="7" xfId="0" applyFont="1" applyFill="1" applyBorder="1" applyAlignment="1">
      <alignment horizontal="left" vertical="center" wrapText="1"/>
    </xf>
    <xf numFmtId="0" fontId="25" fillId="12" borderId="3" xfId="0" applyFont="1" applyFill="1" applyBorder="1" applyAlignment="1">
      <alignment horizontal="left" vertical="center" wrapText="1"/>
    </xf>
    <xf numFmtId="0" fontId="25" fillId="12" borderId="8" xfId="0" applyFont="1" applyFill="1" applyBorder="1" applyAlignment="1">
      <alignment horizontal="left" vertical="center"/>
    </xf>
    <xf numFmtId="0" fontId="25" fillId="12" borderId="7" xfId="0" applyFont="1" applyFill="1" applyBorder="1" applyAlignment="1">
      <alignment horizontal="left" vertical="center"/>
    </xf>
    <xf numFmtId="0" fontId="25" fillId="12" borderId="3" xfId="0" applyFont="1" applyFill="1" applyBorder="1" applyAlignment="1">
      <alignment horizontal="left" vertical="center"/>
    </xf>
    <xf numFmtId="0" fontId="27" fillId="0" borderId="8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164" fontId="25" fillId="2" borderId="8" xfId="0" applyNumberFormat="1" applyFont="1" applyFill="1" applyBorder="1" applyAlignment="1">
      <alignment horizontal="center"/>
    </xf>
    <xf numFmtId="164" fontId="25" fillId="2" borderId="7" xfId="0" applyNumberFormat="1" applyFont="1" applyFill="1" applyBorder="1" applyAlignment="1">
      <alignment horizontal="center"/>
    </xf>
    <xf numFmtId="164" fontId="25" fillId="2" borderId="3" xfId="0" applyNumberFormat="1" applyFont="1" applyFill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66" fontId="25" fillId="0" borderId="52" xfId="1" applyNumberFormat="1" applyFont="1" applyBorder="1" applyAlignment="1">
      <alignment horizontal="center" vertical="center"/>
    </xf>
    <xf numFmtId="166" fontId="25" fillId="0" borderId="53" xfId="1" applyNumberFormat="1" applyFont="1" applyBorder="1" applyAlignment="1">
      <alignment horizontal="center" vertical="center"/>
    </xf>
    <xf numFmtId="166" fontId="25" fillId="0" borderId="51" xfId="1" applyNumberFormat="1" applyFont="1" applyBorder="1" applyAlignment="1">
      <alignment horizontal="center" vertical="center"/>
    </xf>
    <xf numFmtId="166" fontId="25" fillId="0" borderId="25" xfId="1" applyNumberFormat="1" applyFont="1" applyBorder="1" applyAlignment="1">
      <alignment horizontal="center" vertical="center"/>
    </xf>
    <xf numFmtId="166" fontId="25" fillId="0" borderId="26" xfId="1" applyNumberFormat="1" applyFont="1" applyBorder="1" applyAlignment="1">
      <alignment horizontal="center" vertical="center"/>
    </xf>
    <xf numFmtId="166" fontId="25" fillId="0" borderId="27" xfId="1" applyNumberFormat="1" applyFont="1" applyBorder="1" applyAlignment="1">
      <alignment horizontal="center" vertical="center"/>
    </xf>
    <xf numFmtId="166" fontId="25" fillId="2" borderId="8" xfId="1" applyNumberFormat="1" applyFont="1" applyFill="1" applyBorder="1" applyAlignment="1">
      <alignment horizontal="center"/>
    </xf>
    <xf numFmtId="166" fontId="25" fillId="2" borderId="7" xfId="1" applyNumberFormat="1" applyFont="1" applyFill="1" applyBorder="1" applyAlignment="1">
      <alignment horizontal="center"/>
    </xf>
    <xf numFmtId="166" fontId="25" fillId="2" borderId="3" xfId="1" applyNumberFormat="1" applyFont="1" applyFill="1" applyBorder="1" applyAlignment="1">
      <alignment horizontal="center"/>
    </xf>
    <xf numFmtId="166" fontId="26" fillId="0" borderId="8" xfId="1" applyNumberFormat="1" applyFont="1" applyBorder="1" applyAlignment="1">
      <alignment horizontal="center"/>
    </xf>
    <xf numFmtId="166" fontId="26" fillId="0" borderId="7" xfId="1" applyNumberFormat="1" applyFont="1" applyBorder="1" applyAlignment="1">
      <alignment horizontal="center"/>
    </xf>
    <xf numFmtId="166" fontId="26" fillId="0" borderId="3" xfId="1" applyNumberFormat="1" applyFont="1" applyBorder="1" applyAlignment="1">
      <alignment horizontal="center"/>
    </xf>
    <xf numFmtId="0" fontId="35" fillId="0" borderId="0" xfId="4" applyFont="1" applyFill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167" fontId="18" fillId="0" borderId="29" xfId="4" applyNumberFormat="1" applyFont="1" applyFill="1" applyBorder="1" applyAlignment="1">
      <alignment horizontal="center" vertical="center" wrapText="1"/>
    </xf>
    <xf numFmtId="167" fontId="18" fillId="0" borderId="5" xfId="4" applyNumberFormat="1" applyFont="1" applyFill="1" applyBorder="1" applyAlignment="1">
      <alignment horizontal="center" vertical="center" wrapText="1"/>
    </xf>
    <xf numFmtId="167" fontId="18" fillId="0" borderId="36" xfId="4" applyNumberFormat="1" applyFont="1" applyFill="1" applyBorder="1" applyAlignment="1">
      <alignment horizontal="center" vertical="center" wrapText="1"/>
    </xf>
    <xf numFmtId="167" fontId="18" fillId="0" borderId="40" xfId="4" applyNumberFormat="1" applyFont="1" applyFill="1" applyBorder="1" applyAlignment="1">
      <alignment horizontal="center" vertical="center" wrapText="1"/>
    </xf>
    <xf numFmtId="167" fontId="18" fillId="0" borderId="10" xfId="4" applyNumberFormat="1" applyFont="1" applyFill="1" applyBorder="1" applyAlignment="1">
      <alignment horizontal="left" vertical="center" wrapText="1" indent="2"/>
    </xf>
    <xf numFmtId="167" fontId="18" fillId="0" borderId="11" xfId="4" applyNumberFormat="1" applyFont="1" applyFill="1" applyBorder="1" applyAlignment="1">
      <alignment horizontal="left" vertical="center" wrapText="1" indent="2"/>
    </xf>
    <xf numFmtId="167" fontId="18" fillId="0" borderId="1" xfId="4" applyNumberFormat="1" applyFont="1" applyFill="1" applyBorder="1" applyAlignment="1">
      <alignment horizontal="center" vertical="center" wrapText="1"/>
    </xf>
    <xf numFmtId="167" fontId="18" fillId="0" borderId="4" xfId="4" applyNumberFormat="1" applyFont="1" applyFill="1" applyBorder="1" applyAlignment="1">
      <alignment horizontal="center" vertical="center" wrapText="1"/>
    </xf>
    <xf numFmtId="167" fontId="18" fillId="0" borderId="29" xfId="4" applyNumberFormat="1" applyFont="1" applyFill="1" applyBorder="1" applyAlignment="1">
      <alignment horizontal="center" vertical="center"/>
    </xf>
    <xf numFmtId="167" fontId="18" fillId="0" borderId="5" xfId="4" applyNumberFormat="1" applyFont="1" applyFill="1" applyBorder="1" applyAlignment="1">
      <alignment horizontal="center" vertical="center"/>
    </xf>
    <xf numFmtId="167" fontId="18" fillId="0" borderId="54" xfId="4" applyNumberFormat="1" applyFont="1" applyFill="1" applyBorder="1" applyAlignment="1">
      <alignment horizontal="center" vertical="center"/>
    </xf>
    <xf numFmtId="167" fontId="18" fillId="0" borderId="55" xfId="4" applyNumberFormat="1" applyFont="1" applyFill="1" applyBorder="1" applyAlignment="1">
      <alignment horizontal="center" vertical="center"/>
    </xf>
    <xf numFmtId="167" fontId="18" fillId="0" borderId="42" xfId="4" applyNumberFormat="1" applyFont="1" applyFill="1" applyBorder="1" applyAlignment="1">
      <alignment horizontal="left" vertical="center" wrapText="1" indent="2"/>
    </xf>
    <xf numFmtId="167" fontId="18" fillId="0" borderId="56" xfId="4" applyNumberFormat="1" applyFont="1" applyFill="1" applyBorder="1" applyAlignment="1">
      <alignment horizontal="left" vertical="center" wrapText="1" indent="2"/>
    </xf>
    <xf numFmtId="167" fontId="14" fillId="0" borderId="0" xfId="4" applyNumberFormat="1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67" fontId="18" fillId="0" borderId="54" xfId="4" applyNumberFormat="1" applyFont="1" applyFill="1" applyBorder="1" applyAlignment="1">
      <alignment horizontal="center" vertical="center" wrapText="1"/>
    </xf>
    <xf numFmtId="167" fontId="18" fillId="0" borderId="55" xfId="4" applyNumberFormat="1" applyFont="1" applyFill="1" applyBorder="1" applyAlignment="1">
      <alignment horizontal="center" vertical="center" wrapText="1"/>
    </xf>
    <xf numFmtId="167" fontId="18" fillId="0" borderId="57" xfId="4" applyNumberFormat="1" applyFont="1" applyFill="1" applyBorder="1" applyAlignment="1">
      <alignment horizontal="center" vertical="center"/>
    </xf>
    <xf numFmtId="167" fontId="18" fillId="0" borderId="58" xfId="4" applyNumberFormat="1" applyFont="1" applyFill="1" applyBorder="1" applyAlignment="1">
      <alignment horizontal="center" vertical="center"/>
    </xf>
    <xf numFmtId="167" fontId="18" fillId="0" borderId="59" xfId="4" applyNumberFormat="1" applyFont="1" applyFill="1" applyBorder="1" applyAlignment="1">
      <alignment horizontal="center" vertical="center"/>
    </xf>
    <xf numFmtId="0" fontId="5" fillId="0" borderId="47" xfId="3" applyFont="1" applyBorder="1" applyAlignment="1">
      <alignment horizontal="center" vertical="center" wrapText="1"/>
    </xf>
    <xf numFmtId="0" fontId="4" fillId="0" borderId="38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49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right"/>
    </xf>
    <xf numFmtId="0" fontId="7" fillId="0" borderId="8" xfId="3" applyFont="1" applyBorder="1" applyAlignment="1">
      <alignment horizontal="left" vertical="center" wrapText="1"/>
    </xf>
    <xf numFmtId="0" fontId="7" fillId="0" borderId="8" xfId="3" applyFont="1" applyBorder="1" applyAlignment="1">
      <alignment horizontal="left" vertical="center"/>
    </xf>
    <xf numFmtId="0" fontId="7" fillId="0" borderId="8" xfId="3" applyFont="1" applyBorder="1" applyAlignment="1">
      <alignment horizontal="right" vertical="center"/>
    </xf>
    <xf numFmtId="0" fontId="7" fillId="0" borderId="5" xfId="3" applyFont="1" applyBorder="1" applyAlignment="1">
      <alignment horizontal="right" wrapText="1"/>
    </xf>
    <xf numFmtId="0" fontId="7" fillId="0" borderId="8" xfId="3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7" fillId="0" borderId="8" xfId="3" applyFont="1" applyBorder="1" applyAlignment="1">
      <alignment horizontal="left" wrapText="1"/>
    </xf>
    <xf numFmtId="0" fontId="2" fillId="0" borderId="8" xfId="3" applyFont="1" applyBorder="1" applyAlignment="1">
      <alignment horizontal="left" wrapText="1"/>
    </xf>
    <xf numFmtId="0" fontId="7" fillId="2" borderId="8" xfId="3" applyFont="1" applyFill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4" fillId="0" borderId="8" xfId="3" applyFont="1" applyBorder="1" applyAlignment="1">
      <alignment horizontal="left"/>
    </xf>
    <xf numFmtId="0" fontId="2" fillId="0" borderId="8" xfId="3" applyFont="1" applyBorder="1" applyAlignment="1">
      <alignment horizontal="left"/>
    </xf>
    <xf numFmtId="0" fontId="11" fillId="0" borderId="8" xfId="3" applyFont="1" applyBorder="1" applyAlignment="1">
      <alignment horizontal="left" wrapText="1"/>
    </xf>
    <xf numFmtId="0" fontId="1" fillId="0" borderId="2" xfId="3" applyFont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 wrapText="1"/>
    </xf>
    <xf numFmtId="0" fontId="6" fillId="0" borderId="23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61" xfId="0" applyBorder="1" applyAlignment="1">
      <alignment horizontal="center"/>
    </xf>
    <xf numFmtId="0" fontId="13" fillId="0" borderId="29" xfId="3" applyFont="1" applyBorder="1" applyAlignment="1">
      <alignment horizontal="center" vertical="center" wrapText="1"/>
    </xf>
    <xf numFmtId="0" fontId="1" fillId="0" borderId="29" xfId="3" applyFont="1" applyBorder="1" applyAlignment="1">
      <alignment horizontal="center" vertical="center" wrapText="1"/>
    </xf>
    <xf numFmtId="0" fontId="1" fillId="0" borderId="5" xfId="3" applyFont="1" applyBorder="1" applyAlignment="1">
      <alignment horizontal="center" vertical="center" wrapText="1"/>
    </xf>
    <xf numFmtId="0" fontId="6" fillId="0" borderId="29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0" xfId="0" applyBorder="1" applyAlignment="1">
      <alignment horizontal="right"/>
    </xf>
    <xf numFmtId="0" fontId="6" fillId="0" borderId="49" xfId="3" applyFont="1" applyBorder="1" applyAlignment="1">
      <alignment horizontal="center" vertical="center" wrapText="1"/>
    </xf>
    <xf numFmtId="0" fontId="4" fillId="0" borderId="35" xfId="3" applyFont="1" applyBorder="1" applyAlignment="1">
      <alignment horizontal="center" vertical="center"/>
    </xf>
    <xf numFmtId="0" fontId="7" fillId="0" borderId="29" xfId="3" applyFont="1" applyBorder="1" applyAlignment="1">
      <alignment horizontal="left" vertical="center" wrapText="1"/>
    </xf>
    <xf numFmtId="0" fontId="7" fillId="0" borderId="38" xfId="3" applyFont="1" applyBorder="1" applyAlignment="1">
      <alignment horizontal="left" vertical="center" wrapText="1"/>
    </xf>
    <xf numFmtId="0" fontId="7" fillId="4" borderId="5" xfId="3" applyFont="1" applyFill="1" applyBorder="1" applyAlignment="1">
      <alignment horizontal="left"/>
    </xf>
    <xf numFmtId="0" fontId="7" fillId="4" borderId="8" xfId="3" applyFont="1" applyFill="1" applyBorder="1" applyAlignment="1">
      <alignment horizontal="left"/>
    </xf>
    <xf numFmtId="0" fontId="4" fillId="4" borderId="5" xfId="3" applyFont="1" applyFill="1" applyBorder="1" applyAlignment="1">
      <alignment horizontal="left"/>
    </xf>
    <xf numFmtId="0" fontId="4" fillId="4" borderId="8" xfId="3" applyFont="1" applyFill="1" applyBorder="1" applyAlignment="1">
      <alignment horizontal="left"/>
    </xf>
    <xf numFmtId="0" fontId="3" fillId="0" borderId="35" xfId="3" applyFont="1" applyBorder="1" applyAlignment="1">
      <alignment horizontal="center" vertical="center" wrapText="1"/>
    </xf>
    <xf numFmtId="0" fontId="3" fillId="0" borderId="39" xfId="3" applyFont="1" applyBorder="1" applyAlignment="1">
      <alignment horizontal="center" vertical="center" wrapText="1"/>
    </xf>
    <xf numFmtId="0" fontId="6" fillId="0" borderId="52" xfId="3" applyFont="1" applyBorder="1" applyAlignment="1">
      <alignment horizontal="center" vertical="center" wrapText="1"/>
    </xf>
    <xf numFmtId="0" fontId="6" fillId="0" borderId="51" xfId="3" applyFont="1" applyBorder="1" applyAlignment="1">
      <alignment horizontal="center" vertical="center" wrapText="1"/>
    </xf>
    <xf numFmtId="0" fontId="6" fillId="0" borderId="35" xfId="3" applyFont="1" applyBorder="1" applyAlignment="1">
      <alignment horizontal="center" vertical="center" wrapText="1"/>
    </xf>
    <xf numFmtId="0" fontId="6" fillId="0" borderId="39" xfId="3" applyFont="1" applyBorder="1" applyAlignment="1">
      <alignment horizontal="center" vertical="center" wrapText="1"/>
    </xf>
    <xf numFmtId="0" fontId="2" fillId="0" borderId="11" xfId="3" applyFont="1" applyBorder="1" applyAlignment="1">
      <alignment horizontal="left" wrapText="1"/>
    </xf>
    <xf numFmtId="0" fontId="2" fillId="0" borderId="31" xfId="3" applyFont="1" applyBorder="1" applyAlignment="1">
      <alignment horizontal="left" wrapText="1"/>
    </xf>
    <xf numFmtId="0" fontId="7" fillId="2" borderId="13" xfId="3" applyFont="1" applyFill="1" applyBorder="1" applyAlignment="1">
      <alignment horizontal="center"/>
    </xf>
    <xf numFmtId="0" fontId="4" fillId="0" borderId="29" xfId="3" applyFont="1" applyBorder="1" applyAlignment="1">
      <alignment horizontal="center"/>
    </xf>
    <xf numFmtId="0" fontId="4" fillId="0" borderId="38" xfId="3" applyFont="1" applyBorder="1" applyAlignment="1">
      <alignment horizontal="center"/>
    </xf>
    <xf numFmtId="167" fontId="14" fillId="0" borderId="0" xfId="4" applyNumberFormat="1" applyFont="1" applyFill="1" applyAlignment="1">
      <alignment vertical="center" wrapText="1"/>
    </xf>
  </cellXfs>
  <cellStyles count="5">
    <cellStyle name="Ezres" xfId="1" builtinId="3"/>
    <cellStyle name="Ezres_Ktgvetési rendelet mellékletek_2008_Eszteregnye" xfId="2"/>
    <cellStyle name="Normál" xfId="0" builtinId="0"/>
    <cellStyle name="Normál_Ktgvetési rendelet mellékletek_2008_Eszteregnye" xfId="3"/>
    <cellStyle name="Normál_KVIREND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15/El&#337;ir&#225;nyzat%20m&#243;dos&#237;t&#225;s/2015%2012%2031-i%20m&#243;dos&#237;t&#225;s/S&#225;rmell&#233;k%20K&#246;zs&#233;g%20&#214;nkorm%202015%20k&#246;lts&#233;gv.%2012%2031-i%20m&#243;dos&#237;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tartalék"/>
      <sheetName val="15"/>
      <sheetName val="5"/>
      <sheetName val="Inézményi műk bevé."/>
      <sheetName val="Kapott támogatások"/>
      <sheetName val="6"/>
      <sheetName val="4"/>
      <sheetName val="7"/>
      <sheetName val="8"/>
      <sheetName val="9"/>
      <sheetName val="14"/>
      <sheetName val="13"/>
      <sheetName val="12"/>
      <sheetName val="11"/>
      <sheetName val="10"/>
      <sheetName val="2"/>
      <sheetName val="16"/>
    </sheetNames>
    <sheetDataSet>
      <sheetData sheetId="0"/>
      <sheetData sheetId="1"/>
      <sheetData sheetId="2"/>
      <sheetData sheetId="3">
        <row r="10">
          <cell r="E10">
            <v>24948</v>
          </cell>
          <cell r="F10">
            <v>0</v>
          </cell>
        </row>
        <row r="11">
          <cell r="E11">
            <v>6453</v>
          </cell>
          <cell r="F11">
            <v>0</v>
          </cell>
        </row>
        <row r="12">
          <cell r="E12">
            <v>59770</v>
          </cell>
          <cell r="F12">
            <v>0</v>
          </cell>
        </row>
        <row r="13">
          <cell r="E13">
            <v>0</v>
          </cell>
          <cell r="F13">
            <v>0</v>
          </cell>
        </row>
        <row r="15">
          <cell r="E15">
            <v>8486</v>
          </cell>
          <cell r="F15">
            <v>3797</v>
          </cell>
        </row>
        <row r="16"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16270</v>
          </cell>
          <cell r="F18">
            <v>0</v>
          </cell>
        </row>
        <row r="19">
          <cell r="F19">
            <v>0</v>
          </cell>
        </row>
        <row r="20">
          <cell r="E20">
            <v>0</v>
          </cell>
        </row>
        <row r="21">
          <cell r="E21">
            <v>61802</v>
          </cell>
          <cell r="F21">
            <v>10609</v>
          </cell>
        </row>
        <row r="23">
          <cell r="E23">
            <v>0</v>
          </cell>
          <cell r="F23">
            <v>3714</v>
          </cell>
        </row>
        <row r="24">
          <cell r="E24">
            <v>0</v>
          </cell>
          <cell r="F24">
            <v>19075</v>
          </cell>
        </row>
        <row r="25">
          <cell r="E25">
            <v>0</v>
          </cell>
          <cell r="F25">
            <v>3872</v>
          </cell>
        </row>
        <row r="33">
          <cell r="E33">
            <v>14367</v>
          </cell>
          <cell r="F33">
            <v>0</v>
          </cell>
        </row>
        <row r="35">
          <cell r="E35">
            <v>36715</v>
          </cell>
          <cell r="F35">
            <v>0</v>
          </cell>
        </row>
        <row r="36">
          <cell r="E36">
            <v>4500</v>
          </cell>
          <cell r="F36">
            <v>0</v>
          </cell>
        </row>
        <row r="37">
          <cell r="E37">
            <v>550</v>
          </cell>
          <cell r="F37">
            <v>0</v>
          </cell>
        </row>
        <row r="39">
          <cell r="E39">
            <v>179325</v>
          </cell>
          <cell r="F39">
            <v>0</v>
          </cell>
        </row>
        <row r="40">
          <cell r="E40">
            <v>0</v>
          </cell>
          <cell r="F40">
            <v>0</v>
          </cell>
        </row>
        <row r="41">
          <cell r="E41">
            <v>0</v>
          </cell>
          <cell r="F41">
            <v>0</v>
          </cell>
        </row>
        <row r="43">
          <cell r="E43">
            <v>7844</v>
          </cell>
          <cell r="F43">
            <v>7349</v>
          </cell>
        </row>
        <row r="44">
          <cell r="E44">
            <v>0</v>
          </cell>
          <cell r="F44">
            <v>0</v>
          </cell>
        </row>
        <row r="45">
          <cell r="E45">
            <v>1230</v>
          </cell>
          <cell r="F45">
            <v>0</v>
          </cell>
        </row>
        <row r="46">
          <cell r="E46">
            <v>0</v>
          </cell>
          <cell r="F46">
            <v>0</v>
          </cell>
        </row>
        <row r="49">
          <cell r="E49">
            <v>0</v>
          </cell>
          <cell r="F49">
            <v>5372</v>
          </cell>
        </row>
        <row r="50">
          <cell r="E50">
            <v>0</v>
          </cell>
          <cell r="F50">
            <v>9769</v>
          </cell>
        </row>
        <row r="52"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5">
          <cell r="E55">
            <v>0</v>
          </cell>
          <cell r="F55">
            <v>24113</v>
          </cell>
        </row>
        <row r="56">
          <cell r="E56">
            <v>0</v>
          </cell>
          <cell r="F56">
            <v>0</v>
          </cell>
        </row>
        <row r="57">
          <cell r="E57">
            <v>0</v>
          </cell>
          <cell r="F57">
            <v>0</v>
          </cell>
        </row>
        <row r="65">
          <cell r="E65">
            <v>23072</v>
          </cell>
          <cell r="F6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D10">
            <v>25421</v>
          </cell>
          <cell r="F10">
            <v>0</v>
          </cell>
        </row>
        <row r="11">
          <cell r="D11">
            <v>6908</v>
          </cell>
          <cell r="F11">
            <v>0</v>
          </cell>
        </row>
        <row r="12">
          <cell r="D12">
            <v>4737</v>
          </cell>
          <cell r="F12">
            <v>0</v>
          </cell>
        </row>
        <row r="13">
          <cell r="D13">
            <v>0</v>
          </cell>
          <cell r="F13">
            <v>0</v>
          </cell>
        </row>
        <row r="15">
          <cell r="D15">
            <v>0</v>
          </cell>
          <cell r="F15">
            <v>0</v>
          </cell>
        </row>
        <row r="16">
          <cell r="D16">
            <v>0</v>
          </cell>
          <cell r="F16">
            <v>0</v>
          </cell>
        </row>
        <row r="17">
          <cell r="D17">
            <v>0</v>
          </cell>
          <cell r="F17">
            <v>0</v>
          </cell>
        </row>
        <row r="18">
          <cell r="D18">
            <v>0</v>
          </cell>
          <cell r="F18">
            <v>0</v>
          </cell>
        </row>
        <row r="19">
          <cell r="F19">
            <v>0</v>
          </cell>
        </row>
        <row r="20">
          <cell r="D20">
            <v>0</v>
          </cell>
        </row>
        <row r="23">
          <cell r="D23">
            <v>0</v>
          </cell>
          <cell r="F23">
            <v>0</v>
          </cell>
        </row>
        <row r="24">
          <cell r="D24">
            <v>0</v>
          </cell>
          <cell r="F24">
            <v>0</v>
          </cell>
        </row>
        <row r="25">
          <cell r="D25">
            <v>0</v>
          </cell>
          <cell r="F25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F34">
            <v>0</v>
          </cell>
        </row>
        <row r="35">
          <cell r="D35">
            <v>0</v>
          </cell>
          <cell r="F35">
            <v>0</v>
          </cell>
        </row>
        <row r="36">
          <cell r="D36">
            <v>0</v>
          </cell>
          <cell r="F36">
            <v>0</v>
          </cell>
        </row>
        <row r="38">
          <cell r="D38">
            <v>0</v>
          </cell>
          <cell r="F38">
            <v>0</v>
          </cell>
        </row>
        <row r="39">
          <cell r="D39">
            <v>0</v>
          </cell>
          <cell r="F39">
            <v>0</v>
          </cell>
        </row>
        <row r="40">
          <cell r="D40">
            <v>0</v>
          </cell>
          <cell r="F40">
            <v>0</v>
          </cell>
        </row>
        <row r="42">
          <cell r="D42">
            <v>995</v>
          </cell>
          <cell r="F42">
            <v>0</v>
          </cell>
        </row>
        <row r="43">
          <cell r="D43">
            <v>0</v>
          </cell>
          <cell r="F43">
            <v>0</v>
          </cell>
        </row>
        <row r="44">
          <cell r="D44">
            <v>0</v>
          </cell>
          <cell r="F44">
            <v>0</v>
          </cell>
        </row>
        <row r="45">
          <cell r="D45">
            <v>0</v>
          </cell>
          <cell r="F45">
            <v>0</v>
          </cell>
        </row>
        <row r="48">
          <cell r="D48">
            <v>0</v>
          </cell>
          <cell r="F48">
            <v>0</v>
          </cell>
        </row>
        <row r="49">
          <cell r="D49">
            <v>0</v>
          </cell>
          <cell r="F49">
            <v>0</v>
          </cell>
        </row>
        <row r="51">
          <cell r="D51">
            <v>0</v>
          </cell>
          <cell r="F51">
            <v>0</v>
          </cell>
        </row>
        <row r="52">
          <cell r="D52">
            <v>0</v>
          </cell>
          <cell r="F52">
            <v>0</v>
          </cell>
        </row>
        <row r="54">
          <cell r="D54">
            <v>0</v>
          </cell>
          <cell r="F54">
            <v>0</v>
          </cell>
        </row>
        <row r="55">
          <cell r="D55">
            <v>0</v>
          </cell>
          <cell r="F55">
            <v>0</v>
          </cell>
        </row>
        <row r="56">
          <cell r="D56">
            <v>0</v>
          </cell>
          <cell r="F56">
            <v>0</v>
          </cell>
        </row>
        <row r="62">
          <cell r="D62">
            <v>34265</v>
          </cell>
          <cell r="F62">
            <v>0</v>
          </cell>
        </row>
        <row r="64">
          <cell r="D64">
            <v>1806</v>
          </cell>
          <cell r="F64">
            <v>0</v>
          </cell>
        </row>
      </sheetData>
      <sheetData sheetId="14"/>
      <sheetData sheetId="15">
        <row r="10">
          <cell r="E10">
            <v>38363</v>
          </cell>
          <cell r="F10">
            <v>452</v>
          </cell>
        </row>
        <row r="11">
          <cell r="E11">
            <v>10404</v>
          </cell>
          <cell r="F11">
            <v>145</v>
          </cell>
        </row>
        <row r="12">
          <cell r="E12">
            <v>5478</v>
          </cell>
          <cell r="F12">
            <v>4488</v>
          </cell>
        </row>
        <row r="13">
          <cell r="E13">
            <v>0</v>
          </cell>
          <cell r="F13">
            <v>0</v>
          </cell>
        </row>
        <row r="15">
          <cell r="E15">
            <v>0</v>
          </cell>
          <cell r="F15">
            <v>0</v>
          </cell>
        </row>
        <row r="16">
          <cell r="E16">
            <v>0</v>
          </cell>
          <cell r="F16">
            <v>1935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F19">
            <v>0</v>
          </cell>
        </row>
        <row r="20">
          <cell r="E20">
            <v>0</v>
          </cell>
        </row>
        <row r="23">
          <cell r="E23">
            <v>0</v>
          </cell>
          <cell r="F23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300</v>
          </cell>
        </row>
        <row r="32">
          <cell r="E32">
            <v>0</v>
          </cell>
          <cell r="F32">
            <v>335</v>
          </cell>
        </row>
        <row r="34">
          <cell r="E34">
            <v>0</v>
          </cell>
          <cell r="F34">
            <v>0</v>
          </cell>
        </row>
        <row r="35">
          <cell r="E35">
            <v>0</v>
          </cell>
          <cell r="F35">
            <v>0</v>
          </cell>
        </row>
        <row r="36">
          <cell r="E36">
            <v>0</v>
          </cell>
          <cell r="F36">
            <v>0</v>
          </cell>
        </row>
        <row r="38">
          <cell r="E38">
            <v>0</v>
          </cell>
          <cell r="F38">
            <v>0</v>
          </cell>
        </row>
        <row r="39">
          <cell r="E39">
            <v>0</v>
          </cell>
          <cell r="F39">
            <v>0</v>
          </cell>
        </row>
        <row r="40">
          <cell r="E40">
            <v>0</v>
          </cell>
          <cell r="F40">
            <v>0</v>
          </cell>
        </row>
        <row r="42">
          <cell r="E42">
            <v>0</v>
          </cell>
          <cell r="F42">
            <v>1935</v>
          </cell>
        </row>
        <row r="43">
          <cell r="E43">
            <v>0</v>
          </cell>
          <cell r="F43">
            <v>0</v>
          </cell>
        </row>
        <row r="44">
          <cell r="E44">
            <v>0</v>
          </cell>
          <cell r="F44">
            <v>0</v>
          </cell>
        </row>
        <row r="45">
          <cell r="E45">
            <v>0</v>
          </cell>
          <cell r="F45">
            <v>0</v>
          </cell>
        </row>
        <row r="48">
          <cell r="E48">
            <v>0</v>
          </cell>
          <cell r="F48">
            <v>0</v>
          </cell>
        </row>
        <row r="49">
          <cell r="E49">
            <v>0</v>
          </cell>
          <cell r="F49">
            <v>0</v>
          </cell>
        </row>
        <row r="51">
          <cell r="E51">
            <v>0</v>
          </cell>
          <cell r="F51">
            <v>0</v>
          </cell>
        </row>
        <row r="52">
          <cell r="E52">
            <v>0</v>
          </cell>
          <cell r="F52">
            <v>0</v>
          </cell>
        </row>
        <row r="54">
          <cell r="E54">
            <v>0</v>
          </cell>
          <cell r="F54">
            <v>0</v>
          </cell>
        </row>
        <row r="55">
          <cell r="E55">
            <v>0</v>
          </cell>
          <cell r="F55">
            <v>0</v>
          </cell>
        </row>
        <row r="56">
          <cell r="E56">
            <v>0</v>
          </cell>
          <cell r="F56">
            <v>0</v>
          </cell>
        </row>
        <row r="62">
          <cell r="E62">
            <v>54132</v>
          </cell>
          <cell r="F62">
            <v>5050</v>
          </cell>
        </row>
        <row r="64">
          <cell r="E64">
            <v>113</v>
          </cell>
          <cell r="F64">
            <v>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opLeftCell="A7" zoomScale="75" workbookViewId="0">
      <selection activeCell="A2" sqref="A2"/>
    </sheetView>
  </sheetViews>
  <sheetFormatPr defaultRowHeight="12.75" x14ac:dyDescent="0.2"/>
  <cols>
    <col min="3" max="3" width="74.28515625" customWidth="1"/>
    <col min="4" max="4" width="16.7109375" customWidth="1"/>
    <col min="5" max="5" width="15" bestFit="1" customWidth="1"/>
    <col min="6" max="6" width="14.28515625" customWidth="1"/>
    <col min="7" max="7" width="16.7109375" customWidth="1"/>
    <col min="8" max="8" width="15" bestFit="1" customWidth="1"/>
    <col min="9" max="9" width="14.28515625" customWidth="1"/>
    <col min="10" max="12" width="15.7109375" customWidth="1"/>
  </cols>
  <sheetData>
    <row r="1" spans="1:12" ht="18.75" x14ac:dyDescent="0.3">
      <c r="A1" s="446" t="s">
        <v>367</v>
      </c>
      <c r="B1" s="447"/>
      <c r="C1" s="447"/>
      <c r="D1" s="118"/>
      <c r="E1" s="118"/>
      <c r="F1" s="118"/>
      <c r="G1" s="1"/>
    </row>
    <row r="2" spans="1:12" ht="15.75" x14ac:dyDescent="0.2">
      <c r="A2" s="119"/>
      <c r="B2" s="119"/>
      <c r="C2" s="119"/>
      <c r="D2" s="119"/>
      <c r="E2" s="119"/>
      <c r="F2" s="119"/>
      <c r="G2" s="1"/>
    </row>
    <row r="3" spans="1:12" ht="15.75" x14ac:dyDescent="0.25">
      <c r="A3" s="448" t="s">
        <v>213</v>
      </c>
      <c r="B3" s="448"/>
      <c r="C3" s="448"/>
      <c r="D3" s="293"/>
      <c r="E3" s="293"/>
      <c r="F3" s="293"/>
      <c r="G3" s="1"/>
    </row>
    <row r="4" spans="1:12" ht="15.75" x14ac:dyDescent="0.2">
      <c r="A4" s="449" t="s">
        <v>1</v>
      </c>
      <c r="B4" s="449"/>
      <c r="C4" s="449"/>
      <c r="D4" s="119"/>
      <c r="E4" s="119"/>
      <c r="F4" s="119"/>
      <c r="G4" s="1"/>
    </row>
    <row r="5" spans="1:12" ht="16.5" thickBot="1" x14ac:dyDescent="0.3">
      <c r="A5" s="450" t="s">
        <v>119</v>
      </c>
      <c r="B5" s="450"/>
      <c r="C5" s="450"/>
      <c r="D5" s="54"/>
      <c r="E5" s="54"/>
      <c r="F5" s="54"/>
      <c r="G5" s="1"/>
    </row>
    <row r="6" spans="1:12" ht="12.75" customHeight="1" x14ac:dyDescent="0.2">
      <c r="A6" s="453" t="s">
        <v>3</v>
      </c>
      <c r="B6" s="456" t="s">
        <v>4</v>
      </c>
      <c r="C6" s="457"/>
      <c r="D6" s="462" t="s">
        <v>384</v>
      </c>
      <c r="E6" s="451" t="s">
        <v>196</v>
      </c>
      <c r="F6" s="464" t="s">
        <v>199</v>
      </c>
      <c r="G6" s="466" t="s">
        <v>384</v>
      </c>
      <c r="H6" s="451" t="s">
        <v>196</v>
      </c>
      <c r="I6" s="468" t="s">
        <v>199</v>
      </c>
      <c r="J6" s="488" t="s">
        <v>212</v>
      </c>
      <c r="K6" s="451" t="s">
        <v>206</v>
      </c>
      <c r="L6" s="490" t="s">
        <v>207</v>
      </c>
    </row>
    <row r="7" spans="1:12" ht="68.25" customHeight="1" x14ac:dyDescent="0.2">
      <c r="A7" s="454"/>
      <c r="B7" s="458"/>
      <c r="C7" s="459"/>
      <c r="D7" s="463"/>
      <c r="E7" s="452"/>
      <c r="F7" s="465"/>
      <c r="G7" s="467"/>
      <c r="H7" s="452"/>
      <c r="I7" s="469"/>
      <c r="J7" s="489"/>
      <c r="K7" s="452"/>
      <c r="L7" s="491"/>
    </row>
    <row r="8" spans="1:12" ht="13.5" customHeight="1" thickBot="1" x14ac:dyDescent="0.25">
      <c r="A8" s="455"/>
      <c r="B8" s="460"/>
      <c r="C8" s="461"/>
      <c r="D8" s="470" t="s">
        <v>385</v>
      </c>
      <c r="E8" s="471"/>
      <c r="F8" s="471"/>
      <c r="G8" s="472"/>
      <c r="H8" s="472"/>
      <c r="I8" s="473"/>
      <c r="J8" s="492" t="s">
        <v>210</v>
      </c>
      <c r="K8" s="493"/>
      <c r="L8" s="494"/>
    </row>
    <row r="9" spans="1:12" ht="15.75" x14ac:dyDescent="0.2">
      <c r="A9" s="351"/>
      <c r="B9" s="474" t="s">
        <v>5</v>
      </c>
      <c r="C9" s="475"/>
      <c r="D9" s="352"/>
      <c r="E9" s="352"/>
      <c r="F9" s="353"/>
      <c r="G9" s="354"/>
      <c r="H9" s="355"/>
      <c r="I9" s="356"/>
      <c r="J9" s="356"/>
      <c r="K9" s="356"/>
      <c r="L9" s="356"/>
    </row>
    <row r="10" spans="1:12" ht="15.75" customHeight="1" x14ac:dyDescent="0.25">
      <c r="A10" s="4">
        <v>1</v>
      </c>
      <c r="B10" s="442" t="s">
        <v>6</v>
      </c>
      <c r="C10" s="443"/>
      <c r="D10" s="5">
        <f>SUM(E10:F10)</f>
        <v>89184</v>
      </c>
      <c r="E10" s="5">
        <f>'[1]11'!E10+'[1]13'!D10+'[1]15'!E10</f>
        <v>88732</v>
      </c>
      <c r="F10" s="158">
        <f>'[1]11'!F10+'[1]13'!F10+'[1]15'!F10</f>
        <v>452</v>
      </c>
      <c r="G10" s="121">
        <f>H10+I10</f>
        <v>103372</v>
      </c>
      <c r="H10" s="11">
        <f>37073+39909+26390</f>
        <v>103372</v>
      </c>
      <c r="I10" s="357"/>
      <c r="J10" s="121">
        <f>SUM(K10:L10)</f>
        <v>99678</v>
      </c>
      <c r="K10" s="5">
        <v>99678</v>
      </c>
      <c r="L10" s="57"/>
    </row>
    <row r="11" spans="1:12" ht="15.75" customHeight="1" x14ac:dyDescent="0.25">
      <c r="A11" s="4">
        <v>2</v>
      </c>
      <c r="B11" s="442" t="s">
        <v>7</v>
      </c>
      <c r="C11" s="443"/>
      <c r="D11" s="5">
        <f t="shared" ref="D11:D25" si="0">SUM(E11:F11)</f>
        <v>23910</v>
      </c>
      <c r="E11" s="5">
        <f>'[1]11'!E11+'[1]13'!D11+'[1]15'!E11</f>
        <v>23765</v>
      </c>
      <c r="F11" s="158">
        <f>'[1]11'!F11+'[1]13'!F11+'[1]15'!F11</f>
        <v>145</v>
      </c>
      <c r="G11" s="121">
        <f t="shared" ref="G11:G25" si="1">H11+I11</f>
        <v>26004</v>
      </c>
      <c r="H11" s="11">
        <f>8018+7090+10896</f>
        <v>26004</v>
      </c>
      <c r="I11" s="357"/>
      <c r="J11" s="121">
        <f>SUM(K11:L11)</f>
        <v>24551</v>
      </c>
      <c r="K11" s="5">
        <v>24551</v>
      </c>
      <c r="L11" s="57"/>
    </row>
    <row r="12" spans="1:12" ht="15.75" customHeight="1" x14ac:dyDescent="0.25">
      <c r="A12" s="4">
        <v>3</v>
      </c>
      <c r="B12" s="442" t="s">
        <v>8</v>
      </c>
      <c r="C12" s="443"/>
      <c r="D12" s="5">
        <f t="shared" si="0"/>
        <v>74473</v>
      </c>
      <c r="E12" s="5">
        <f>'[1]11'!E12+'[1]13'!D12+'[1]15'!E12</f>
        <v>69985</v>
      </c>
      <c r="F12" s="158">
        <f>'[1]11'!F12+'[1]13'!F12+'[1]15'!F12</f>
        <v>4488</v>
      </c>
      <c r="G12" s="121">
        <f t="shared" si="1"/>
        <v>76217</v>
      </c>
      <c r="H12" s="11">
        <f>59273+6732+10212</f>
        <v>76217</v>
      </c>
      <c r="I12" s="357"/>
      <c r="J12" s="121">
        <f>SUM(K12:L12)</f>
        <v>68078</v>
      </c>
      <c r="K12" s="5">
        <v>68078</v>
      </c>
      <c r="L12" s="57"/>
    </row>
    <row r="13" spans="1:12" ht="15.75" customHeight="1" x14ac:dyDescent="0.25">
      <c r="A13" s="4" t="s">
        <v>9</v>
      </c>
      <c r="B13" s="442" t="s">
        <v>10</v>
      </c>
      <c r="C13" s="443"/>
      <c r="D13" s="5">
        <f t="shared" si="0"/>
        <v>0</v>
      </c>
      <c r="E13" s="5">
        <f>'[1]11'!E13+'[1]13'!D13+'[1]15'!E13</f>
        <v>0</v>
      </c>
      <c r="F13" s="158">
        <f>'[1]11'!F13+'[1]13'!F13+'[1]15'!F13</f>
        <v>0</v>
      </c>
      <c r="G13" s="121"/>
      <c r="H13" s="11"/>
      <c r="I13" s="357"/>
      <c r="J13" s="121">
        <f>SUM(K13:M13)</f>
        <v>0</v>
      </c>
      <c r="K13" s="8"/>
      <c r="L13" s="57"/>
    </row>
    <row r="14" spans="1:12" ht="15.75" x14ac:dyDescent="0.2">
      <c r="A14" s="4" t="s">
        <v>11</v>
      </c>
      <c r="B14" s="476" t="s">
        <v>12</v>
      </c>
      <c r="C14" s="477"/>
      <c r="D14" s="5">
        <f t="shared" si="0"/>
        <v>32451</v>
      </c>
      <c r="E14" s="10">
        <f>+E15+E16+E17+E18+E19</f>
        <v>26719</v>
      </c>
      <c r="F14" s="10">
        <f>+F15+F16+F17+F18+F19</f>
        <v>5732</v>
      </c>
      <c r="G14" s="121">
        <f t="shared" si="1"/>
        <v>43338</v>
      </c>
      <c r="H14" s="11">
        <f>SUM(H15:H19)</f>
        <v>31755</v>
      </c>
      <c r="I14" s="358">
        <f>SUM(I15:I19)</f>
        <v>11583</v>
      </c>
      <c r="J14" s="121">
        <f t="shared" ref="J14:J19" si="2">SUM(K14:L14)</f>
        <v>37269</v>
      </c>
      <c r="K14" s="10">
        <f>SUM(K15:K19)</f>
        <v>25702</v>
      </c>
      <c r="L14" s="10">
        <f>SUM(L15:L19)</f>
        <v>11567</v>
      </c>
    </row>
    <row r="15" spans="1:12" ht="15.75" x14ac:dyDescent="0.25">
      <c r="A15" s="4" t="s">
        <v>13</v>
      </c>
      <c r="B15" s="478" t="s">
        <v>14</v>
      </c>
      <c r="C15" s="479"/>
      <c r="D15" s="5">
        <f t="shared" si="0"/>
        <v>12283</v>
      </c>
      <c r="E15" s="5">
        <f>'[1]11'!E15+'[1]13'!D15+'[1]15'!E15</f>
        <v>8486</v>
      </c>
      <c r="F15" s="158">
        <f>'[1]11'!F15+'[1]13'!F15+'[1]15'!F15</f>
        <v>3797</v>
      </c>
      <c r="G15" s="121">
        <f t="shared" si="1"/>
        <v>20679</v>
      </c>
      <c r="H15" s="11">
        <v>9096</v>
      </c>
      <c r="I15" s="357">
        <v>11583</v>
      </c>
      <c r="J15" s="121">
        <f t="shared" si="2"/>
        <v>20259</v>
      </c>
      <c r="K15" s="5">
        <v>8692</v>
      </c>
      <c r="L15" s="57">
        <v>11567</v>
      </c>
    </row>
    <row r="16" spans="1:12" ht="15.75" x14ac:dyDescent="0.25">
      <c r="A16" s="4" t="s">
        <v>15</v>
      </c>
      <c r="B16" s="478" t="s">
        <v>16</v>
      </c>
      <c r="C16" s="479"/>
      <c r="D16" s="5">
        <f t="shared" si="0"/>
        <v>1935</v>
      </c>
      <c r="E16" s="5">
        <f>'[1]11'!E16+'[1]13'!D16+'[1]15'!E16</f>
        <v>0</v>
      </c>
      <c r="F16" s="158">
        <f>'[1]11'!F16+'[1]13'!F16+'[1]15'!F16</f>
        <v>1935</v>
      </c>
      <c r="G16" s="121">
        <f t="shared" si="1"/>
        <v>1939</v>
      </c>
      <c r="H16" s="11">
        <v>1939</v>
      </c>
      <c r="I16" s="357"/>
      <c r="J16" s="121">
        <f t="shared" si="2"/>
        <v>1938</v>
      </c>
      <c r="K16" s="5">
        <v>1938</v>
      </c>
      <c r="L16" s="57"/>
    </row>
    <row r="17" spans="1:12" ht="15.75" customHeight="1" x14ac:dyDescent="0.25">
      <c r="A17" s="4"/>
      <c r="B17" s="480"/>
      <c r="C17" s="481"/>
      <c r="D17" s="5">
        <f t="shared" si="0"/>
        <v>0</v>
      </c>
      <c r="E17" s="5">
        <f>'[1]11'!E17+'[1]13'!D17+'[1]15'!E17</f>
        <v>0</v>
      </c>
      <c r="F17" s="158">
        <f>'[1]11'!F17+'[1]13'!F17+'[1]15'!F17</f>
        <v>0</v>
      </c>
      <c r="G17" s="121">
        <f t="shared" si="1"/>
        <v>0</v>
      </c>
      <c r="H17" s="11"/>
      <c r="I17" s="357"/>
      <c r="J17" s="121">
        <f t="shared" si="2"/>
        <v>0</v>
      </c>
      <c r="K17" s="5"/>
      <c r="L17" s="57"/>
    </row>
    <row r="18" spans="1:12" ht="15.75" customHeight="1" x14ac:dyDescent="0.25">
      <c r="A18" s="4" t="s">
        <v>17</v>
      </c>
      <c r="B18" s="482" t="s">
        <v>18</v>
      </c>
      <c r="C18" s="483"/>
      <c r="D18" s="5">
        <f t="shared" si="0"/>
        <v>16270</v>
      </c>
      <c r="E18" s="5">
        <f>'[1]11'!E18+'[1]13'!D18+'[1]15'!E18</f>
        <v>16270</v>
      </c>
      <c r="F18" s="158">
        <f>'[1]11'!F18+'[1]13'!F18+'[1]15'!F18</f>
        <v>0</v>
      </c>
      <c r="G18" s="121">
        <f t="shared" si="1"/>
        <v>16332</v>
      </c>
      <c r="H18" s="11">
        <v>16332</v>
      </c>
      <c r="I18" s="357"/>
      <c r="J18" s="121">
        <f t="shared" si="2"/>
        <v>10684</v>
      </c>
      <c r="K18" s="5">
        <v>10684</v>
      </c>
      <c r="L18" s="57"/>
    </row>
    <row r="19" spans="1:12" ht="15.75" customHeight="1" x14ac:dyDescent="0.25">
      <c r="A19" s="4" t="s">
        <v>19</v>
      </c>
      <c r="B19" s="482" t="s">
        <v>372</v>
      </c>
      <c r="C19" s="499"/>
      <c r="D19" s="5">
        <f t="shared" si="0"/>
        <v>1963</v>
      </c>
      <c r="E19" s="8">
        <v>1963</v>
      </c>
      <c r="F19" s="158">
        <f>'[1]11'!F19+'[1]13'!F19+'[1]15'!F19</f>
        <v>0</v>
      </c>
      <c r="G19" s="121">
        <f t="shared" si="1"/>
        <v>4388</v>
      </c>
      <c r="H19" s="11">
        <v>4388</v>
      </c>
      <c r="I19" s="357"/>
      <c r="J19" s="121">
        <f t="shared" si="2"/>
        <v>4388</v>
      </c>
      <c r="K19" s="5">
        <v>4388</v>
      </c>
      <c r="L19" s="57"/>
    </row>
    <row r="20" spans="1:12" ht="15.75" customHeight="1" x14ac:dyDescent="0.25">
      <c r="A20" s="4"/>
      <c r="B20" s="442" t="s">
        <v>21</v>
      </c>
      <c r="C20" s="443"/>
      <c r="D20" s="5">
        <f t="shared" si="0"/>
        <v>0</v>
      </c>
      <c r="E20" s="5">
        <f>'[1]11'!E20+'[1]13'!D20+'[1]15'!E20</f>
        <v>0</v>
      </c>
      <c r="F20" s="158"/>
      <c r="G20" s="121">
        <f t="shared" si="1"/>
        <v>0</v>
      </c>
      <c r="H20" s="11"/>
      <c r="I20" s="357"/>
      <c r="J20" s="122">
        <f>+K20+L20</f>
        <v>0</v>
      </c>
      <c r="K20" s="13"/>
      <c r="L20" s="57"/>
    </row>
    <row r="21" spans="1:12" ht="15.75" x14ac:dyDescent="0.25">
      <c r="A21" s="4"/>
      <c r="B21" s="442" t="s">
        <v>386</v>
      </c>
      <c r="C21" s="443"/>
      <c r="D21" s="5">
        <f t="shared" si="0"/>
        <v>72411</v>
      </c>
      <c r="E21" s="5">
        <f>'[1]15'!E21</f>
        <v>61802</v>
      </c>
      <c r="F21" s="158">
        <f>'[1]15'!F21</f>
        <v>10609</v>
      </c>
      <c r="G21" s="121">
        <f t="shared" si="1"/>
        <v>30768</v>
      </c>
      <c r="H21" s="12">
        <v>20159</v>
      </c>
      <c r="I21" s="357">
        <v>10609</v>
      </c>
      <c r="J21" s="121">
        <f>SUM(K21:L21)</f>
        <v>0</v>
      </c>
      <c r="K21" s="8"/>
      <c r="L21" s="99"/>
    </row>
    <row r="22" spans="1:12" ht="15.75" customHeight="1" x14ac:dyDescent="0.25">
      <c r="A22" s="31" t="s">
        <v>22</v>
      </c>
      <c r="B22" s="500" t="s">
        <v>23</v>
      </c>
      <c r="C22" s="501"/>
      <c r="D22" s="359">
        <f>+D10+D11+D12+D13+D14+D21+D20</f>
        <v>292429</v>
      </c>
      <c r="E22" s="360">
        <f>+E10+E11+E12+E13+E14+E21+E20</f>
        <v>271003</v>
      </c>
      <c r="F22" s="361">
        <f>+F10+F11+F12+F13+F14+F21</f>
        <v>21426</v>
      </c>
      <c r="G22" s="362">
        <f t="shared" ref="G22:L22" si="3">+G10+G11+G12+G13+G14+G21+G20</f>
        <v>279699</v>
      </c>
      <c r="H22" s="363">
        <f t="shared" si="3"/>
        <v>257507</v>
      </c>
      <c r="I22" s="364">
        <f t="shared" si="3"/>
        <v>22192</v>
      </c>
      <c r="J22" s="362">
        <f t="shared" si="3"/>
        <v>229576</v>
      </c>
      <c r="K22" s="363">
        <f t="shared" si="3"/>
        <v>218009</v>
      </c>
      <c r="L22" s="364">
        <f t="shared" si="3"/>
        <v>11567</v>
      </c>
    </row>
    <row r="23" spans="1:12" ht="15.75" x14ac:dyDescent="0.25">
      <c r="A23" s="4" t="s">
        <v>24</v>
      </c>
      <c r="B23" s="442" t="s">
        <v>25</v>
      </c>
      <c r="C23" s="443"/>
      <c r="D23" s="5">
        <f t="shared" si="0"/>
        <v>4014</v>
      </c>
      <c r="E23" s="5">
        <f>'[1]11'!E23+'[1]13'!D23+'[1]15'!E23</f>
        <v>0</v>
      </c>
      <c r="F23" s="158">
        <f>'[1]11'!F23+'[1]13'!F23+'[1]15'!F23+300</f>
        <v>4014</v>
      </c>
      <c r="G23" s="121">
        <f t="shared" si="1"/>
        <v>7162</v>
      </c>
      <c r="H23" s="11">
        <f>962+16</f>
        <v>978</v>
      </c>
      <c r="I23" s="357">
        <v>6184</v>
      </c>
      <c r="J23" s="121">
        <f>SUM(K23:L23)</f>
        <v>7044</v>
      </c>
      <c r="K23" s="5">
        <f>943+15</f>
        <v>958</v>
      </c>
      <c r="L23" s="57">
        <v>6086</v>
      </c>
    </row>
    <row r="24" spans="1:12" ht="15.75" customHeight="1" x14ac:dyDescent="0.25">
      <c r="A24" s="4" t="s">
        <v>26</v>
      </c>
      <c r="B24" s="442" t="s">
        <v>27</v>
      </c>
      <c r="C24" s="443"/>
      <c r="D24" s="5">
        <f t="shared" si="0"/>
        <v>19075</v>
      </c>
      <c r="E24" s="5">
        <f>'[1]11'!E24+'[1]13'!D24+'[1]15'!E24</f>
        <v>0</v>
      </c>
      <c r="F24" s="158">
        <f>'[1]11'!F24+'[1]13'!F24+'[1]15'!F24</f>
        <v>19075</v>
      </c>
      <c r="G24" s="121">
        <f t="shared" si="1"/>
        <v>21188</v>
      </c>
      <c r="H24" s="11"/>
      <c r="I24" s="357">
        <v>21188</v>
      </c>
      <c r="J24" s="121">
        <f>SUM(K24:L24)</f>
        <v>21041</v>
      </c>
      <c r="K24" s="5"/>
      <c r="L24" s="57">
        <v>21041</v>
      </c>
    </row>
    <row r="25" spans="1:12" ht="15.75" customHeight="1" x14ac:dyDescent="0.25">
      <c r="A25" s="4" t="s">
        <v>28</v>
      </c>
      <c r="B25" s="442" t="s">
        <v>387</v>
      </c>
      <c r="C25" s="443"/>
      <c r="D25" s="5">
        <f t="shared" si="0"/>
        <v>3872</v>
      </c>
      <c r="E25" s="5">
        <f>'[1]11'!E25+'[1]13'!D25+'[1]15'!E25</f>
        <v>0</v>
      </c>
      <c r="F25" s="158">
        <f>'[1]11'!F25+'[1]13'!F25+'[1]15'!F25-300</f>
        <v>3872</v>
      </c>
      <c r="G25" s="121">
        <f t="shared" si="1"/>
        <v>17329</v>
      </c>
      <c r="H25" s="11"/>
      <c r="I25" s="357">
        <v>17329</v>
      </c>
      <c r="J25" s="121">
        <f>SUM(K25:L25)</f>
        <v>16788</v>
      </c>
      <c r="K25" s="15"/>
      <c r="L25" s="57">
        <v>16788</v>
      </c>
    </row>
    <row r="26" spans="1:12" ht="18.75" x14ac:dyDescent="0.25">
      <c r="A26" s="31" t="s">
        <v>30</v>
      </c>
      <c r="B26" s="444" t="s">
        <v>31</v>
      </c>
      <c r="C26" s="445"/>
      <c r="D26" s="365">
        <f>+D23+D24+D25</f>
        <v>26961</v>
      </c>
      <c r="E26" s="365"/>
      <c r="F26" s="366">
        <f>SUM(F23:F25)</f>
        <v>26961</v>
      </c>
      <c r="G26" s="367">
        <f t="shared" ref="G26:L26" si="4">+G23+G24+G25</f>
        <v>45679</v>
      </c>
      <c r="H26" s="368">
        <f t="shared" si="4"/>
        <v>978</v>
      </c>
      <c r="I26" s="369">
        <f t="shared" si="4"/>
        <v>44701</v>
      </c>
      <c r="J26" s="367">
        <f t="shared" si="4"/>
        <v>44873</v>
      </c>
      <c r="K26" s="368">
        <f t="shared" si="4"/>
        <v>958</v>
      </c>
      <c r="L26" s="369">
        <f t="shared" si="4"/>
        <v>43915</v>
      </c>
    </row>
    <row r="27" spans="1:12" ht="15.75" x14ac:dyDescent="0.25">
      <c r="A27" s="4" t="s">
        <v>32</v>
      </c>
      <c r="B27" s="442"/>
      <c r="C27" s="443"/>
      <c r="D27" s="15"/>
      <c r="E27" s="15"/>
      <c r="F27" s="158"/>
      <c r="G27" s="122"/>
      <c r="H27" s="12"/>
      <c r="I27" s="357"/>
      <c r="J27" s="123"/>
      <c r="K27" s="17"/>
      <c r="L27" s="57">
        <f>+J27+K27</f>
        <v>0</v>
      </c>
    </row>
    <row r="28" spans="1:12" ht="15.75" x14ac:dyDescent="0.25">
      <c r="A28" s="4" t="s">
        <v>33</v>
      </c>
      <c r="B28" s="424"/>
      <c r="C28" s="425"/>
      <c r="D28" s="17"/>
      <c r="E28" s="17"/>
      <c r="F28" s="158">
        <f>+D28+E28</f>
        <v>0</v>
      </c>
      <c r="G28" s="123"/>
      <c r="H28" s="16"/>
      <c r="I28" s="357"/>
      <c r="J28" s="123"/>
      <c r="K28" s="18"/>
      <c r="L28" s="57">
        <f>+J28+K28</f>
        <v>0</v>
      </c>
    </row>
    <row r="29" spans="1:12" ht="20.25" customHeight="1" thickBot="1" x14ac:dyDescent="0.35">
      <c r="A29" s="4" t="s">
        <v>34</v>
      </c>
      <c r="B29" s="424"/>
      <c r="C29" s="425"/>
      <c r="D29" s="17"/>
      <c r="E29" s="339"/>
      <c r="F29" s="158">
        <f>+D29+E29</f>
        <v>0</v>
      </c>
      <c r="G29" s="123"/>
      <c r="H29" s="16"/>
      <c r="I29" s="357"/>
      <c r="J29" s="124"/>
      <c r="K29" s="125"/>
      <c r="L29" s="109"/>
    </row>
    <row r="30" spans="1:12" ht="20.25" x14ac:dyDescent="0.3">
      <c r="A30" s="19" t="s">
        <v>35</v>
      </c>
      <c r="B30" s="426" t="s">
        <v>388</v>
      </c>
      <c r="C30" s="427"/>
      <c r="D30" s="370">
        <f t="shared" ref="D30:L30" si="5">+D22+D26+D27+D28+D29</f>
        <v>319390</v>
      </c>
      <c r="E30" s="371">
        <f t="shared" si="5"/>
        <v>271003</v>
      </c>
      <c r="F30" s="372">
        <f t="shared" si="5"/>
        <v>48387</v>
      </c>
      <c r="G30" s="373">
        <f t="shared" si="5"/>
        <v>325378</v>
      </c>
      <c r="H30" s="371">
        <f t="shared" si="5"/>
        <v>258485</v>
      </c>
      <c r="I30" s="374">
        <f t="shared" si="5"/>
        <v>66893</v>
      </c>
      <c r="J30" s="374">
        <f t="shared" si="5"/>
        <v>274449</v>
      </c>
      <c r="K30" s="374">
        <f t="shared" si="5"/>
        <v>218967</v>
      </c>
      <c r="L30" s="374">
        <f t="shared" si="5"/>
        <v>55482</v>
      </c>
    </row>
    <row r="31" spans="1:12" ht="15.75" x14ac:dyDescent="0.25">
      <c r="A31" s="23"/>
      <c r="B31" s="428"/>
      <c r="C31" s="429"/>
      <c r="D31" s="344"/>
      <c r="E31" s="26"/>
      <c r="F31" s="344"/>
      <c r="G31" s="157"/>
      <c r="H31" s="26"/>
      <c r="I31" s="24"/>
      <c r="J31" s="24"/>
      <c r="K31" s="24"/>
      <c r="L31" s="24"/>
    </row>
    <row r="32" spans="1:12" ht="15.75" x14ac:dyDescent="0.25">
      <c r="A32" s="4"/>
      <c r="B32" s="497" t="s">
        <v>37</v>
      </c>
      <c r="C32" s="498"/>
      <c r="D32" s="375"/>
      <c r="E32" s="376"/>
      <c r="F32" s="377"/>
      <c r="G32" s="378"/>
      <c r="H32" s="379"/>
      <c r="I32" s="380"/>
      <c r="J32" s="380"/>
      <c r="K32" s="380"/>
      <c r="L32" s="380"/>
    </row>
    <row r="33" spans="1:12" ht="15.75" x14ac:dyDescent="0.25">
      <c r="A33" s="4" t="s">
        <v>38</v>
      </c>
      <c r="B33" s="434" t="s">
        <v>39</v>
      </c>
      <c r="C33" s="435"/>
      <c r="D33" s="5">
        <f t="shared" ref="D33:D45" si="6">SUM(E33:F33)</f>
        <v>14702</v>
      </c>
      <c r="E33" s="27">
        <f>'[1]11'!E32+'[1]13'!D32+'[1]15'!E33</f>
        <v>14367</v>
      </c>
      <c r="F33" s="32">
        <f>'[1]11'!F32+'[1]13'!F32+'[1]15'!F33</f>
        <v>335</v>
      </c>
      <c r="G33" s="130">
        <f>I33+H33</f>
        <v>31239</v>
      </c>
      <c r="H33" s="340">
        <f>30867+337+35</f>
        <v>31239</v>
      </c>
      <c r="I33" s="357"/>
      <c r="J33" s="121">
        <f t="shared" ref="J33:J38" si="7">SUM(K33:L33)</f>
        <v>27224</v>
      </c>
      <c r="K33" s="5">
        <f>179+27011+34</f>
        <v>27224</v>
      </c>
      <c r="L33" s="57"/>
    </row>
    <row r="34" spans="1:12" ht="15.75" x14ac:dyDescent="0.25">
      <c r="A34" s="4" t="s">
        <v>40</v>
      </c>
      <c r="B34" s="434" t="s">
        <v>41</v>
      </c>
      <c r="C34" s="435"/>
      <c r="D34" s="5">
        <f t="shared" si="6"/>
        <v>41765</v>
      </c>
      <c r="E34" s="27">
        <f>SUM(E35:E37)</f>
        <v>41765</v>
      </c>
      <c r="F34" s="32">
        <f>SUM(F35:F37)</f>
        <v>0</v>
      </c>
      <c r="G34" s="130">
        <f t="shared" ref="G34:G38" si="8">I34+H34</f>
        <v>47214</v>
      </c>
      <c r="H34" s="340">
        <v>47214</v>
      </c>
      <c r="I34" s="357"/>
      <c r="J34" s="121">
        <f t="shared" si="7"/>
        <v>41405</v>
      </c>
      <c r="K34" s="121">
        <f>SUM(K35:K37)</f>
        <v>41405</v>
      </c>
      <c r="L34" s="57"/>
    </row>
    <row r="35" spans="1:12" ht="15.75" x14ac:dyDescent="0.25">
      <c r="A35" s="4"/>
      <c r="B35" s="28" t="s">
        <v>42</v>
      </c>
      <c r="C35" s="381" t="s">
        <v>43</v>
      </c>
      <c r="D35" s="5">
        <f t="shared" si="6"/>
        <v>36715</v>
      </c>
      <c r="E35" s="27">
        <f>'[1]11'!E34+'[1]13'!D34+'[1]15'!E35</f>
        <v>36715</v>
      </c>
      <c r="F35" s="32">
        <f>'[1]11'!F34+'[1]13'!F34+'[1]15'!F35</f>
        <v>0</v>
      </c>
      <c r="G35" s="130">
        <f t="shared" si="8"/>
        <v>39927</v>
      </c>
      <c r="H35" s="340">
        <v>39927</v>
      </c>
      <c r="I35" s="357"/>
      <c r="J35" s="121">
        <f t="shared" si="7"/>
        <v>35606</v>
      </c>
      <c r="K35" s="5">
        <v>35606</v>
      </c>
      <c r="L35" s="57"/>
    </row>
    <row r="36" spans="1:12" ht="15.75" x14ac:dyDescent="0.25">
      <c r="A36" s="4"/>
      <c r="B36" s="28" t="s">
        <v>44</v>
      </c>
      <c r="C36" s="381" t="s">
        <v>45</v>
      </c>
      <c r="D36" s="5">
        <f t="shared" si="6"/>
        <v>4500</v>
      </c>
      <c r="E36" s="27">
        <f>'[1]11'!E35+'[1]13'!D35+'[1]15'!E36</f>
        <v>4500</v>
      </c>
      <c r="F36" s="32">
        <f>'[1]11'!F35+'[1]13'!F35+'[1]15'!F36</f>
        <v>0</v>
      </c>
      <c r="G36" s="130">
        <f t="shared" si="8"/>
        <v>6120</v>
      </c>
      <c r="H36" s="340">
        <v>6120</v>
      </c>
      <c r="I36" s="357"/>
      <c r="J36" s="121">
        <f t="shared" si="7"/>
        <v>5268</v>
      </c>
      <c r="K36" s="5">
        <v>5268</v>
      </c>
      <c r="L36" s="57"/>
    </row>
    <row r="37" spans="1:12" ht="15.75" x14ac:dyDescent="0.25">
      <c r="A37" s="4"/>
      <c r="B37" s="28" t="s">
        <v>46</v>
      </c>
      <c r="C37" s="381" t="s">
        <v>47</v>
      </c>
      <c r="D37" s="5">
        <f t="shared" si="6"/>
        <v>550</v>
      </c>
      <c r="E37" s="27">
        <f>'[1]11'!E36+'[1]13'!D36+'[1]15'!E37</f>
        <v>550</v>
      </c>
      <c r="F37" s="32">
        <f>'[1]11'!F36+'[1]13'!F36+'[1]15'!F37</f>
        <v>0</v>
      </c>
      <c r="G37" s="130">
        <f t="shared" si="8"/>
        <v>1167</v>
      </c>
      <c r="H37" s="340">
        <v>1167</v>
      </c>
      <c r="I37" s="357"/>
      <c r="J37" s="121">
        <f t="shared" si="7"/>
        <v>531</v>
      </c>
      <c r="K37" s="27">
        <v>531</v>
      </c>
      <c r="L37" s="131"/>
    </row>
    <row r="38" spans="1:12" ht="15.75" x14ac:dyDescent="0.25">
      <c r="A38" s="4" t="s">
        <v>48</v>
      </c>
      <c r="B38" s="434" t="s">
        <v>49</v>
      </c>
      <c r="C38" s="435"/>
      <c r="D38" s="5">
        <f t="shared" si="6"/>
        <v>179325</v>
      </c>
      <c r="E38" s="27">
        <f>SUM(E39:E41)</f>
        <v>179325</v>
      </c>
      <c r="F38" s="159">
        <f>SUM(F39:F41)</f>
        <v>0</v>
      </c>
      <c r="G38" s="130">
        <f t="shared" si="8"/>
        <v>155629</v>
      </c>
      <c r="H38" s="29">
        <v>155629</v>
      </c>
      <c r="I38" s="357"/>
      <c r="J38" s="121">
        <f t="shared" si="7"/>
        <v>152710</v>
      </c>
      <c r="K38" s="5">
        <f>SUM(K39:K41)</f>
        <v>152710</v>
      </c>
      <c r="L38" s="57"/>
    </row>
    <row r="39" spans="1:12" ht="15.75" x14ac:dyDescent="0.25">
      <c r="A39" s="4"/>
      <c r="B39" s="30" t="s">
        <v>50</v>
      </c>
      <c r="C39" s="382" t="s">
        <v>51</v>
      </c>
      <c r="D39" s="5">
        <f t="shared" si="6"/>
        <v>179325</v>
      </c>
      <c r="E39" s="27">
        <f>'[1]11'!E38+'[1]13'!D38+'[1]15'!E39</f>
        <v>179325</v>
      </c>
      <c r="F39" s="32">
        <f>'[1]11'!F38+'[1]13'!F38+'[1]15'!F39</f>
        <v>0</v>
      </c>
      <c r="G39" s="132">
        <f t="shared" ref="G39" si="9">SUM(H39:J39)</f>
        <v>308339</v>
      </c>
      <c r="H39" s="29">
        <v>155629</v>
      </c>
      <c r="I39" s="357"/>
      <c r="J39" s="132">
        <f>SUM(K39:M39)</f>
        <v>152710</v>
      </c>
      <c r="K39" s="27">
        <v>152710</v>
      </c>
      <c r="L39" s="131"/>
    </row>
    <row r="40" spans="1:12" ht="15.75" x14ac:dyDescent="0.25">
      <c r="A40" s="4"/>
      <c r="B40" s="30" t="s">
        <v>52</v>
      </c>
      <c r="C40" s="382" t="s">
        <v>53</v>
      </c>
      <c r="D40" s="5">
        <f t="shared" si="6"/>
        <v>0</v>
      </c>
      <c r="E40" s="27">
        <f>'[1]11'!E39+'[1]13'!D39+'[1]15'!E40</f>
        <v>0</v>
      </c>
      <c r="F40" s="32">
        <f>'[1]11'!F39+'[1]13'!F39+'[1]15'!F40</f>
        <v>0</v>
      </c>
      <c r="G40" s="132"/>
      <c r="H40" s="29"/>
      <c r="I40" s="357"/>
      <c r="J40" s="132">
        <f>SUM(K40:M40)</f>
        <v>0</v>
      </c>
      <c r="K40" s="27"/>
      <c r="L40" s="131"/>
    </row>
    <row r="41" spans="1:12" ht="15.75" x14ac:dyDescent="0.25">
      <c r="A41" s="4"/>
      <c r="B41" s="30" t="s">
        <v>54</v>
      </c>
      <c r="C41" s="382" t="s">
        <v>55</v>
      </c>
      <c r="D41" s="5">
        <f t="shared" si="6"/>
        <v>0</v>
      </c>
      <c r="E41" s="27">
        <f>'[1]11'!E40+'[1]13'!D40+'[1]15'!E41</f>
        <v>0</v>
      </c>
      <c r="F41" s="32">
        <f>'[1]11'!F40+'[1]13'!F40+'[1]15'!F41</f>
        <v>0</v>
      </c>
      <c r="G41" s="132"/>
      <c r="H41" s="29"/>
      <c r="I41" s="357"/>
      <c r="J41" s="132"/>
      <c r="K41" s="5"/>
      <c r="L41" s="57"/>
    </row>
    <row r="42" spans="1:12" ht="15.75" x14ac:dyDescent="0.25">
      <c r="A42" s="4" t="s">
        <v>9</v>
      </c>
      <c r="B42" s="434" t="s">
        <v>56</v>
      </c>
      <c r="C42" s="435"/>
      <c r="D42" s="5">
        <f t="shared" si="6"/>
        <v>19353</v>
      </c>
      <c r="E42" s="27">
        <f>SUM(E43:E46)</f>
        <v>10069</v>
      </c>
      <c r="F42" s="32">
        <f>SUM(F43:F46)</f>
        <v>9284</v>
      </c>
      <c r="G42" s="130">
        <f t="shared" ref="G42:G43" si="10">I42+H42</f>
        <v>26664</v>
      </c>
      <c r="H42" s="29">
        <f>SUM(H43:H46)</f>
        <v>19311</v>
      </c>
      <c r="I42" s="357">
        <v>7353</v>
      </c>
      <c r="J42" s="121">
        <f>SUM(K42:L42)</f>
        <v>24354</v>
      </c>
      <c r="K42" s="5">
        <f>SUM(K43:K46)</f>
        <v>17001</v>
      </c>
      <c r="L42" s="5">
        <f>SUM(L43:L46)</f>
        <v>7353</v>
      </c>
    </row>
    <row r="43" spans="1:12" ht="15.75" x14ac:dyDescent="0.25">
      <c r="A43" s="4"/>
      <c r="B43" s="30" t="s">
        <v>57</v>
      </c>
      <c r="C43" s="383" t="s">
        <v>58</v>
      </c>
      <c r="D43" s="5">
        <f t="shared" si="6"/>
        <v>18123</v>
      </c>
      <c r="E43" s="27">
        <f>'[1]11'!E42+'[1]13'!D42+'[1]15'!E43</f>
        <v>8839</v>
      </c>
      <c r="F43" s="32">
        <f>'[1]11'!F42+'[1]13'!F42+'[1]15'!F43</f>
        <v>9284</v>
      </c>
      <c r="G43" s="130">
        <f t="shared" si="10"/>
        <v>26664</v>
      </c>
      <c r="H43" s="29">
        <f>17004+1935+372</f>
        <v>19311</v>
      </c>
      <c r="I43" s="357">
        <v>7353</v>
      </c>
      <c r="J43" s="121">
        <f>SUM(K43:L43)</f>
        <v>24354</v>
      </c>
      <c r="K43" s="5">
        <f>14822+1935+244</f>
        <v>17001</v>
      </c>
      <c r="L43" s="57">
        <v>7353</v>
      </c>
    </row>
    <row r="44" spans="1:12" ht="15.75" x14ac:dyDescent="0.25">
      <c r="A44" s="4"/>
      <c r="B44" s="30" t="s">
        <v>59</v>
      </c>
      <c r="C44" s="382" t="s">
        <v>60</v>
      </c>
      <c r="D44" s="5">
        <f t="shared" si="6"/>
        <v>0</v>
      </c>
      <c r="E44" s="27">
        <f>'[1]11'!E43+'[1]13'!D43+'[1]15'!E44</f>
        <v>0</v>
      </c>
      <c r="F44" s="32">
        <f>'[1]11'!F43+'[1]13'!F43+'[1]15'!F44</f>
        <v>0</v>
      </c>
      <c r="G44" s="132"/>
      <c r="H44" s="29"/>
      <c r="I44" s="357"/>
      <c r="J44" s="132"/>
      <c r="K44" s="27"/>
      <c r="L44" s="131"/>
    </row>
    <row r="45" spans="1:12" ht="15.75" x14ac:dyDescent="0.25">
      <c r="A45" s="4"/>
      <c r="B45" s="30" t="s">
        <v>61</v>
      </c>
      <c r="C45" s="382" t="s">
        <v>376</v>
      </c>
      <c r="D45" s="5">
        <f t="shared" si="6"/>
        <v>1230</v>
      </c>
      <c r="E45" s="27">
        <f>'[1]11'!E44+'[1]13'!D44+'[1]15'!E45</f>
        <v>1230</v>
      </c>
      <c r="F45" s="32">
        <f>'[1]11'!F44+'[1]13'!F44+'[1]15'!F45</f>
        <v>0</v>
      </c>
      <c r="G45" s="132">
        <f>J45+I45+H45</f>
        <v>0</v>
      </c>
      <c r="H45" s="29"/>
      <c r="I45" s="357"/>
      <c r="J45" s="132"/>
      <c r="K45" s="27"/>
      <c r="L45" s="131"/>
    </row>
    <row r="46" spans="1:12" ht="15.75" x14ac:dyDescent="0.25">
      <c r="A46" s="4"/>
      <c r="B46" s="30" t="s">
        <v>63</v>
      </c>
      <c r="C46" s="382" t="s">
        <v>64</v>
      </c>
      <c r="D46" s="27"/>
      <c r="E46" s="27">
        <f>'[1]11'!E45+'[1]13'!D45+'[1]15'!E46</f>
        <v>0</v>
      </c>
      <c r="F46" s="32">
        <f>'[1]11'!F45+'[1]13'!F45+'[1]15'!F46</f>
        <v>0</v>
      </c>
      <c r="G46" s="132"/>
      <c r="H46" s="29"/>
      <c r="I46" s="357"/>
      <c r="J46" s="132"/>
      <c r="K46" s="29"/>
      <c r="L46" s="133"/>
    </row>
    <row r="47" spans="1:12" ht="18.75" x14ac:dyDescent="0.3">
      <c r="A47" s="31" t="s">
        <v>22</v>
      </c>
      <c r="B47" s="495" t="s">
        <v>65</v>
      </c>
      <c r="C47" s="496"/>
      <c r="D47" s="384">
        <f t="shared" ref="D47:L47" si="11">+D33+D34+D38+D42</f>
        <v>255145</v>
      </c>
      <c r="E47" s="385">
        <f t="shared" si="11"/>
        <v>245526</v>
      </c>
      <c r="F47" s="386">
        <f t="shared" si="11"/>
        <v>9619</v>
      </c>
      <c r="G47" s="387">
        <f t="shared" si="11"/>
        <v>260746</v>
      </c>
      <c r="H47" s="385">
        <f t="shared" si="11"/>
        <v>253393</v>
      </c>
      <c r="I47" s="388">
        <f t="shared" si="11"/>
        <v>7353</v>
      </c>
      <c r="J47" s="387">
        <f t="shared" si="11"/>
        <v>245693</v>
      </c>
      <c r="K47" s="385">
        <f t="shared" si="11"/>
        <v>238340</v>
      </c>
      <c r="L47" s="388">
        <f t="shared" si="11"/>
        <v>7353</v>
      </c>
    </row>
    <row r="48" spans="1:12" ht="15.75" x14ac:dyDescent="0.25">
      <c r="A48" s="4" t="s">
        <v>11</v>
      </c>
      <c r="B48" s="434" t="s">
        <v>66</v>
      </c>
      <c r="C48" s="435"/>
      <c r="D48" s="27">
        <f>SUM(D49:D50)</f>
        <v>15141</v>
      </c>
      <c r="E48" s="27">
        <f>SUM(E49:E50)</f>
        <v>0</v>
      </c>
      <c r="F48" s="32">
        <f>SUM(F49:F50)</f>
        <v>15141</v>
      </c>
      <c r="G48" s="132">
        <f>SUM(G49:G50)</f>
        <v>14525</v>
      </c>
      <c r="H48" s="29">
        <v>144</v>
      </c>
      <c r="I48" s="133">
        <v>14381</v>
      </c>
      <c r="J48" s="121">
        <f>SUM(K48:L48)</f>
        <v>12981</v>
      </c>
      <c r="K48" s="5">
        <f>SUM(K49:K50)</f>
        <v>143</v>
      </c>
      <c r="L48" s="5">
        <f>SUM(L49:L50)</f>
        <v>12838</v>
      </c>
    </row>
    <row r="49" spans="1:12" ht="15.75" x14ac:dyDescent="0.25">
      <c r="A49" s="4"/>
      <c r="B49" s="30" t="s">
        <v>67</v>
      </c>
      <c r="C49" s="382" t="s">
        <v>68</v>
      </c>
      <c r="D49" s="27">
        <f>+E49+F49</f>
        <v>5372</v>
      </c>
      <c r="E49" s="27">
        <f>'[1]11'!E48+'[1]13'!D48+'[1]15'!E49</f>
        <v>0</v>
      </c>
      <c r="F49" s="32">
        <f>'[1]11'!F48+'[1]13'!F48+'[1]15'!F49</f>
        <v>5372</v>
      </c>
      <c r="G49" s="132">
        <f>+H49+I49</f>
        <v>8166</v>
      </c>
      <c r="H49" s="29">
        <v>144</v>
      </c>
      <c r="I49" s="133">
        <v>8022</v>
      </c>
      <c r="J49" s="132">
        <f>+K49+L49</f>
        <v>7377</v>
      </c>
      <c r="K49" s="27">
        <f>143</f>
        <v>143</v>
      </c>
      <c r="L49" s="131">
        <v>7234</v>
      </c>
    </row>
    <row r="50" spans="1:12" ht="15.75" x14ac:dyDescent="0.25">
      <c r="A50" s="4"/>
      <c r="B50" s="30" t="s">
        <v>69</v>
      </c>
      <c r="C50" s="382" t="s">
        <v>70</v>
      </c>
      <c r="D50" s="27">
        <f>+E50+F50</f>
        <v>9769</v>
      </c>
      <c r="E50" s="27">
        <f>'[1]11'!E49+'[1]13'!D49+'[1]15'!E50</f>
        <v>0</v>
      </c>
      <c r="F50" s="32">
        <f>'[1]11'!F49+'[1]13'!F49+'[1]15'!F50</f>
        <v>9769</v>
      </c>
      <c r="G50" s="132">
        <f>+H50+I50</f>
        <v>6359</v>
      </c>
      <c r="H50" s="29"/>
      <c r="I50" s="133">
        <v>6359</v>
      </c>
      <c r="J50" s="132">
        <f>+K50+L50</f>
        <v>5604</v>
      </c>
      <c r="K50" s="27"/>
      <c r="L50" s="131">
        <v>5604</v>
      </c>
    </row>
    <row r="51" spans="1:12" ht="15.75" x14ac:dyDescent="0.25">
      <c r="A51" s="4" t="s">
        <v>24</v>
      </c>
      <c r="B51" s="434" t="s">
        <v>71</v>
      </c>
      <c r="C51" s="435"/>
      <c r="D51" s="27">
        <f>SUM(D52:D53)</f>
        <v>0</v>
      </c>
      <c r="E51" s="27">
        <f>SUM(E52:E53)</f>
        <v>0</v>
      </c>
      <c r="F51" s="159">
        <f>SUM(D51:D51)</f>
        <v>0</v>
      </c>
      <c r="G51" s="132">
        <f>SUM(G52:G53)</f>
        <v>0</v>
      </c>
      <c r="H51" s="29"/>
      <c r="I51" s="133"/>
      <c r="J51" s="132"/>
      <c r="K51" s="27"/>
      <c r="L51" s="131"/>
    </row>
    <row r="52" spans="1:12" ht="15.75" x14ac:dyDescent="0.25">
      <c r="A52" s="4"/>
      <c r="B52" s="30" t="s">
        <v>72</v>
      </c>
      <c r="C52" s="382" t="s">
        <v>73</v>
      </c>
      <c r="D52" s="27"/>
      <c r="E52" s="27">
        <f>'[1]11'!E51+'[1]13'!D51+'[1]15'!E52</f>
        <v>0</v>
      </c>
      <c r="F52" s="32">
        <f>'[1]11'!F51+'[1]13'!F51+'[1]15'!F52</f>
        <v>0</v>
      </c>
      <c r="G52" s="132"/>
      <c r="H52" s="29"/>
      <c r="I52" s="133"/>
      <c r="J52" s="132">
        <v>0</v>
      </c>
      <c r="K52" s="27"/>
      <c r="L52" s="131"/>
    </row>
    <row r="53" spans="1:12" ht="15.75" x14ac:dyDescent="0.25">
      <c r="A53" s="4"/>
      <c r="B53" s="30" t="s">
        <v>74</v>
      </c>
      <c r="C53" s="382" t="s">
        <v>75</v>
      </c>
      <c r="D53" s="27">
        <v>0</v>
      </c>
      <c r="E53" s="27">
        <f>'[1]11'!E52+'[1]13'!D52+'[1]15'!E53</f>
        <v>0</v>
      </c>
      <c r="F53" s="32">
        <f>'[1]11'!F52+'[1]13'!F52+'[1]15'!F53</f>
        <v>0</v>
      </c>
      <c r="G53" s="132">
        <v>0</v>
      </c>
      <c r="H53" s="29"/>
      <c r="I53" s="133"/>
      <c r="J53" s="132"/>
      <c r="K53" s="27"/>
      <c r="L53" s="131"/>
    </row>
    <row r="54" spans="1:12" ht="15.75" x14ac:dyDescent="0.25">
      <c r="A54" s="4" t="s">
        <v>26</v>
      </c>
      <c r="B54" s="434" t="s">
        <v>76</v>
      </c>
      <c r="C54" s="435"/>
      <c r="D54" s="27">
        <f>SUM(D55:D57)</f>
        <v>24113</v>
      </c>
      <c r="E54" s="27">
        <f>SUM(E55:E57)</f>
        <v>0</v>
      </c>
      <c r="F54" s="159">
        <f>SUM(F55:F57)</f>
        <v>24113</v>
      </c>
      <c r="G54" s="130">
        <f t="shared" ref="G54:G55" si="12">I54+H54</f>
        <v>28177</v>
      </c>
      <c r="H54" s="29"/>
      <c r="I54" s="133">
        <v>28177</v>
      </c>
      <c r="J54" s="132">
        <v>27980</v>
      </c>
      <c r="K54" s="5"/>
      <c r="L54" s="57">
        <v>27980</v>
      </c>
    </row>
    <row r="55" spans="1:12" ht="15.75" x14ac:dyDescent="0.25">
      <c r="A55" s="4"/>
      <c r="B55" s="30" t="s">
        <v>77</v>
      </c>
      <c r="C55" s="382" t="s">
        <v>78</v>
      </c>
      <c r="D55" s="27">
        <f>+E55+F55</f>
        <v>24113</v>
      </c>
      <c r="E55" s="27">
        <f>'[1]11'!E54+'[1]13'!D54+'[1]15'!E55</f>
        <v>0</v>
      </c>
      <c r="F55" s="32">
        <f>'[1]11'!F54+'[1]13'!F54+'[1]15'!F55</f>
        <v>24113</v>
      </c>
      <c r="G55" s="130">
        <f t="shared" si="12"/>
        <v>27981</v>
      </c>
      <c r="H55" s="29"/>
      <c r="I55" s="133">
        <v>27981</v>
      </c>
      <c r="J55" s="132">
        <f>+K55+L55</f>
        <v>27980</v>
      </c>
      <c r="K55" s="5"/>
      <c r="L55" s="57">
        <v>27980</v>
      </c>
    </row>
    <row r="56" spans="1:12" ht="15.75" x14ac:dyDescent="0.25">
      <c r="A56" s="4"/>
      <c r="B56" s="30" t="s">
        <v>79</v>
      </c>
      <c r="C56" s="382" t="s">
        <v>80</v>
      </c>
      <c r="D56" s="27"/>
      <c r="E56" s="27">
        <f>'[1]11'!E55+'[1]13'!D55+'[1]15'!E56</f>
        <v>0</v>
      </c>
      <c r="F56" s="32">
        <f>'[1]11'!F55+'[1]13'!F55+'[1]15'!F56</f>
        <v>0</v>
      </c>
      <c r="G56" s="132">
        <v>196</v>
      </c>
      <c r="H56" s="29"/>
      <c r="I56" s="357">
        <v>196</v>
      </c>
      <c r="J56" s="132"/>
      <c r="K56" s="27"/>
      <c r="L56" s="131"/>
    </row>
    <row r="57" spans="1:12" ht="15.75" x14ac:dyDescent="0.25">
      <c r="A57" s="4"/>
      <c r="B57" s="30" t="s">
        <v>81</v>
      </c>
      <c r="C57" s="382" t="s">
        <v>82</v>
      </c>
      <c r="D57" s="27"/>
      <c r="E57" s="27">
        <f>'[1]11'!E56+'[1]13'!D56+'[1]15'!E57</f>
        <v>0</v>
      </c>
      <c r="F57" s="32">
        <f>'[1]11'!F56+'[1]13'!F56+'[1]15'!F57</f>
        <v>0</v>
      </c>
      <c r="G57" s="132"/>
      <c r="H57" s="29"/>
      <c r="I57" s="357"/>
      <c r="J57" s="132"/>
      <c r="K57" s="32"/>
      <c r="L57" s="133"/>
    </row>
    <row r="58" spans="1:12" ht="18.75" x14ac:dyDescent="0.3">
      <c r="A58" s="31" t="s">
        <v>30</v>
      </c>
      <c r="B58" s="495" t="s">
        <v>83</v>
      </c>
      <c r="C58" s="496"/>
      <c r="D58" s="384">
        <f t="shared" ref="D58:L58" si="13">+D48+D51+D54</f>
        <v>39254</v>
      </c>
      <c r="E58" s="389">
        <f t="shared" si="13"/>
        <v>0</v>
      </c>
      <c r="F58" s="386">
        <f t="shared" si="13"/>
        <v>39254</v>
      </c>
      <c r="G58" s="387">
        <f t="shared" si="13"/>
        <v>42702</v>
      </c>
      <c r="H58" s="385">
        <f t="shared" si="13"/>
        <v>144</v>
      </c>
      <c r="I58" s="388">
        <f t="shared" si="13"/>
        <v>42558</v>
      </c>
      <c r="J58" s="387">
        <f>J48+J51+J54</f>
        <v>40961</v>
      </c>
      <c r="K58" s="385">
        <f t="shared" si="13"/>
        <v>143</v>
      </c>
      <c r="L58" s="388">
        <f t="shared" si="13"/>
        <v>40818</v>
      </c>
    </row>
    <row r="59" spans="1:12" ht="15.75" x14ac:dyDescent="0.25">
      <c r="A59" s="31" t="s">
        <v>32</v>
      </c>
      <c r="B59" s="436" t="s">
        <v>84</v>
      </c>
      <c r="C59" s="437"/>
      <c r="D59" s="163"/>
      <c r="E59" s="34"/>
      <c r="F59" s="160"/>
      <c r="G59" s="134"/>
      <c r="H59" s="33"/>
      <c r="I59" s="357"/>
      <c r="J59" s="134"/>
      <c r="K59" s="34"/>
      <c r="L59" s="135"/>
    </row>
    <row r="60" spans="1:12" ht="18.75" x14ac:dyDescent="0.3">
      <c r="A60" s="31" t="s">
        <v>33</v>
      </c>
      <c r="B60" s="436" t="s">
        <v>85</v>
      </c>
      <c r="C60" s="437"/>
      <c r="D60" s="163"/>
      <c r="E60" s="34"/>
      <c r="F60" s="160"/>
      <c r="G60" s="134"/>
      <c r="H60" s="33"/>
      <c r="I60" s="357"/>
      <c r="J60" s="136"/>
      <c r="K60" s="36"/>
      <c r="L60" s="137"/>
    </row>
    <row r="61" spans="1:12" ht="20.25" x14ac:dyDescent="0.3">
      <c r="A61" s="19" t="s">
        <v>86</v>
      </c>
      <c r="B61" s="438" t="s">
        <v>87</v>
      </c>
      <c r="C61" s="439"/>
      <c r="D61" s="390">
        <f t="shared" ref="D61:L61" si="14">+D47+D58+D59+D60</f>
        <v>294399</v>
      </c>
      <c r="E61" s="391">
        <f t="shared" si="14"/>
        <v>245526</v>
      </c>
      <c r="F61" s="392">
        <f t="shared" si="14"/>
        <v>48873</v>
      </c>
      <c r="G61" s="393">
        <f t="shared" si="14"/>
        <v>303448</v>
      </c>
      <c r="H61" s="394">
        <f t="shared" si="14"/>
        <v>253537</v>
      </c>
      <c r="I61" s="395">
        <f t="shared" si="14"/>
        <v>49911</v>
      </c>
      <c r="J61" s="395">
        <f t="shared" si="14"/>
        <v>286654</v>
      </c>
      <c r="K61" s="395">
        <f t="shared" si="14"/>
        <v>238483</v>
      </c>
      <c r="L61" s="395">
        <f t="shared" si="14"/>
        <v>48171</v>
      </c>
    </row>
    <row r="62" spans="1:12" ht="18.75" x14ac:dyDescent="0.3">
      <c r="A62" s="19"/>
      <c r="B62" s="430" t="s">
        <v>88</v>
      </c>
      <c r="C62" s="431"/>
      <c r="D62" s="40">
        <f t="shared" ref="D62:L62" si="15">+D30-D61</f>
        <v>24991</v>
      </c>
      <c r="E62" s="37">
        <f t="shared" si="15"/>
        <v>25477</v>
      </c>
      <c r="F62" s="153">
        <f t="shared" si="15"/>
        <v>-486</v>
      </c>
      <c r="G62" s="40">
        <f t="shared" si="15"/>
        <v>21930</v>
      </c>
      <c r="H62" s="37">
        <f t="shared" si="15"/>
        <v>4948</v>
      </c>
      <c r="I62" s="153">
        <f t="shared" si="15"/>
        <v>16982</v>
      </c>
      <c r="J62" s="40">
        <f t="shared" si="15"/>
        <v>-12205</v>
      </c>
      <c r="K62" s="37">
        <f t="shared" si="15"/>
        <v>-19516</v>
      </c>
      <c r="L62" s="153">
        <f t="shared" si="15"/>
        <v>7311</v>
      </c>
    </row>
    <row r="63" spans="1:12" ht="18.75" x14ac:dyDescent="0.3">
      <c r="A63" s="19"/>
      <c r="B63" s="436" t="s">
        <v>186</v>
      </c>
      <c r="C63" s="437"/>
      <c r="D63" s="40">
        <f>E63+F63</f>
        <v>93447</v>
      </c>
      <c r="E63" s="20">
        <f>'[1]11'!E62+'[1]13'!D62</f>
        <v>88397</v>
      </c>
      <c r="F63" s="153">
        <f>+'[1]11'!F62+'[1]13'!F62</f>
        <v>5050</v>
      </c>
      <c r="G63" s="138">
        <f>H63+I63</f>
        <v>96539</v>
      </c>
      <c r="H63" s="20">
        <f>61533+35006</f>
        <v>96539</v>
      </c>
      <c r="I63" s="357"/>
      <c r="J63" s="136">
        <f>+K63+L63</f>
        <v>93065</v>
      </c>
      <c r="K63" s="53">
        <f>61064+32001</f>
        <v>93065</v>
      </c>
      <c r="L63" s="60">
        <f>SUM(L64:L65)</f>
        <v>0</v>
      </c>
    </row>
    <row r="64" spans="1:12" ht="18.75" x14ac:dyDescent="0.3">
      <c r="A64" s="31" t="s">
        <v>34</v>
      </c>
      <c r="B64" s="436" t="s">
        <v>89</v>
      </c>
      <c r="C64" s="437"/>
      <c r="D64" s="15">
        <f>+E64+F64</f>
        <v>24991</v>
      </c>
      <c r="E64" s="12">
        <f>SUM(E65:E66)</f>
        <v>24991</v>
      </c>
      <c r="F64" s="345">
        <f>SUM(F65:F66)</f>
        <v>0</v>
      </c>
      <c r="G64" s="122">
        <f>+H64+I64</f>
        <v>27777</v>
      </c>
      <c r="H64" s="12">
        <v>27777</v>
      </c>
      <c r="I64" s="357"/>
      <c r="J64" s="122">
        <v>27777</v>
      </c>
      <c r="K64" s="13">
        <f>113+22993+4671</f>
        <v>27777</v>
      </c>
      <c r="L64" s="102"/>
    </row>
    <row r="65" spans="1:12" ht="18.75" x14ac:dyDescent="0.25">
      <c r="A65" s="19"/>
      <c r="B65" s="38" t="s">
        <v>38</v>
      </c>
      <c r="C65" s="382" t="s">
        <v>90</v>
      </c>
      <c r="D65" s="15">
        <f>+E65+F65</f>
        <v>24991</v>
      </c>
      <c r="E65" s="12">
        <f>'[1]11'!E64+'[1]13'!D64+'[1]15'!E65</f>
        <v>24991</v>
      </c>
      <c r="F65" s="345">
        <f>'[1]11'!F64+'[1]13'!F64+'[1]15'!F65</f>
        <v>0</v>
      </c>
      <c r="G65" s="122">
        <v>27777</v>
      </c>
      <c r="H65" s="12">
        <f>22993+113+4671</f>
        <v>27777</v>
      </c>
      <c r="I65" s="357"/>
      <c r="J65" s="122">
        <v>27777</v>
      </c>
      <c r="K65" s="13">
        <f>113+22993+4671</f>
        <v>27777</v>
      </c>
      <c r="L65" s="57"/>
    </row>
    <row r="66" spans="1:12" ht="18.75" customHeight="1" x14ac:dyDescent="0.3">
      <c r="A66" s="19"/>
      <c r="B66" s="38" t="s">
        <v>40</v>
      </c>
      <c r="C66" s="382" t="s">
        <v>91</v>
      </c>
      <c r="D66" s="43"/>
      <c r="E66" s="37"/>
      <c r="F66" s="158"/>
      <c r="G66" s="139"/>
      <c r="H66" s="39"/>
      <c r="I66" s="357"/>
      <c r="J66" s="136"/>
      <c r="K66" s="20"/>
      <c r="L66" s="22">
        <f>L63</f>
        <v>0</v>
      </c>
    </row>
    <row r="67" spans="1:12" ht="18.75" x14ac:dyDescent="0.3">
      <c r="A67" s="19" t="s">
        <v>92</v>
      </c>
      <c r="B67" s="486" t="s">
        <v>93</v>
      </c>
      <c r="C67" s="487"/>
      <c r="D67" s="40">
        <f>+E67+F67</f>
        <v>24991</v>
      </c>
      <c r="E67" s="37">
        <f>+E65</f>
        <v>24991</v>
      </c>
      <c r="F67" s="153">
        <f>+F64</f>
        <v>0</v>
      </c>
      <c r="G67" s="138">
        <v>27777</v>
      </c>
      <c r="H67" s="20">
        <v>27777</v>
      </c>
      <c r="I67" s="357"/>
      <c r="J67" s="138">
        <v>27777</v>
      </c>
      <c r="K67" s="20">
        <v>27777</v>
      </c>
      <c r="L67" s="357"/>
    </row>
    <row r="68" spans="1:12" ht="18.75" x14ac:dyDescent="0.3">
      <c r="A68" s="4" t="s">
        <v>94</v>
      </c>
      <c r="B68" s="440" t="s">
        <v>389</v>
      </c>
      <c r="C68" s="441"/>
      <c r="D68" s="40"/>
      <c r="E68" s="40"/>
      <c r="F68" s="162">
        <f t="shared" ref="F68:F81" si="16">SUM(D68:E68)</f>
        <v>0</v>
      </c>
      <c r="G68" s="138">
        <v>4559</v>
      </c>
      <c r="H68" s="20">
        <v>4559</v>
      </c>
      <c r="I68" s="357"/>
      <c r="J68" s="142">
        <f>SUM(J69:J72)</f>
        <v>0</v>
      </c>
      <c r="K68" s="20">
        <f>SUM(K69:K72)</f>
        <v>0</v>
      </c>
      <c r="L68" s="61">
        <f>+L69+L70+L71</f>
        <v>0</v>
      </c>
    </row>
    <row r="69" spans="1:12" ht="18.75" x14ac:dyDescent="0.3">
      <c r="A69" s="4" t="s">
        <v>96</v>
      </c>
      <c r="B69" s="434" t="s">
        <v>97</v>
      </c>
      <c r="C69" s="435"/>
      <c r="D69" s="40">
        <f>SUM(D70:D73)</f>
        <v>0</v>
      </c>
      <c r="E69" s="40"/>
      <c r="F69" s="162">
        <f t="shared" si="16"/>
        <v>0</v>
      </c>
      <c r="G69" s="138">
        <f>SUM(G70:G73)</f>
        <v>0</v>
      </c>
      <c r="H69" s="20"/>
      <c r="I69" s="357"/>
      <c r="J69" s="139"/>
      <c r="K69" s="43"/>
      <c r="L69" s="102"/>
    </row>
    <row r="70" spans="1:12" ht="18.75" x14ac:dyDescent="0.3">
      <c r="A70" s="4"/>
      <c r="B70" s="30" t="s">
        <v>38</v>
      </c>
      <c r="C70" s="382" t="s">
        <v>98</v>
      </c>
      <c r="D70" s="43"/>
      <c r="E70" s="43"/>
      <c r="F70" s="161">
        <f t="shared" si="16"/>
        <v>0</v>
      </c>
      <c r="G70" s="139"/>
      <c r="H70" s="39"/>
      <c r="I70" s="357"/>
      <c r="J70" s="139"/>
      <c r="K70" s="40"/>
      <c r="L70" s="102"/>
    </row>
    <row r="71" spans="1:12" ht="18.75" x14ac:dyDescent="0.3">
      <c r="A71" s="4"/>
      <c r="B71" s="30" t="s">
        <v>40</v>
      </c>
      <c r="C71" s="382" t="s">
        <v>99</v>
      </c>
      <c r="D71" s="40"/>
      <c r="E71" s="40"/>
      <c r="F71" s="162">
        <f t="shared" si="16"/>
        <v>0</v>
      </c>
      <c r="G71" s="138"/>
      <c r="H71" s="20"/>
      <c r="I71" s="357"/>
      <c r="J71" s="139"/>
      <c r="K71" s="43"/>
      <c r="L71" s="61"/>
    </row>
    <row r="72" spans="1:12" ht="18.75" x14ac:dyDescent="0.3">
      <c r="A72" s="4"/>
      <c r="B72" s="30" t="s">
        <v>48</v>
      </c>
      <c r="C72" s="382" t="s">
        <v>100</v>
      </c>
      <c r="D72" s="43"/>
      <c r="E72" s="40"/>
      <c r="F72" s="162"/>
      <c r="G72" s="139"/>
      <c r="H72" s="39"/>
      <c r="I72" s="357"/>
      <c r="J72" s="139"/>
      <c r="K72" s="40"/>
      <c r="L72" s="61"/>
    </row>
    <row r="73" spans="1:12" ht="19.5" customHeight="1" x14ac:dyDescent="0.3">
      <c r="A73" s="4"/>
      <c r="B73" s="30" t="s">
        <v>9</v>
      </c>
      <c r="C73" s="382" t="s">
        <v>101</v>
      </c>
      <c r="D73" s="43"/>
      <c r="E73" s="40"/>
      <c r="F73" s="162"/>
      <c r="G73" s="139"/>
      <c r="H73" s="39"/>
      <c r="I73" s="357"/>
      <c r="J73" s="138">
        <f>+J67+J68</f>
        <v>27777</v>
      </c>
      <c r="K73" s="40">
        <f>+K68+K67</f>
        <v>27777</v>
      </c>
      <c r="L73" s="61">
        <f>+L68+L67</f>
        <v>0</v>
      </c>
    </row>
    <row r="74" spans="1:12" ht="19.5" x14ac:dyDescent="0.3">
      <c r="A74" s="19" t="s">
        <v>102</v>
      </c>
      <c r="B74" s="484" t="s">
        <v>103</v>
      </c>
      <c r="C74" s="485"/>
      <c r="D74" s="40">
        <f>+D68+D69</f>
        <v>0</v>
      </c>
      <c r="E74" s="40"/>
      <c r="F74" s="162">
        <f t="shared" si="16"/>
        <v>0</v>
      </c>
      <c r="G74" s="138">
        <f>+G68+G69</f>
        <v>4559</v>
      </c>
      <c r="H74" s="20">
        <v>4559</v>
      </c>
      <c r="I74" s="357"/>
      <c r="J74" s="138">
        <v>4559</v>
      </c>
      <c r="K74" s="40">
        <v>4559</v>
      </c>
      <c r="L74" s="21"/>
    </row>
    <row r="75" spans="1:12" ht="18.75" x14ac:dyDescent="0.3">
      <c r="A75" s="19" t="s">
        <v>104</v>
      </c>
      <c r="B75" s="430" t="s">
        <v>105</v>
      </c>
      <c r="C75" s="431"/>
      <c r="D75" s="40">
        <f>+D67+D74</f>
        <v>24991</v>
      </c>
      <c r="E75" s="40">
        <f>+E67+E74</f>
        <v>24991</v>
      </c>
      <c r="F75" s="37">
        <f>+F67+F74</f>
        <v>0</v>
      </c>
      <c r="G75" s="138">
        <f>+G67+G74</f>
        <v>32336</v>
      </c>
      <c r="H75" s="20">
        <f>+H67+H74</f>
        <v>32336</v>
      </c>
      <c r="I75" s="357"/>
      <c r="J75" s="138">
        <f>+J67+J74</f>
        <v>32336</v>
      </c>
      <c r="K75" s="20">
        <f>+K67+K74</f>
        <v>32336</v>
      </c>
      <c r="L75" s="357"/>
    </row>
    <row r="76" spans="1:12" ht="18.75" x14ac:dyDescent="0.3">
      <c r="A76" s="4" t="s">
        <v>106</v>
      </c>
      <c r="B76" s="434" t="s">
        <v>107</v>
      </c>
      <c r="C76" s="435"/>
      <c r="D76" s="40">
        <f>+E76+F76</f>
        <v>93447</v>
      </c>
      <c r="E76" s="40">
        <f>34265+60182-1000</f>
        <v>93447</v>
      </c>
      <c r="F76" s="162"/>
      <c r="G76" s="138">
        <v>96539</v>
      </c>
      <c r="H76" s="20">
        <v>96539</v>
      </c>
      <c r="I76" s="357"/>
      <c r="J76" s="139">
        <v>93065</v>
      </c>
      <c r="K76" s="43">
        <v>93065</v>
      </c>
      <c r="L76" s="102"/>
    </row>
    <row r="77" spans="1:12" ht="18.75" x14ac:dyDescent="0.3">
      <c r="A77" s="4" t="s">
        <v>108</v>
      </c>
      <c r="B77" s="434" t="s">
        <v>109</v>
      </c>
      <c r="C77" s="435"/>
      <c r="D77" s="43">
        <f>SUM(D78:D80)</f>
        <v>0</v>
      </c>
      <c r="E77" s="43"/>
      <c r="F77" s="161">
        <f t="shared" si="16"/>
        <v>0</v>
      </c>
      <c r="G77" s="139">
        <f>SUM(G78:G80)</f>
        <v>0</v>
      </c>
      <c r="H77" s="39"/>
      <c r="I77" s="357"/>
      <c r="J77" s="139"/>
      <c r="K77" s="43"/>
      <c r="L77" s="102"/>
    </row>
    <row r="78" spans="1:12" ht="18.75" x14ac:dyDescent="0.3">
      <c r="A78" s="4"/>
      <c r="B78" s="30" t="s">
        <v>38</v>
      </c>
      <c r="C78" s="382" t="s">
        <v>110</v>
      </c>
      <c r="D78" s="43"/>
      <c r="E78" s="43"/>
      <c r="F78" s="161">
        <f t="shared" si="16"/>
        <v>0</v>
      </c>
      <c r="G78" s="139"/>
      <c r="H78" s="39"/>
      <c r="I78" s="357"/>
      <c r="J78" s="139">
        <f>+K78+L78</f>
        <v>0</v>
      </c>
      <c r="K78" s="43"/>
      <c r="L78" s="102"/>
    </row>
    <row r="79" spans="1:12" ht="18.75" x14ac:dyDescent="0.3">
      <c r="A79" s="4"/>
      <c r="B79" s="30" t="s">
        <v>40</v>
      </c>
      <c r="C79" s="382" t="s">
        <v>111</v>
      </c>
      <c r="D79" s="43"/>
      <c r="E79" s="43"/>
      <c r="F79" s="161">
        <f t="shared" si="16"/>
        <v>0</v>
      </c>
      <c r="G79" s="139"/>
      <c r="H79" s="39"/>
      <c r="I79" s="357"/>
      <c r="J79" s="139"/>
      <c r="K79" s="43"/>
      <c r="L79" s="102"/>
    </row>
    <row r="80" spans="1:12" ht="18.75" x14ac:dyDescent="0.3">
      <c r="A80" s="4"/>
      <c r="B80" s="30" t="s">
        <v>48</v>
      </c>
      <c r="C80" s="382" t="s">
        <v>112</v>
      </c>
      <c r="D80" s="43"/>
      <c r="E80" s="43"/>
      <c r="F80" s="161">
        <f t="shared" si="16"/>
        <v>0</v>
      </c>
      <c r="G80" s="139"/>
      <c r="H80" s="39"/>
      <c r="I80" s="357"/>
      <c r="J80" s="138"/>
      <c r="K80" s="40"/>
      <c r="L80" s="21">
        <f>+L75+L76</f>
        <v>0</v>
      </c>
    </row>
    <row r="81" spans="1:12" ht="18.75" x14ac:dyDescent="0.3">
      <c r="A81" s="4" t="s">
        <v>378</v>
      </c>
      <c r="B81" s="434" t="s">
        <v>379</v>
      </c>
      <c r="C81" s="435"/>
      <c r="D81" s="43"/>
      <c r="E81" s="43"/>
      <c r="F81" s="161">
        <f t="shared" si="16"/>
        <v>0</v>
      </c>
      <c r="G81" s="139">
        <v>10406</v>
      </c>
      <c r="H81" s="39">
        <v>10406</v>
      </c>
      <c r="I81" s="357"/>
      <c r="J81" s="140">
        <v>5846</v>
      </c>
      <c r="K81" s="45">
        <v>5846</v>
      </c>
      <c r="L81" s="46">
        <f>+L29+L80</f>
        <v>0</v>
      </c>
    </row>
    <row r="82" spans="1:12" ht="19.5" thickBot="1" x14ac:dyDescent="0.35">
      <c r="A82" s="19" t="s">
        <v>113</v>
      </c>
      <c r="B82" s="430" t="s">
        <v>114</v>
      </c>
      <c r="C82" s="431"/>
      <c r="D82" s="40">
        <f t="shared" ref="D82:I82" si="17">+D76+D77</f>
        <v>93447</v>
      </c>
      <c r="E82" s="40">
        <f t="shared" si="17"/>
        <v>93447</v>
      </c>
      <c r="F82" s="37">
        <f t="shared" si="17"/>
        <v>0</v>
      </c>
      <c r="G82" s="138">
        <f>G76+G81</f>
        <v>106945</v>
      </c>
      <c r="H82" s="138">
        <f>H76+H81</f>
        <v>106945</v>
      </c>
      <c r="I82" s="22">
        <f t="shared" si="17"/>
        <v>0</v>
      </c>
      <c r="J82" s="141">
        <f>J76+J81</f>
        <v>98911</v>
      </c>
      <c r="K82" s="49">
        <f>K76+K81</f>
        <v>98911</v>
      </c>
      <c r="L82" s="49">
        <f>+L60+L74</f>
        <v>0</v>
      </c>
    </row>
    <row r="83" spans="1:12" ht="18.75" x14ac:dyDescent="0.3">
      <c r="A83" s="396" t="s">
        <v>115</v>
      </c>
      <c r="B83" s="432" t="s">
        <v>116</v>
      </c>
      <c r="C83" s="433"/>
      <c r="D83" s="397">
        <f>+D30+D82</f>
        <v>412837</v>
      </c>
      <c r="E83" s="398">
        <f>+E30+E82</f>
        <v>364450</v>
      </c>
      <c r="F83" s="399">
        <f>+F30+F82</f>
        <v>48387</v>
      </c>
      <c r="G83" s="400">
        <f>+G30+G82</f>
        <v>432323</v>
      </c>
      <c r="H83" s="401">
        <f>+H30+H82+H81</f>
        <v>375836</v>
      </c>
      <c r="I83" s="402">
        <f>+I30+I82+I81</f>
        <v>66893</v>
      </c>
      <c r="J83" s="400">
        <f>+J30+J82</f>
        <v>373360</v>
      </c>
      <c r="K83" s="401">
        <f>+K30+K82</f>
        <v>317878</v>
      </c>
      <c r="L83" s="402">
        <f t="shared" ref="L83" si="18">+L30+L82+L81</f>
        <v>55482</v>
      </c>
    </row>
    <row r="84" spans="1:12" ht="19.5" thickBot="1" x14ac:dyDescent="0.35">
      <c r="A84" s="403" t="s">
        <v>117</v>
      </c>
      <c r="B84" s="404" t="s">
        <v>118</v>
      </c>
      <c r="C84" s="405"/>
      <c r="D84" s="406">
        <f t="shared" ref="D84:I84" si="19">+D61+D75+D63</f>
        <v>412837</v>
      </c>
      <c r="E84" s="407">
        <f t="shared" si="19"/>
        <v>358914</v>
      </c>
      <c r="F84" s="408">
        <f t="shared" si="19"/>
        <v>53923</v>
      </c>
      <c r="G84" s="409">
        <f t="shared" si="19"/>
        <v>432323</v>
      </c>
      <c r="H84" s="410">
        <f t="shared" si="19"/>
        <v>382412</v>
      </c>
      <c r="I84" s="411">
        <f t="shared" si="19"/>
        <v>49911</v>
      </c>
      <c r="J84" s="411">
        <f t="shared" ref="J84:L84" si="20">+J61+J75+J63</f>
        <v>412055</v>
      </c>
      <c r="K84" s="411">
        <f t="shared" si="20"/>
        <v>363884</v>
      </c>
      <c r="L84" s="411">
        <f t="shared" si="20"/>
        <v>48171</v>
      </c>
    </row>
  </sheetData>
  <mergeCells count="66">
    <mergeCell ref="J6:J7"/>
    <mergeCell ref="K6:K7"/>
    <mergeCell ref="L6:L7"/>
    <mergeCell ref="J8:L8"/>
    <mergeCell ref="B58:C58"/>
    <mergeCell ref="B47:C47"/>
    <mergeCell ref="B32:C32"/>
    <mergeCell ref="B19:C19"/>
    <mergeCell ref="B21:C21"/>
    <mergeCell ref="B34:C34"/>
    <mergeCell ref="B38:C38"/>
    <mergeCell ref="B42:C42"/>
    <mergeCell ref="B48:C48"/>
    <mergeCell ref="B33:C33"/>
    <mergeCell ref="B22:C22"/>
    <mergeCell ref="B23:C23"/>
    <mergeCell ref="B74:C74"/>
    <mergeCell ref="B75:C75"/>
    <mergeCell ref="B63:C63"/>
    <mergeCell ref="B67:C67"/>
    <mergeCell ref="B76:C76"/>
    <mergeCell ref="I6:I7"/>
    <mergeCell ref="D8:I8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1:C1"/>
    <mergeCell ref="A3:C3"/>
    <mergeCell ref="A4:C4"/>
    <mergeCell ref="A5:C5"/>
    <mergeCell ref="H6:H7"/>
    <mergeCell ref="A6:A8"/>
    <mergeCell ref="B6:C8"/>
    <mergeCell ref="D6:D7"/>
    <mergeCell ref="E6:E7"/>
    <mergeCell ref="F6:F7"/>
    <mergeCell ref="G6:G7"/>
    <mergeCell ref="B24:C24"/>
    <mergeCell ref="B25:C25"/>
    <mergeCell ref="B26:C26"/>
    <mergeCell ref="B27:C27"/>
    <mergeCell ref="B28:C28"/>
    <mergeCell ref="B29:C29"/>
    <mergeCell ref="B30:C30"/>
    <mergeCell ref="B31:C31"/>
    <mergeCell ref="B82:C82"/>
    <mergeCell ref="B83:C83"/>
    <mergeCell ref="B51:C51"/>
    <mergeCell ref="B54:C54"/>
    <mergeCell ref="B64:C64"/>
    <mergeCell ref="B69:C69"/>
    <mergeCell ref="B77:C77"/>
    <mergeCell ref="B59:C59"/>
    <mergeCell ref="B60:C60"/>
    <mergeCell ref="B61:C61"/>
    <mergeCell ref="B81:C81"/>
    <mergeCell ref="B62:C62"/>
    <mergeCell ref="B68:C68"/>
  </mergeCells>
  <phoneticPr fontId="12" type="noConversion"/>
  <pageMargins left="0.17" right="0.16" top="0.17" bottom="0.21" header="0.17" footer="0.17"/>
  <pageSetup paperSize="9" scale="60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"/>
  <sheetViews>
    <sheetView tabSelected="1" topLeftCell="A13" workbookViewId="0">
      <selection activeCell="G26" sqref="G26"/>
    </sheetView>
  </sheetViews>
  <sheetFormatPr defaultRowHeight="12.75" x14ac:dyDescent="0.2"/>
  <cols>
    <col min="1" max="1" width="5.140625" customWidth="1"/>
    <col min="2" max="2" width="58.42578125" bestFit="1" customWidth="1"/>
    <col min="3" max="3" width="12.5703125" bestFit="1" customWidth="1"/>
    <col min="4" max="4" width="3.85546875" customWidth="1"/>
    <col min="5" max="5" width="5.140625" customWidth="1"/>
    <col min="6" max="6" width="58.42578125" bestFit="1" customWidth="1"/>
    <col min="7" max="7" width="12.5703125" bestFit="1" customWidth="1"/>
  </cols>
  <sheetData>
    <row r="2" spans="1:9" ht="15.75" x14ac:dyDescent="0.25">
      <c r="B2" s="166" t="s">
        <v>390</v>
      </c>
      <c r="C2" s="166"/>
      <c r="F2" s="166" t="s">
        <v>390</v>
      </c>
      <c r="G2" s="166"/>
    </row>
    <row r="3" spans="1:9" ht="15.75" x14ac:dyDescent="0.25">
      <c r="B3" s="166" t="s">
        <v>243</v>
      </c>
      <c r="C3" s="166"/>
      <c r="F3" s="166" t="s">
        <v>0</v>
      </c>
      <c r="G3" s="166"/>
    </row>
    <row r="4" spans="1:9" x14ac:dyDescent="0.2">
      <c r="B4" s="118" t="s">
        <v>214</v>
      </c>
      <c r="F4" s="118" t="s">
        <v>214</v>
      </c>
      <c r="H4" t="s">
        <v>2</v>
      </c>
    </row>
    <row r="6" spans="1:9" ht="13.5" thickBot="1" x14ac:dyDescent="0.25">
      <c r="I6" t="s">
        <v>215</v>
      </c>
    </row>
    <row r="7" spans="1:9" ht="13.5" thickBot="1" x14ac:dyDescent="0.25">
      <c r="A7" s="167" t="s">
        <v>216</v>
      </c>
      <c r="B7" s="168" t="s">
        <v>4</v>
      </c>
      <c r="C7" s="169" t="s">
        <v>217</v>
      </c>
      <c r="E7" s="167" t="s">
        <v>216</v>
      </c>
      <c r="F7" s="168" t="s">
        <v>4</v>
      </c>
      <c r="G7" s="169" t="s">
        <v>217</v>
      </c>
    </row>
    <row r="8" spans="1:9" x14ac:dyDescent="0.2">
      <c r="A8" s="59" t="s">
        <v>38</v>
      </c>
      <c r="B8" s="170" t="s">
        <v>218</v>
      </c>
      <c r="C8" s="171">
        <f>+G8+C38+G38</f>
        <v>286654</v>
      </c>
      <c r="E8" s="59" t="s">
        <v>38</v>
      </c>
      <c r="F8" s="170" t="s">
        <v>218</v>
      </c>
      <c r="G8" s="171">
        <v>284119</v>
      </c>
    </row>
    <row r="9" spans="1:9" x14ac:dyDescent="0.2">
      <c r="A9" s="56" t="s">
        <v>40</v>
      </c>
      <c r="B9" s="172" t="s">
        <v>219</v>
      </c>
      <c r="C9" s="173">
        <f>+G9+C39+G39</f>
        <v>274449</v>
      </c>
      <c r="E9" s="56" t="s">
        <v>40</v>
      </c>
      <c r="F9" s="172" t="s">
        <v>219</v>
      </c>
      <c r="G9" s="173">
        <v>174299</v>
      </c>
    </row>
    <row r="10" spans="1:9" x14ac:dyDescent="0.2">
      <c r="A10" s="56" t="s">
        <v>48</v>
      </c>
      <c r="B10" s="14" t="s">
        <v>220</v>
      </c>
      <c r="C10" s="173">
        <f>+C8-C9</f>
        <v>12205</v>
      </c>
      <c r="E10" s="56" t="s">
        <v>48</v>
      </c>
      <c r="F10" s="14" t="s">
        <v>220</v>
      </c>
      <c r="G10" s="173">
        <f>+G8-G9</f>
        <v>109820</v>
      </c>
    </row>
    <row r="11" spans="1:9" x14ac:dyDescent="0.2">
      <c r="A11" s="56" t="s">
        <v>9</v>
      </c>
      <c r="B11" s="172" t="s">
        <v>221</v>
      </c>
      <c r="C11" s="173">
        <f>+G11+C41+G41</f>
        <v>125401</v>
      </c>
      <c r="E11" s="56" t="s">
        <v>9</v>
      </c>
      <c r="F11" s="172" t="s">
        <v>221</v>
      </c>
      <c r="G11" s="173">
        <v>27552</v>
      </c>
    </row>
    <row r="12" spans="1:9" x14ac:dyDescent="0.2">
      <c r="A12" s="56" t="s">
        <v>11</v>
      </c>
      <c r="B12" s="172" t="s">
        <v>222</v>
      </c>
      <c r="C12" s="173">
        <f>+G12+C42+G42</f>
        <v>98911</v>
      </c>
      <c r="E12" s="56" t="s">
        <v>11</v>
      </c>
      <c r="F12" s="172" t="s">
        <v>222</v>
      </c>
      <c r="G12" s="173">
        <v>98911</v>
      </c>
    </row>
    <row r="13" spans="1:9" x14ac:dyDescent="0.2">
      <c r="A13" s="56" t="s">
        <v>24</v>
      </c>
      <c r="B13" s="174" t="s">
        <v>223</v>
      </c>
      <c r="C13" s="173">
        <f>+C11-C12</f>
        <v>26490</v>
      </c>
      <c r="E13" s="56" t="s">
        <v>24</v>
      </c>
      <c r="F13" s="174" t="s">
        <v>223</v>
      </c>
      <c r="G13" s="173">
        <f>+G11-G12</f>
        <v>-71359</v>
      </c>
    </row>
    <row r="14" spans="1:9" x14ac:dyDescent="0.2">
      <c r="A14" s="56" t="s">
        <v>26</v>
      </c>
      <c r="B14" s="174" t="s">
        <v>224</v>
      </c>
      <c r="C14" s="173">
        <f>+C10+C13</f>
        <v>38695</v>
      </c>
      <c r="E14" s="56" t="s">
        <v>26</v>
      </c>
      <c r="F14" s="174" t="s">
        <v>224</v>
      </c>
      <c r="G14" s="173">
        <f>G10+G13</f>
        <v>38461</v>
      </c>
    </row>
    <row r="15" spans="1:9" x14ac:dyDescent="0.2">
      <c r="A15" s="56" t="s">
        <v>28</v>
      </c>
      <c r="B15" s="172" t="s">
        <v>225</v>
      </c>
      <c r="C15" s="173"/>
      <c r="E15" s="56" t="s">
        <v>28</v>
      </c>
      <c r="F15" s="172" t="s">
        <v>225</v>
      </c>
      <c r="G15" s="173"/>
    </row>
    <row r="16" spans="1:9" x14ac:dyDescent="0.2">
      <c r="A16" s="56" t="s">
        <v>121</v>
      </c>
      <c r="B16" s="172" t="s">
        <v>226</v>
      </c>
      <c r="C16" s="173"/>
      <c r="E16" s="56" t="s">
        <v>121</v>
      </c>
      <c r="F16" s="172" t="s">
        <v>226</v>
      </c>
      <c r="G16" s="173"/>
    </row>
    <row r="17" spans="1:7" x14ac:dyDescent="0.2">
      <c r="A17" s="56" t="s">
        <v>122</v>
      </c>
      <c r="B17" s="14" t="s">
        <v>227</v>
      </c>
      <c r="C17" s="173"/>
      <c r="E17" s="56" t="s">
        <v>122</v>
      </c>
      <c r="F17" s="14" t="s">
        <v>227</v>
      </c>
      <c r="G17" s="173"/>
    </row>
    <row r="18" spans="1:7" x14ac:dyDescent="0.2">
      <c r="A18" s="56" t="s">
        <v>123</v>
      </c>
      <c r="B18" s="172" t="s">
        <v>228</v>
      </c>
      <c r="C18" s="173"/>
      <c r="E18" s="56" t="s">
        <v>123</v>
      </c>
      <c r="F18" s="172" t="s">
        <v>228</v>
      </c>
      <c r="G18" s="173"/>
    </row>
    <row r="19" spans="1:7" x14ac:dyDescent="0.2">
      <c r="A19" s="56" t="s">
        <v>229</v>
      </c>
      <c r="B19" s="172" t="s">
        <v>230</v>
      </c>
      <c r="C19" s="173"/>
      <c r="E19" s="56" t="s">
        <v>229</v>
      </c>
      <c r="F19" s="172" t="s">
        <v>230</v>
      </c>
      <c r="G19" s="173"/>
    </row>
    <row r="20" spans="1:7" x14ac:dyDescent="0.2">
      <c r="A20" s="56" t="s">
        <v>231</v>
      </c>
      <c r="B20" s="174" t="s">
        <v>232</v>
      </c>
      <c r="C20" s="173"/>
      <c r="E20" s="56" t="s">
        <v>231</v>
      </c>
      <c r="F20" s="174" t="s">
        <v>232</v>
      </c>
      <c r="G20" s="173"/>
    </row>
    <row r="21" spans="1:7" x14ac:dyDescent="0.2">
      <c r="A21" s="56" t="s">
        <v>233</v>
      </c>
      <c r="B21" s="174" t="s">
        <v>234</v>
      </c>
      <c r="C21" s="173"/>
      <c r="E21" s="56" t="s">
        <v>233</v>
      </c>
      <c r="F21" s="174" t="s">
        <v>234</v>
      </c>
      <c r="G21" s="173"/>
    </row>
    <row r="22" spans="1:7" x14ac:dyDescent="0.2">
      <c r="A22" s="56" t="s">
        <v>235</v>
      </c>
      <c r="B22" s="174" t="s">
        <v>246</v>
      </c>
      <c r="C22" s="173">
        <f>+G22+C52+G52</f>
        <v>0</v>
      </c>
      <c r="E22" s="56" t="s">
        <v>235</v>
      </c>
      <c r="F22" s="174" t="s">
        <v>246</v>
      </c>
      <c r="G22" s="173"/>
    </row>
    <row r="23" spans="1:7" x14ac:dyDescent="0.2">
      <c r="A23" s="56" t="s">
        <v>236</v>
      </c>
      <c r="B23" s="14" t="s">
        <v>248</v>
      </c>
      <c r="C23" s="173">
        <f>+C14+C22</f>
        <v>38695</v>
      </c>
      <c r="E23" s="56" t="s">
        <v>236</v>
      </c>
      <c r="F23" s="14" t="s">
        <v>248</v>
      </c>
      <c r="G23" s="173">
        <f>+G14+G22</f>
        <v>38461</v>
      </c>
    </row>
    <row r="24" spans="1:7" x14ac:dyDescent="0.2">
      <c r="A24" s="56" t="s">
        <v>238</v>
      </c>
      <c r="B24" s="14" t="s">
        <v>237</v>
      </c>
      <c r="C24" s="173">
        <v>12137</v>
      </c>
      <c r="E24" s="56" t="s">
        <v>238</v>
      </c>
      <c r="F24" s="14" t="s">
        <v>237</v>
      </c>
      <c r="G24" s="173">
        <v>12137</v>
      </c>
    </row>
    <row r="25" spans="1:7" x14ac:dyDescent="0.2">
      <c r="A25" s="56" t="s">
        <v>239</v>
      </c>
      <c r="B25" s="14" t="s">
        <v>247</v>
      </c>
      <c r="C25" s="173">
        <f>C23-C24</f>
        <v>26558</v>
      </c>
      <c r="E25" s="56" t="s">
        <v>239</v>
      </c>
      <c r="F25" s="14" t="s">
        <v>247</v>
      </c>
      <c r="G25" s="178">
        <f>G23-G24</f>
        <v>26324</v>
      </c>
    </row>
    <row r="26" spans="1:7" x14ac:dyDescent="0.2">
      <c r="A26" s="56" t="s">
        <v>241</v>
      </c>
      <c r="B26" s="14" t="s">
        <v>240</v>
      </c>
      <c r="C26" s="175"/>
      <c r="E26" s="56" t="s">
        <v>241</v>
      </c>
      <c r="F26" s="14" t="s">
        <v>240</v>
      </c>
      <c r="G26" s="175"/>
    </row>
    <row r="27" spans="1:7" ht="13.5" thickBot="1" x14ac:dyDescent="0.25">
      <c r="A27" s="56" t="s">
        <v>245</v>
      </c>
      <c r="B27" s="176" t="s">
        <v>242</v>
      </c>
      <c r="C27" s="177"/>
      <c r="E27" s="56" t="s">
        <v>245</v>
      </c>
      <c r="F27" s="176" t="s">
        <v>242</v>
      </c>
      <c r="G27" s="177"/>
    </row>
    <row r="32" spans="1:7" ht="15.75" x14ac:dyDescent="0.25">
      <c r="B32" s="166" t="s">
        <v>390</v>
      </c>
      <c r="C32" s="166"/>
      <c r="F32" s="166" t="s">
        <v>390</v>
      </c>
      <c r="G32" s="166"/>
    </row>
    <row r="33" spans="1:7" ht="15.75" x14ac:dyDescent="0.25">
      <c r="B33" s="166" t="s">
        <v>190</v>
      </c>
      <c r="C33" s="166"/>
      <c r="F33" s="166" t="s">
        <v>244</v>
      </c>
      <c r="G33" s="166"/>
    </row>
    <row r="34" spans="1:7" x14ac:dyDescent="0.2">
      <c r="B34" s="118" t="s">
        <v>214</v>
      </c>
      <c r="F34" s="118" t="s">
        <v>214</v>
      </c>
    </row>
    <row r="36" spans="1:7" ht="13.5" thickBot="1" x14ac:dyDescent="0.25"/>
    <row r="37" spans="1:7" ht="13.5" thickBot="1" x14ac:dyDescent="0.25">
      <c r="A37" s="167" t="s">
        <v>216</v>
      </c>
      <c r="B37" s="168" t="s">
        <v>4</v>
      </c>
      <c r="C37" s="169" t="s">
        <v>217</v>
      </c>
      <c r="E37" s="167" t="s">
        <v>216</v>
      </c>
      <c r="F37" s="168" t="s">
        <v>4</v>
      </c>
      <c r="G37" s="169" t="s">
        <v>217</v>
      </c>
    </row>
    <row r="38" spans="1:7" x14ac:dyDescent="0.2">
      <c r="A38" s="59" t="s">
        <v>38</v>
      </c>
      <c r="B38" s="170" t="s">
        <v>218</v>
      </c>
      <c r="C38" s="171">
        <v>421</v>
      </c>
      <c r="E38" s="59" t="s">
        <v>38</v>
      </c>
      <c r="F38" s="170" t="s">
        <v>218</v>
      </c>
      <c r="G38" s="171">
        <v>2114</v>
      </c>
    </row>
    <row r="39" spans="1:7" x14ac:dyDescent="0.2">
      <c r="A39" s="56" t="s">
        <v>40</v>
      </c>
      <c r="B39" s="172" t="s">
        <v>219</v>
      </c>
      <c r="C39" s="173">
        <v>36898</v>
      </c>
      <c r="E39" s="56" t="s">
        <v>40</v>
      </c>
      <c r="F39" s="172" t="s">
        <v>219</v>
      </c>
      <c r="G39" s="173">
        <v>63252</v>
      </c>
    </row>
    <row r="40" spans="1:7" x14ac:dyDescent="0.2">
      <c r="A40" s="56" t="s">
        <v>48</v>
      </c>
      <c r="B40" s="14" t="s">
        <v>220</v>
      </c>
      <c r="C40" s="173">
        <f>+C38-C39</f>
        <v>-36477</v>
      </c>
      <c r="E40" s="56" t="s">
        <v>48</v>
      </c>
      <c r="F40" s="14" t="s">
        <v>220</v>
      </c>
      <c r="G40" s="173">
        <f>+G38-G39</f>
        <v>-61138</v>
      </c>
    </row>
    <row r="41" spans="1:7" x14ac:dyDescent="0.2">
      <c r="A41" s="56" t="s">
        <v>9</v>
      </c>
      <c r="B41" s="172" t="s">
        <v>221</v>
      </c>
      <c r="C41" s="173">
        <v>36672</v>
      </c>
      <c r="E41" s="56" t="s">
        <v>9</v>
      </c>
      <c r="F41" s="172" t="s">
        <v>221</v>
      </c>
      <c r="G41" s="173">
        <v>61177</v>
      </c>
    </row>
    <row r="42" spans="1:7" x14ac:dyDescent="0.2">
      <c r="A42" s="56" t="s">
        <v>11</v>
      </c>
      <c r="B42" s="172" t="s">
        <v>222</v>
      </c>
      <c r="C42" s="173"/>
      <c r="E42" s="56" t="s">
        <v>11</v>
      </c>
      <c r="F42" s="172" t="s">
        <v>222</v>
      </c>
      <c r="G42" s="173"/>
    </row>
    <row r="43" spans="1:7" x14ac:dyDescent="0.2">
      <c r="A43" s="56" t="s">
        <v>24</v>
      </c>
      <c r="B43" s="174" t="s">
        <v>223</v>
      </c>
      <c r="C43" s="173">
        <f>+C41-C42</f>
        <v>36672</v>
      </c>
      <c r="E43" s="56" t="s">
        <v>24</v>
      </c>
      <c r="F43" s="174" t="s">
        <v>223</v>
      </c>
      <c r="G43" s="173">
        <f>+G41-G42</f>
        <v>61177</v>
      </c>
    </row>
    <row r="44" spans="1:7" x14ac:dyDescent="0.2">
      <c r="A44" s="56" t="s">
        <v>26</v>
      </c>
      <c r="B44" s="174" t="s">
        <v>224</v>
      </c>
      <c r="C44" s="173">
        <f>C40+C43</f>
        <v>195</v>
      </c>
      <c r="E44" s="56" t="s">
        <v>26</v>
      </c>
      <c r="F44" s="174" t="s">
        <v>224</v>
      </c>
      <c r="G44" s="173">
        <f>G40+G43</f>
        <v>39</v>
      </c>
    </row>
    <row r="45" spans="1:7" x14ac:dyDescent="0.2">
      <c r="A45" s="56" t="s">
        <v>28</v>
      </c>
      <c r="B45" s="172" t="s">
        <v>225</v>
      </c>
      <c r="C45" s="173"/>
      <c r="E45" s="56" t="s">
        <v>28</v>
      </c>
      <c r="F45" s="172" t="s">
        <v>225</v>
      </c>
      <c r="G45" s="173"/>
    </row>
    <row r="46" spans="1:7" x14ac:dyDescent="0.2">
      <c r="A46" s="56" t="s">
        <v>121</v>
      </c>
      <c r="B46" s="172" t="s">
        <v>226</v>
      </c>
      <c r="C46" s="173"/>
      <c r="E46" s="56" t="s">
        <v>121</v>
      </c>
      <c r="F46" s="172" t="s">
        <v>226</v>
      </c>
      <c r="G46" s="173"/>
    </row>
    <row r="47" spans="1:7" x14ac:dyDescent="0.2">
      <c r="A47" s="56" t="s">
        <v>122</v>
      </c>
      <c r="B47" s="14" t="s">
        <v>227</v>
      </c>
      <c r="C47" s="173"/>
      <c r="E47" s="56" t="s">
        <v>122</v>
      </c>
      <c r="F47" s="14" t="s">
        <v>227</v>
      </c>
      <c r="G47" s="173"/>
    </row>
    <row r="48" spans="1:7" x14ac:dyDescent="0.2">
      <c r="A48" s="56" t="s">
        <v>123</v>
      </c>
      <c r="B48" s="172" t="s">
        <v>228</v>
      </c>
      <c r="C48" s="173"/>
      <c r="E48" s="56" t="s">
        <v>123</v>
      </c>
      <c r="F48" s="172" t="s">
        <v>228</v>
      </c>
      <c r="G48" s="173"/>
    </row>
    <row r="49" spans="1:7" x14ac:dyDescent="0.2">
      <c r="A49" s="56" t="s">
        <v>229</v>
      </c>
      <c r="B49" s="172" t="s">
        <v>230</v>
      </c>
      <c r="C49" s="173"/>
      <c r="E49" s="56" t="s">
        <v>229</v>
      </c>
      <c r="F49" s="172" t="s">
        <v>230</v>
      </c>
      <c r="G49" s="173"/>
    </row>
    <row r="50" spans="1:7" x14ac:dyDescent="0.2">
      <c r="A50" s="56" t="s">
        <v>231</v>
      </c>
      <c r="B50" s="174" t="s">
        <v>232</v>
      </c>
      <c r="C50" s="173"/>
      <c r="E50" s="56" t="s">
        <v>231</v>
      </c>
      <c r="F50" s="174" t="s">
        <v>232</v>
      </c>
      <c r="G50" s="173"/>
    </row>
    <row r="51" spans="1:7" x14ac:dyDescent="0.2">
      <c r="A51" s="56" t="s">
        <v>233</v>
      </c>
      <c r="B51" s="174" t="s">
        <v>234</v>
      </c>
      <c r="C51" s="173"/>
      <c r="E51" s="56" t="s">
        <v>233</v>
      </c>
      <c r="F51" s="174" t="s">
        <v>234</v>
      </c>
      <c r="G51" s="173"/>
    </row>
    <row r="52" spans="1:7" x14ac:dyDescent="0.2">
      <c r="A52" s="56" t="s">
        <v>235</v>
      </c>
      <c r="B52" s="174" t="s">
        <v>246</v>
      </c>
      <c r="C52" s="173"/>
      <c r="E52" s="56" t="s">
        <v>235</v>
      </c>
      <c r="F52" s="174" t="s">
        <v>246</v>
      </c>
      <c r="G52" s="173"/>
    </row>
    <row r="53" spans="1:7" x14ac:dyDescent="0.2">
      <c r="A53" s="56" t="s">
        <v>236</v>
      </c>
      <c r="B53" s="14" t="s">
        <v>248</v>
      </c>
      <c r="C53" s="173">
        <v>195</v>
      </c>
      <c r="E53" s="56" t="s">
        <v>236</v>
      </c>
      <c r="F53" s="14" t="s">
        <v>248</v>
      </c>
      <c r="G53" s="173">
        <f>+G44+G52</f>
        <v>39</v>
      </c>
    </row>
    <row r="54" spans="1:7" x14ac:dyDescent="0.2">
      <c r="A54" s="56" t="s">
        <v>238</v>
      </c>
      <c r="B54" s="14" t="s">
        <v>237</v>
      </c>
      <c r="C54" s="173"/>
      <c r="E54" s="56" t="s">
        <v>238</v>
      </c>
      <c r="F54" s="14" t="s">
        <v>237</v>
      </c>
      <c r="G54" s="173"/>
    </row>
    <row r="55" spans="1:7" x14ac:dyDescent="0.2">
      <c r="A55" s="56" t="s">
        <v>239</v>
      </c>
      <c r="B55" s="14" t="s">
        <v>247</v>
      </c>
      <c r="C55" s="178"/>
      <c r="E55" s="56" t="s">
        <v>239</v>
      </c>
      <c r="F55" s="14" t="s">
        <v>247</v>
      </c>
      <c r="G55" s="175"/>
    </row>
    <row r="56" spans="1:7" x14ac:dyDescent="0.2">
      <c r="A56" s="56" t="s">
        <v>241</v>
      </c>
      <c r="B56" s="14" t="s">
        <v>240</v>
      </c>
      <c r="C56" s="175"/>
      <c r="E56" s="56" t="s">
        <v>241</v>
      </c>
      <c r="F56" s="14" t="s">
        <v>240</v>
      </c>
      <c r="G56" s="175"/>
    </row>
    <row r="57" spans="1:7" ht="13.5" thickBot="1" x14ac:dyDescent="0.25">
      <c r="A57" s="56" t="s">
        <v>245</v>
      </c>
      <c r="B57" s="176" t="s">
        <v>242</v>
      </c>
      <c r="C57" s="177"/>
      <c r="E57" s="56" t="s">
        <v>245</v>
      </c>
      <c r="F57" s="176" t="s">
        <v>242</v>
      </c>
      <c r="G57" s="177"/>
    </row>
  </sheetData>
  <phoneticPr fontId="1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zoomScale="75" zoomScaleNormal="75" zoomScaleSheetLayoutView="75" workbookViewId="0">
      <selection activeCell="K17" sqref="K17"/>
    </sheetView>
  </sheetViews>
  <sheetFormatPr defaultRowHeight="12.75" x14ac:dyDescent="0.2"/>
  <cols>
    <col min="1" max="1" width="5.5703125" bestFit="1" customWidth="1"/>
    <col min="3" max="3" width="74.42578125" customWidth="1"/>
    <col min="4" max="4" width="13.42578125" bestFit="1" customWidth="1"/>
    <col min="5" max="6" width="12.5703125" bestFit="1" customWidth="1"/>
    <col min="7" max="7" width="12.5703125" customWidth="1"/>
    <col min="8" max="9" width="12.5703125" bestFit="1" customWidth="1"/>
    <col min="10" max="10" width="12.5703125" customWidth="1"/>
    <col min="11" max="12" width="12.5703125" bestFit="1" customWidth="1"/>
    <col min="14" max="14" width="15.140625" bestFit="1" customWidth="1"/>
    <col min="15" max="15" width="13.85546875" bestFit="1" customWidth="1"/>
  </cols>
  <sheetData>
    <row r="1" spans="1:15" ht="18.75" x14ac:dyDescent="0.3">
      <c r="A1" s="446" t="s">
        <v>367</v>
      </c>
      <c r="B1" s="447"/>
      <c r="C1" s="447"/>
      <c r="D1" s="447"/>
      <c r="E1" s="447"/>
      <c r="F1" s="447"/>
      <c r="G1" s="118"/>
      <c r="J1" s="118"/>
    </row>
    <row r="2" spans="1:15" ht="15.75" x14ac:dyDescent="0.2">
      <c r="A2" s="449"/>
      <c r="B2" s="449"/>
      <c r="C2" s="449"/>
      <c r="D2" s="449"/>
      <c r="E2" s="449"/>
      <c r="F2" s="449"/>
      <c r="G2" s="119"/>
      <c r="J2" s="119"/>
    </row>
    <row r="3" spans="1:15" ht="18.75" x14ac:dyDescent="0.3">
      <c r="A3" s="446" t="s">
        <v>185</v>
      </c>
      <c r="B3" s="446"/>
      <c r="C3" s="446"/>
      <c r="D3" s="446"/>
      <c r="E3" s="446"/>
      <c r="F3" s="446"/>
      <c r="G3" s="117"/>
      <c r="J3" s="117"/>
    </row>
    <row r="4" spans="1:15" ht="15.75" x14ac:dyDescent="0.2">
      <c r="A4" s="449" t="s">
        <v>1</v>
      </c>
      <c r="B4" s="449"/>
      <c r="C4" s="449"/>
      <c r="D4" s="449"/>
      <c r="E4" s="449"/>
      <c r="F4" s="449"/>
      <c r="G4" s="119"/>
      <c r="J4" s="119"/>
    </row>
    <row r="5" spans="1:15" ht="16.5" thickBot="1" x14ac:dyDescent="0.3">
      <c r="A5" s="636" t="s">
        <v>188</v>
      </c>
      <c r="B5" s="636"/>
      <c r="C5" s="636"/>
      <c r="D5" s="636"/>
      <c r="E5" s="636"/>
      <c r="F5" s="636"/>
      <c r="G5" s="54"/>
      <c r="J5" s="54"/>
    </row>
    <row r="6" spans="1:15" ht="15" customHeight="1" x14ac:dyDescent="0.2">
      <c r="A6" s="453" t="s">
        <v>3</v>
      </c>
      <c r="B6" s="456" t="s">
        <v>4</v>
      </c>
      <c r="C6" s="630"/>
      <c r="D6" s="466" t="s">
        <v>362</v>
      </c>
      <c r="E6" s="451" t="s">
        <v>196</v>
      </c>
      <c r="F6" s="490" t="s">
        <v>197</v>
      </c>
      <c r="G6" s="466" t="s">
        <v>363</v>
      </c>
      <c r="H6" s="451" t="s">
        <v>364</v>
      </c>
      <c r="I6" s="490" t="s">
        <v>365</v>
      </c>
      <c r="J6" s="657" t="s">
        <v>205</v>
      </c>
      <c r="K6" s="658" t="s">
        <v>206</v>
      </c>
      <c r="L6" s="651" t="s">
        <v>207</v>
      </c>
    </row>
    <row r="7" spans="1:15" ht="48" customHeight="1" thickBot="1" x14ac:dyDescent="0.25">
      <c r="A7" s="454"/>
      <c r="B7" s="458"/>
      <c r="C7" s="631"/>
      <c r="D7" s="633"/>
      <c r="E7" s="634"/>
      <c r="F7" s="635"/>
      <c r="G7" s="633"/>
      <c r="H7" s="634"/>
      <c r="I7" s="635"/>
      <c r="J7" s="493"/>
      <c r="K7" s="659"/>
      <c r="L7" s="652"/>
    </row>
    <row r="8" spans="1:15" ht="17.25" customHeight="1" thickBot="1" x14ac:dyDescent="0.25">
      <c r="A8" s="629"/>
      <c r="B8" s="632"/>
      <c r="C8" s="632"/>
      <c r="D8" s="653" t="s">
        <v>366</v>
      </c>
      <c r="E8" s="654"/>
      <c r="F8" s="654"/>
      <c r="G8" s="654"/>
      <c r="H8" s="655"/>
      <c r="I8" s="656"/>
    </row>
    <row r="9" spans="1:15" ht="15" customHeight="1" thickBot="1" x14ac:dyDescent="0.25">
      <c r="A9" s="319"/>
      <c r="B9" s="456" t="s">
        <v>5</v>
      </c>
      <c r="C9" s="456"/>
      <c r="D9" s="146"/>
      <c r="E9" s="322"/>
      <c r="F9" s="323"/>
      <c r="G9" s="323"/>
      <c r="H9" s="323"/>
      <c r="I9" s="324"/>
      <c r="J9" s="108"/>
      <c r="K9" s="108"/>
      <c r="L9" s="3"/>
    </row>
    <row r="10" spans="1:15" ht="15" customHeight="1" x14ac:dyDescent="0.25">
      <c r="A10" s="4">
        <v>1</v>
      </c>
      <c r="B10" s="442" t="s">
        <v>6</v>
      </c>
      <c r="C10" s="637"/>
      <c r="D10" s="144">
        <f>+E10+F10</f>
        <v>38815</v>
      </c>
      <c r="E10" s="325">
        <f>38815-452</f>
        <v>38363</v>
      </c>
      <c r="F10" s="129">
        <v>452</v>
      </c>
      <c r="G10" s="147">
        <f>+H10+I10</f>
        <v>39909</v>
      </c>
      <c r="H10" s="326">
        <v>39909</v>
      </c>
      <c r="I10" s="129"/>
      <c r="J10" s="6">
        <v>39729</v>
      </c>
      <c r="K10" s="11">
        <v>39729</v>
      </c>
      <c r="L10" s="57"/>
      <c r="N10" s="104"/>
      <c r="O10" s="104"/>
    </row>
    <row r="11" spans="1:15" ht="15" customHeight="1" x14ac:dyDescent="0.25">
      <c r="A11" s="4">
        <v>2</v>
      </c>
      <c r="B11" s="442" t="s">
        <v>7</v>
      </c>
      <c r="C11" s="637"/>
      <c r="D11" s="121">
        <f>+E11+F11</f>
        <v>10549</v>
      </c>
      <c r="E11" s="11">
        <f>10554-150</f>
        <v>10404</v>
      </c>
      <c r="F11" s="57">
        <v>145</v>
      </c>
      <c r="G11" s="148">
        <f>+H11+I11</f>
        <v>10896</v>
      </c>
      <c r="H11" s="5">
        <v>10896</v>
      </c>
      <c r="I11" s="57"/>
      <c r="J11" s="6">
        <v>10890</v>
      </c>
      <c r="K11" s="11">
        <v>10890</v>
      </c>
      <c r="L11" s="57"/>
      <c r="N11" s="104"/>
      <c r="O11" s="115"/>
    </row>
    <row r="12" spans="1:15" ht="15" customHeight="1" x14ac:dyDescent="0.25">
      <c r="A12" s="4">
        <v>3</v>
      </c>
      <c r="B12" s="442" t="s">
        <v>8</v>
      </c>
      <c r="C12" s="637"/>
      <c r="D12" s="121">
        <f>+E12+F12</f>
        <v>9966</v>
      </c>
      <c r="E12" s="11">
        <f>9453-4591+372+244</f>
        <v>5478</v>
      </c>
      <c r="F12" s="57">
        <f>5488-1000</f>
        <v>4488</v>
      </c>
      <c r="G12" s="148">
        <f>+H12+I12</f>
        <v>10212</v>
      </c>
      <c r="H12" s="5">
        <v>10212</v>
      </c>
      <c r="I12" s="57"/>
      <c r="J12" s="6">
        <v>9752</v>
      </c>
      <c r="K12" s="11">
        <v>9752</v>
      </c>
      <c r="L12" s="57"/>
      <c r="N12" s="104"/>
    </row>
    <row r="13" spans="1:15" ht="15" customHeight="1" x14ac:dyDescent="0.25">
      <c r="A13" s="4" t="s">
        <v>9</v>
      </c>
      <c r="B13" s="442" t="s">
        <v>10</v>
      </c>
      <c r="C13" s="637"/>
      <c r="D13" s="121"/>
      <c r="E13" s="11"/>
      <c r="F13" s="57"/>
      <c r="G13" s="148"/>
      <c r="H13" s="5"/>
      <c r="I13" s="57"/>
      <c r="J13" s="6">
        <f t="shared" ref="J13:J28" si="0">+K13+L13</f>
        <v>0</v>
      </c>
      <c r="K13" s="11"/>
      <c r="L13" s="57"/>
    </row>
    <row r="14" spans="1:15" ht="15" customHeight="1" x14ac:dyDescent="0.25">
      <c r="A14" s="4" t="s">
        <v>11</v>
      </c>
      <c r="B14" s="476" t="s">
        <v>12</v>
      </c>
      <c r="C14" s="638"/>
      <c r="D14" s="121">
        <f>+D15+D16+D17+D18+D19</f>
        <v>1935</v>
      </c>
      <c r="E14" s="11"/>
      <c r="F14" s="99"/>
      <c r="G14" s="121">
        <v>1939</v>
      </c>
      <c r="H14" s="5">
        <v>1939</v>
      </c>
      <c r="I14" s="99"/>
      <c r="J14" s="6">
        <v>1938</v>
      </c>
      <c r="K14" s="11">
        <v>1938</v>
      </c>
      <c r="L14" s="99"/>
      <c r="N14" s="115"/>
    </row>
    <row r="15" spans="1:15" ht="15" customHeight="1" x14ac:dyDescent="0.25">
      <c r="A15" s="4" t="s">
        <v>13</v>
      </c>
      <c r="B15" s="478" t="s">
        <v>14</v>
      </c>
      <c r="C15" s="639"/>
      <c r="D15" s="121"/>
      <c r="E15" s="11"/>
      <c r="F15" s="57"/>
      <c r="G15" s="148"/>
      <c r="H15" s="5"/>
      <c r="I15" s="57"/>
      <c r="J15" s="6">
        <f t="shared" si="0"/>
        <v>0</v>
      </c>
      <c r="K15" s="11"/>
      <c r="L15" s="57"/>
    </row>
    <row r="16" spans="1:15" ht="15" customHeight="1" x14ac:dyDescent="0.25">
      <c r="A16" s="4" t="s">
        <v>15</v>
      </c>
      <c r="B16" s="478" t="s">
        <v>16</v>
      </c>
      <c r="C16" s="639"/>
      <c r="D16" s="121">
        <v>1935</v>
      </c>
      <c r="E16" s="11"/>
      <c r="F16" s="57">
        <v>1935</v>
      </c>
      <c r="G16" s="148">
        <v>1939</v>
      </c>
      <c r="H16" s="5">
        <v>1939</v>
      </c>
      <c r="I16" s="57"/>
      <c r="J16" s="6">
        <v>1938</v>
      </c>
      <c r="K16" s="11">
        <v>1938</v>
      </c>
      <c r="L16" s="57"/>
    </row>
    <row r="17" spans="1:12" ht="15" customHeight="1" x14ac:dyDescent="0.25">
      <c r="A17" s="4"/>
      <c r="B17" s="640" t="s">
        <v>120</v>
      </c>
      <c r="C17" s="480"/>
      <c r="D17" s="121"/>
      <c r="E17" s="11"/>
      <c r="F17" s="57"/>
      <c r="G17" s="148"/>
      <c r="H17" s="5"/>
      <c r="I17" s="57"/>
      <c r="J17" s="6">
        <f t="shared" si="0"/>
        <v>0</v>
      </c>
      <c r="K17" s="11"/>
      <c r="L17" s="57"/>
    </row>
    <row r="18" spans="1:12" ht="15" customHeight="1" x14ac:dyDescent="0.25">
      <c r="A18" s="4" t="s">
        <v>17</v>
      </c>
      <c r="B18" s="482" t="s">
        <v>18</v>
      </c>
      <c r="C18" s="641"/>
      <c r="D18" s="121"/>
      <c r="E18" s="11"/>
      <c r="F18" s="57"/>
      <c r="G18" s="148"/>
      <c r="H18" s="5"/>
      <c r="I18" s="57"/>
      <c r="J18" s="6">
        <f t="shared" si="0"/>
        <v>0</v>
      </c>
      <c r="K18" s="11"/>
      <c r="L18" s="57"/>
    </row>
    <row r="19" spans="1:12" ht="15" customHeight="1" x14ac:dyDescent="0.25">
      <c r="A19" s="4" t="s">
        <v>19</v>
      </c>
      <c r="B19" s="482" t="s">
        <v>20</v>
      </c>
      <c r="C19" s="642"/>
      <c r="D19" s="121"/>
      <c r="E19" s="11"/>
      <c r="F19" s="57"/>
      <c r="G19" s="148"/>
      <c r="H19" s="5"/>
      <c r="I19" s="57"/>
      <c r="J19" s="6">
        <f t="shared" si="0"/>
        <v>0</v>
      </c>
      <c r="K19" s="11"/>
      <c r="L19" s="57"/>
    </row>
    <row r="20" spans="1:12" ht="15" customHeight="1" x14ac:dyDescent="0.25">
      <c r="A20" s="4"/>
      <c r="B20" s="442" t="s">
        <v>21</v>
      </c>
      <c r="C20" s="637"/>
      <c r="D20" s="122"/>
      <c r="E20" s="12"/>
      <c r="F20" s="57"/>
      <c r="G20" s="327"/>
      <c r="H20" s="15"/>
      <c r="I20" s="328"/>
      <c r="J20" s="6">
        <f t="shared" si="0"/>
        <v>0</v>
      </c>
      <c r="K20" s="12"/>
      <c r="L20" s="57"/>
    </row>
    <row r="21" spans="1:12" ht="15" customHeight="1" x14ac:dyDescent="0.25">
      <c r="A21" s="4" t="s">
        <v>22</v>
      </c>
      <c r="B21" s="320" t="s">
        <v>23</v>
      </c>
      <c r="C21" s="120"/>
      <c r="D21" s="121">
        <f>+D10+D11+D12+D13+D14+D20</f>
        <v>61265</v>
      </c>
      <c r="E21" s="11">
        <f>+E10+E11+E12+E13+E14+E20</f>
        <v>54245</v>
      </c>
      <c r="F21" s="99">
        <f>+F10+F11+F12+F13+F14+F20+F16</f>
        <v>7020</v>
      </c>
      <c r="G21" s="329">
        <f>+H21+I21</f>
        <v>62956</v>
      </c>
      <c r="H21" s="10">
        <f>+H10+H11+H12+H13+H14+H20</f>
        <v>62956</v>
      </c>
      <c r="I21" s="99">
        <f>+I10+I11+I12+I13+I14+I20</f>
        <v>0</v>
      </c>
      <c r="J21" s="6">
        <f t="shared" si="0"/>
        <v>62309</v>
      </c>
      <c r="K21" s="11">
        <f>+K10+K11+K12+K13+K14+K20</f>
        <v>62309</v>
      </c>
      <c r="L21" s="99">
        <f>+L10+L11+L12+L13+L14+L20</f>
        <v>0</v>
      </c>
    </row>
    <row r="22" spans="1:12" ht="15" customHeight="1" x14ac:dyDescent="0.25">
      <c r="A22" s="4" t="s">
        <v>24</v>
      </c>
      <c r="B22" s="442" t="s">
        <v>25</v>
      </c>
      <c r="C22" s="637"/>
      <c r="D22" s="122">
        <f>+E22+F22</f>
        <v>300</v>
      </c>
      <c r="E22" s="12"/>
      <c r="F22" s="57">
        <v>300</v>
      </c>
      <c r="G22" s="330">
        <v>962</v>
      </c>
      <c r="H22" s="15">
        <v>962</v>
      </c>
      <c r="I22" s="331"/>
      <c r="J22" s="6">
        <v>943</v>
      </c>
      <c r="K22" s="12">
        <v>943</v>
      </c>
      <c r="L22" s="57"/>
    </row>
    <row r="23" spans="1:12" ht="15" customHeight="1" x14ac:dyDescent="0.25">
      <c r="A23" s="4" t="s">
        <v>26</v>
      </c>
      <c r="B23" s="442" t="s">
        <v>27</v>
      </c>
      <c r="C23" s="637"/>
      <c r="D23" s="122"/>
      <c r="E23" s="12"/>
      <c r="F23" s="57"/>
      <c r="G23" s="148"/>
      <c r="H23" s="15"/>
      <c r="I23" s="57"/>
      <c r="J23" s="6">
        <f t="shared" si="0"/>
        <v>0</v>
      </c>
      <c r="K23" s="12"/>
      <c r="L23" s="57"/>
    </row>
    <row r="24" spans="1:12" ht="15" customHeight="1" x14ac:dyDescent="0.25">
      <c r="A24" s="4" t="s">
        <v>28</v>
      </c>
      <c r="B24" s="442" t="s">
        <v>29</v>
      </c>
      <c r="C24" s="637"/>
      <c r="D24" s="122"/>
      <c r="E24" s="12"/>
      <c r="F24" s="57"/>
      <c r="G24" s="148"/>
      <c r="H24" s="15"/>
      <c r="I24" s="57"/>
      <c r="J24" s="6">
        <f t="shared" si="0"/>
        <v>0</v>
      </c>
      <c r="K24" s="12"/>
      <c r="L24" s="57"/>
    </row>
    <row r="25" spans="1:12" ht="15" customHeight="1" x14ac:dyDescent="0.25">
      <c r="A25" s="4" t="s">
        <v>30</v>
      </c>
      <c r="B25" s="442" t="s">
        <v>31</v>
      </c>
      <c r="C25" s="637"/>
      <c r="D25" s="122">
        <f>+D22+D23+D24</f>
        <v>300</v>
      </c>
      <c r="E25" s="12"/>
      <c r="F25" s="57">
        <f>SUM(F22:F24)</f>
        <v>300</v>
      </c>
      <c r="G25" s="148">
        <f>+I25+H25</f>
        <v>962</v>
      </c>
      <c r="H25" s="15">
        <v>962</v>
      </c>
      <c r="I25" s="57">
        <f>SUM(I22:I24)</f>
        <v>0</v>
      </c>
      <c r="J25" s="6">
        <v>943</v>
      </c>
      <c r="K25" s="12">
        <v>943</v>
      </c>
      <c r="L25" s="57"/>
    </row>
    <row r="26" spans="1:12" ht="15" customHeight="1" x14ac:dyDescent="0.25">
      <c r="A26" s="4" t="s">
        <v>32</v>
      </c>
      <c r="B26" s="442"/>
      <c r="C26" s="637"/>
      <c r="D26" s="122"/>
      <c r="E26" s="12"/>
      <c r="F26" s="57"/>
      <c r="G26" s="148"/>
      <c r="H26" s="15"/>
      <c r="I26" s="57"/>
      <c r="J26" s="6">
        <f t="shared" si="0"/>
        <v>0</v>
      </c>
      <c r="K26" s="12"/>
      <c r="L26" s="57"/>
    </row>
    <row r="27" spans="1:12" ht="15" customHeight="1" x14ac:dyDescent="0.25">
      <c r="A27" s="4" t="s">
        <v>33</v>
      </c>
      <c r="B27" s="424"/>
      <c r="C27" s="643"/>
      <c r="D27" s="123"/>
      <c r="E27" s="16"/>
      <c r="F27" s="57">
        <f>+D27+E27</f>
        <v>0</v>
      </c>
      <c r="G27" s="148"/>
      <c r="H27" s="17"/>
      <c r="I27" s="57">
        <f>+F27+H27</f>
        <v>0</v>
      </c>
      <c r="J27" s="6">
        <f t="shared" si="0"/>
        <v>0</v>
      </c>
      <c r="K27" s="16"/>
      <c r="L27" s="57">
        <f>+H27+K27</f>
        <v>0</v>
      </c>
    </row>
    <row r="28" spans="1:12" ht="15" customHeight="1" x14ac:dyDescent="0.25">
      <c r="A28" s="4" t="s">
        <v>34</v>
      </c>
      <c r="B28" s="424"/>
      <c r="C28" s="643"/>
      <c r="D28" s="123"/>
      <c r="E28" s="107"/>
      <c r="F28" s="57">
        <f>+D28+E28</f>
        <v>0</v>
      </c>
      <c r="G28" s="148"/>
      <c r="H28" s="18"/>
      <c r="I28" s="57">
        <f>+F28+H28</f>
        <v>0</v>
      </c>
      <c r="J28" s="6">
        <f t="shared" si="0"/>
        <v>0</v>
      </c>
      <c r="K28" s="107"/>
      <c r="L28" s="57">
        <f>+H28+K28</f>
        <v>0</v>
      </c>
    </row>
    <row r="29" spans="1:12" ht="15" customHeight="1" x14ac:dyDescent="0.3">
      <c r="A29" s="19" t="s">
        <v>35</v>
      </c>
      <c r="B29" s="486" t="s">
        <v>36</v>
      </c>
      <c r="C29" s="644"/>
      <c r="D29" s="138">
        <f t="shared" ref="D29:I29" si="1">+D21+D25+D26+D27+D28</f>
        <v>61565</v>
      </c>
      <c r="E29" s="20">
        <f t="shared" si="1"/>
        <v>54245</v>
      </c>
      <c r="F29" s="22">
        <f t="shared" si="1"/>
        <v>7320</v>
      </c>
      <c r="G29" s="138">
        <f t="shared" si="1"/>
        <v>63918</v>
      </c>
      <c r="H29" s="153">
        <f t="shared" si="1"/>
        <v>63918</v>
      </c>
      <c r="I29" s="22">
        <f t="shared" si="1"/>
        <v>0</v>
      </c>
      <c r="J29" s="41">
        <f>+J10+J11+J12+J14+J25</f>
        <v>63252</v>
      </c>
      <c r="K29" s="20">
        <f>+K21+K25+K26+K27+K28</f>
        <v>63252</v>
      </c>
      <c r="L29" s="22">
        <f>+L21+L25+L26+L27+L28</f>
        <v>0</v>
      </c>
    </row>
    <row r="30" spans="1:12" ht="15" customHeight="1" x14ac:dyDescent="0.25">
      <c r="A30" s="23"/>
      <c r="B30" s="428"/>
      <c r="C30" s="645"/>
      <c r="D30" s="157"/>
      <c r="E30" s="26"/>
      <c r="F30" s="24"/>
      <c r="G30" s="157"/>
      <c r="H30" s="25"/>
      <c r="I30" s="24"/>
      <c r="J30" s="26"/>
      <c r="K30" s="26"/>
      <c r="L30" s="24"/>
    </row>
    <row r="31" spans="1:12" ht="15" customHeight="1" x14ac:dyDescent="0.25">
      <c r="A31" s="4"/>
      <c r="B31" s="646" t="s">
        <v>37</v>
      </c>
      <c r="C31" s="647"/>
      <c r="D31" s="122"/>
      <c r="E31" s="12"/>
      <c r="F31" s="57"/>
      <c r="G31" s="148"/>
      <c r="H31" s="15"/>
      <c r="I31" s="57"/>
      <c r="J31" s="6"/>
      <c r="K31" s="12"/>
      <c r="L31" s="57"/>
    </row>
    <row r="32" spans="1:12" ht="15" customHeight="1" x14ac:dyDescent="0.25">
      <c r="A32" s="4" t="s">
        <v>38</v>
      </c>
      <c r="B32" s="434" t="s">
        <v>39</v>
      </c>
      <c r="C32" s="440"/>
      <c r="D32" s="122">
        <f>+E32+F32</f>
        <v>335</v>
      </c>
      <c r="E32" s="12"/>
      <c r="F32" s="57">
        <v>335</v>
      </c>
      <c r="G32" s="122">
        <f>+H32+I32</f>
        <v>337</v>
      </c>
      <c r="H32" s="15">
        <v>337</v>
      </c>
      <c r="I32" s="57"/>
      <c r="J32" s="6">
        <f t="shared" ref="J32:J81" si="2">+K32+L32</f>
        <v>179</v>
      </c>
      <c r="K32" s="12">
        <v>179</v>
      </c>
      <c r="L32" s="57"/>
    </row>
    <row r="33" spans="1:12" ht="15" customHeight="1" x14ac:dyDescent="0.25">
      <c r="A33" s="4" t="s">
        <v>40</v>
      </c>
      <c r="B33" s="434" t="s">
        <v>41</v>
      </c>
      <c r="C33" s="440"/>
      <c r="D33" s="122">
        <f t="shared" ref="D33:I33" si="3">SUM(D34:D36)</f>
        <v>0</v>
      </c>
      <c r="E33" s="12">
        <f t="shared" si="3"/>
        <v>0</v>
      </c>
      <c r="F33" s="100">
        <f t="shared" si="3"/>
        <v>0</v>
      </c>
      <c r="G33" s="122">
        <f t="shared" si="3"/>
        <v>0</v>
      </c>
      <c r="H33" s="15">
        <f t="shared" si="3"/>
        <v>0</v>
      </c>
      <c r="I33" s="332">
        <f t="shared" si="3"/>
        <v>0</v>
      </c>
      <c r="J33" s="6">
        <f t="shared" si="2"/>
        <v>0</v>
      </c>
      <c r="K33" s="12">
        <f>SUM(K34:K36)</f>
        <v>0</v>
      </c>
      <c r="L33" s="100">
        <f>SUM(L34:L36)</f>
        <v>0</v>
      </c>
    </row>
    <row r="34" spans="1:12" ht="15" customHeight="1" x14ac:dyDescent="0.25">
      <c r="A34" s="4"/>
      <c r="B34" s="28" t="s">
        <v>42</v>
      </c>
      <c r="C34" s="126" t="s">
        <v>43</v>
      </c>
      <c r="D34" s="122"/>
      <c r="E34" s="12"/>
      <c r="F34" s="57"/>
      <c r="G34" s="122"/>
      <c r="H34" s="15"/>
      <c r="I34" s="57"/>
      <c r="J34" s="6">
        <f t="shared" si="2"/>
        <v>0</v>
      </c>
      <c r="K34" s="12"/>
      <c r="L34" s="57"/>
    </row>
    <row r="35" spans="1:12" ht="15" customHeight="1" x14ac:dyDescent="0.25">
      <c r="A35" s="4"/>
      <c r="B35" s="28" t="s">
        <v>44</v>
      </c>
      <c r="C35" s="126" t="s">
        <v>45</v>
      </c>
      <c r="D35" s="122"/>
      <c r="E35" s="12"/>
      <c r="F35" s="57"/>
      <c r="G35" s="122"/>
      <c r="H35" s="15"/>
      <c r="I35" s="57"/>
      <c r="J35" s="6">
        <f t="shared" si="2"/>
        <v>0</v>
      </c>
      <c r="K35" s="12"/>
      <c r="L35" s="57"/>
    </row>
    <row r="36" spans="1:12" ht="15" customHeight="1" x14ac:dyDescent="0.25">
      <c r="A36" s="4"/>
      <c r="B36" s="28" t="s">
        <v>46</v>
      </c>
      <c r="C36" s="126" t="s">
        <v>47</v>
      </c>
      <c r="D36" s="122"/>
      <c r="E36" s="12"/>
      <c r="F36" s="57"/>
      <c r="G36" s="122"/>
      <c r="H36" s="15"/>
      <c r="I36" s="57"/>
      <c r="J36" s="6">
        <f t="shared" si="2"/>
        <v>0</v>
      </c>
      <c r="K36" s="12"/>
      <c r="L36" s="57"/>
    </row>
    <row r="37" spans="1:12" ht="15" customHeight="1" x14ac:dyDescent="0.25">
      <c r="A37" s="4" t="s">
        <v>48</v>
      </c>
      <c r="B37" s="434" t="s">
        <v>49</v>
      </c>
      <c r="C37" s="440"/>
      <c r="D37" s="122">
        <f>SUM(D38:D40)</f>
        <v>0</v>
      </c>
      <c r="E37" s="12"/>
      <c r="F37" s="57">
        <f>SUM(F38:F40)</f>
        <v>0</v>
      </c>
      <c r="G37" s="122">
        <f>SUM(G38:G40)</f>
        <v>0</v>
      </c>
      <c r="H37" s="15"/>
      <c r="I37" s="57">
        <f>SUM(I38:I40)</f>
        <v>0</v>
      </c>
      <c r="J37" s="6">
        <f t="shared" si="2"/>
        <v>0</v>
      </c>
      <c r="K37" s="12"/>
      <c r="L37" s="57">
        <f>SUM(L38:L40)</f>
        <v>0</v>
      </c>
    </row>
    <row r="38" spans="1:12" ht="15" customHeight="1" x14ac:dyDescent="0.25">
      <c r="A38" s="4"/>
      <c r="B38" s="30" t="s">
        <v>50</v>
      </c>
      <c r="C38" s="321" t="s">
        <v>51</v>
      </c>
      <c r="D38" s="122"/>
      <c r="E38" s="12"/>
      <c r="F38" s="57"/>
      <c r="G38" s="122"/>
      <c r="H38" s="15"/>
      <c r="I38" s="57"/>
      <c r="J38" s="6">
        <f t="shared" si="2"/>
        <v>0</v>
      </c>
      <c r="K38" s="12"/>
      <c r="L38" s="57"/>
    </row>
    <row r="39" spans="1:12" ht="15" customHeight="1" x14ac:dyDescent="0.25">
      <c r="A39" s="4"/>
      <c r="B39" s="30" t="s">
        <v>52</v>
      </c>
      <c r="C39" s="321" t="s">
        <v>53</v>
      </c>
      <c r="D39" s="122"/>
      <c r="E39" s="12"/>
      <c r="F39" s="57">
        <f t="shared" ref="F39:F45" si="4">SUM(D39:D39)</f>
        <v>0</v>
      </c>
      <c r="G39" s="122"/>
      <c r="H39" s="15"/>
      <c r="I39" s="57">
        <f>SUM(F39:F39)</f>
        <v>0</v>
      </c>
      <c r="J39" s="6">
        <f t="shared" si="2"/>
        <v>0</v>
      </c>
      <c r="K39" s="12"/>
      <c r="L39" s="57">
        <f>SUM(H39:H39)</f>
        <v>0</v>
      </c>
    </row>
    <row r="40" spans="1:12" ht="15" customHeight="1" x14ac:dyDescent="0.25">
      <c r="A40" s="4"/>
      <c r="B40" s="30" t="s">
        <v>54</v>
      </c>
      <c r="C40" s="321" t="s">
        <v>55</v>
      </c>
      <c r="D40" s="122"/>
      <c r="E40" s="12"/>
      <c r="F40" s="57"/>
      <c r="G40" s="122"/>
      <c r="H40" s="15"/>
      <c r="I40" s="57"/>
      <c r="J40" s="6">
        <f t="shared" si="2"/>
        <v>0</v>
      </c>
      <c r="K40" s="12"/>
      <c r="L40" s="57"/>
    </row>
    <row r="41" spans="1:12" ht="15" customHeight="1" x14ac:dyDescent="0.25">
      <c r="A41" s="4" t="s">
        <v>9</v>
      </c>
      <c r="B41" s="434" t="s">
        <v>56</v>
      </c>
      <c r="C41" s="440"/>
      <c r="D41" s="122">
        <f>+F41</f>
        <v>1935</v>
      </c>
      <c r="E41" s="12">
        <f>SUM(E42:E45)</f>
        <v>0</v>
      </c>
      <c r="F41" s="100">
        <f>SUM(F42:F45)</f>
        <v>1935</v>
      </c>
      <c r="G41" s="122">
        <v>1935</v>
      </c>
      <c r="H41" s="15">
        <f>SUM(H42:H45)</f>
        <v>1935</v>
      </c>
      <c r="I41" s="332">
        <f>SUM(I42:I45)</f>
        <v>0</v>
      </c>
      <c r="J41" s="6">
        <f t="shared" si="2"/>
        <v>1935</v>
      </c>
      <c r="K41" s="12">
        <f>SUM(K42:K45)</f>
        <v>1935</v>
      </c>
      <c r="L41" s="100"/>
    </row>
    <row r="42" spans="1:12" ht="15" customHeight="1" x14ac:dyDescent="0.25">
      <c r="A42" s="4"/>
      <c r="B42" s="30" t="s">
        <v>57</v>
      </c>
      <c r="C42" s="321" t="s">
        <v>58</v>
      </c>
      <c r="D42" s="122">
        <f>+F42</f>
        <v>1935</v>
      </c>
      <c r="E42" s="12"/>
      <c r="F42" s="57">
        <v>1935</v>
      </c>
      <c r="G42" s="122">
        <v>1935</v>
      </c>
      <c r="H42" s="15">
        <v>1935</v>
      </c>
      <c r="I42" s="57"/>
      <c r="J42" s="6">
        <f t="shared" si="2"/>
        <v>1935</v>
      </c>
      <c r="K42" s="12">
        <v>1935</v>
      </c>
      <c r="L42" s="57"/>
    </row>
    <row r="43" spans="1:12" ht="15" customHeight="1" x14ac:dyDescent="0.25">
      <c r="A43" s="4"/>
      <c r="B43" s="30" t="s">
        <v>59</v>
      </c>
      <c r="C43" s="321" t="s">
        <v>60</v>
      </c>
      <c r="D43" s="122"/>
      <c r="E43" s="12"/>
      <c r="F43" s="57">
        <f t="shared" si="4"/>
        <v>0</v>
      </c>
      <c r="G43" s="122"/>
      <c r="H43" s="15"/>
      <c r="I43" s="57">
        <f>SUM(F43:F43)</f>
        <v>0</v>
      </c>
      <c r="J43" s="6">
        <f t="shared" si="2"/>
        <v>0</v>
      </c>
      <c r="K43" s="12"/>
      <c r="L43" s="57">
        <f>SUM(H43:H43)</f>
        <v>0</v>
      </c>
    </row>
    <row r="44" spans="1:12" ht="15" customHeight="1" x14ac:dyDescent="0.25">
      <c r="A44" s="4"/>
      <c r="B44" s="30" t="s">
        <v>61</v>
      </c>
      <c r="C44" s="321" t="s">
        <v>62</v>
      </c>
      <c r="D44" s="122"/>
      <c r="E44" s="12"/>
      <c r="F44" s="57">
        <f t="shared" si="4"/>
        <v>0</v>
      </c>
      <c r="G44" s="122"/>
      <c r="H44" s="15"/>
      <c r="I44" s="57">
        <f>SUM(F44:F44)</f>
        <v>0</v>
      </c>
      <c r="J44" s="6">
        <f t="shared" si="2"/>
        <v>0</v>
      </c>
      <c r="K44" s="12"/>
      <c r="L44" s="57">
        <f>SUM(H44:H44)</f>
        <v>0</v>
      </c>
    </row>
    <row r="45" spans="1:12" ht="15" customHeight="1" x14ac:dyDescent="0.25">
      <c r="A45" s="4"/>
      <c r="B45" s="30" t="s">
        <v>63</v>
      </c>
      <c r="C45" s="321" t="s">
        <v>64</v>
      </c>
      <c r="D45" s="122"/>
      <c r="E45" s="12"/>
      <c r="F45" s="57">
        <f t="shared" si="4"/>
        <v>0</v>
      </c>
      <c r="G45" s="122"/>
      <c r="H45" s="15"/>
      <c r="I45" s="57">
        <f>SUM(F45:F45)</f>
        <v>0</v>
      </c>
      <c r="J45" s="6">
        <f t="shared" si="2"/>
        <v>0</v>
      </c>
      <c r="K45" s="12"/>
      <c r="L45" s="57">
        <f>SUM(H45:H45)</f>
        <v>0</v>
      </c>
    </row>
    <row r="46" spans="1:12" ht="15" customHeight="1" x14ac:dyDescent="0.25">
      <c r="A46" s="31" t="s">
        <v>22</v>
      </c>
      <c r="B46" s="436" t="s">
        <v>65</v>
      </c>
      <c r="C46" s="648"/>
      <c r="D46" s="122">
        <f t="shared" ref="D46:I46" si="5">+D32+D33+D37+D41</f>
        <v>2270</v>
      </c>
      <c r="E46" s="12">
        <f t="shared" si="5"/>
        <v>0</v>
      </c>
      <c r="F46" s="100">
        <f t="shared" si="5"/>
        <v>2270</v>
      </c>
      <c r="G46" s="122">
        <f t="shared" si="5"/>
        <v>2272</v>
      </c>
      <c r="H46" s="15">
        <f t="shared" si="5"/>
        <v>2272</v>
      </c>
      <c r="I46" s="100">
        <f t="shared" si="5"/>
        <v>0</v>
      </c>
      <c r="J46" s="6">
        <f t="shared" si="2"/>
        <v>2114</v>
      </c>
      <c r="K46" s="12">
        <f>+K32+K33+K37+K41</f>
        <v>2114</v>
      </c>
      <c r="L46" s="100">
        <f>+L32+L33+L37+L41</f>
        <v>0</v>
      </c>
    </row>
    <row r="47" spans="1:12" ht="15" customHeight="1" x14ac:dyDescent="0.25">
      <c r="A47" s="4" t="s">
        <v>11</v>
      </c>
      <c r="B47" s="434" t="s">
        <v>66</v>
      </c>
      <c r="C47" s="440"/>
      <c r="D47" s="122">
        <f t="shared" ref="D47:I47" si="6">SUM(D48:D49)</f>
        <v>0</v>
      </c>
      <c r="E47" s="12">
        <f t="shared" si="6"/>
        <v>0</v>
      </c>
      <c r="F47" s="100">
        <f t="shared" si="6"/>
        <v>0</v>
      </c>
      <c r="G47" s="122">
        <f t="shared" si="6"/>
        <v>0</v>
      </c>
      <c r="H47" s="15">
        <f t="shared" si="6"/>
        <v>0</v>
      </c>
      <c r="I47" s="332">
        <f t="shared" si="6"/>
        <v>0</v>
      </c>
      <c r="J47" s="6">
        <f t="shared" si="2"/>
        <v>0</v>
      </c>
      <c r="K47" s="12">
        <f>SUM(K48:K49)</f>
        <v>0</v>
      </c>
      <c r="L47" s="100">
        <f>SUM(L48:L49)</f>
        <v>0</v>
      </c>
    </row>
    <row r="48" spans="1:12" ht="15" customHeight="1" x14ac:dyDescent="0.25">
      <c r="A48" s="4"/>
      <c r="B48" s="30" t="s">
        <v>67</v>
      </c>
      <c r="C48" s="321" t="s">
        <v>68</v>
      </c>
      <c r="D48" s="122"/>
      <c r="E48" s="12"/>
      <c r="F48" s="57">
        <f t="shared" ref="F48:F56" si="7">SUM(D48:D48)</f>
        <v>0</v>
      </c>
      <c r="G48" s="122"/>
      <c r="H48" s="15"/>
      <c r="I48" s="57">
        <f>SUM(F48:F48)</f>
        <v>0</v>
      </c>
      <c r="J48" s="6">
        <f t="shared" si="2"/>
        <v>0</v>
      </c>
      <c r="K48" s="12"/>
      <c r="L48" s="57">
        <f>SUM(H48:H48)</f>
        <v>0</v>
      </c>
    </row>
    <row r="49" spans="1:12" ht="15" customHeight="1" x14ac:dyDescent="0.25">
      <c r="A49" s="4"/>
      <c r="B49" s="30" t="s">
        <v>69</v>
      </c>
      <c r="C49" s="321" t="s">
        <v>70</v>
      </c>
      <c r="D49" s="122"/>
      <c r="E49" s="12"/>
      <c r="F49" s="57"/>
      <c r="G49" s="122"/>
      <c r="H49" s="15"/>
      <c r="I49" s="57"/>
      <c r="J49" s="6">
        <f t="shared" si="2"/>
        <v>0</v>
      </c>
      <c r="K49" s="12"/>
      <c r="L49" s="57"/>
    </row>
    <row r="50" spans="1:12" ht="15" customHeight="1" x14ac:dyDescent="0.25">
      <c r="A50" s="4" t="s">
        <v>24</v>
      </c>
      <c r="B50" s="434" t="s">
        <v>71</v>
      </c>
      <c r="C50" s="440"/>
      <c r="D50" s="122">
        <f>SUM(D51:D52)</f>
        <v>0</v>
      </c>
      <c r="E50" s="12">
        <f>SUM(E51:E52)</f>
        <v>0</v>
      </c>
      <c r="F50" s="57">
        <f t="shared" si="7"/>
        <v>0</v>
      </c>
      <c r="G50" s="122">
        <f>SUM(G51:G52)</f>
        <v>0</v>
      </c>
      <c r="H50" s="15">
        <f>SUM(H51:H52)</f>
        <v>0</v>
      </c>
      <c r="I50" s="57">
        <f>SUM(F50:F50)</f>
        <v>0</v>
      </c>
      <c r="J50" s="6">
        <f t="shared" si="2"/>
        <v>0</v>
      </c>
      <c r="K50" s="12">
        <f>SUM(K51:K52)</f>
        <v>0</v>
      </c>
      <c r="L50" s="57">
        <f>SUM(H50:H50)</f>
        <v>0</v>
      </c>
    </row>
    <row r="51" spans="1:12" ht="15" customHeight="1" x14ac:dyDescent="0.25">
      <c r="A51" s="4"/>
      <c r="B51" s="30" t="s">
        <v>72</v>
      </c>
      <c r="C51" s="321" t="s">
        <v>73</v>
      </c>
      <c r="D51" s="122"/>
      <c r="E51" s="12"/>
      <c r="F51" s="57">
        <f t="shared" si="7"/>
        <v>0</v>
      </c>
      <c r="G51" s="122"/>
      <c r="H51" s="15"/>
      <c r="I51" s="57">
        <f>SUM(F51:F51)</f>
        <v>0</v>
      </c>
      <c r="J51" s="6">
        <f t="shared" si="2"/>
        <v>0</v>
      </c>
      <c r="K51" s="12"/>
      <c r="L51" s="57">
        <f>SUM(H51:H51)</f>
        <v>0</v>
      </c>
    </row>
    <row r="52" spans="1:12" ht="15" customHeight="1" x14ac:dyDescent="0.25">
      <c r="A52" s="4"/>
      <c r="B52" s="30" t="s">
        <v>74</v>
      </c>
      <c r="C52" s="321" t="s">
        <v>75</v>
      </c>
      <c r="D52" s="122">
        <v>0</v>
      </c>
      <c r="E52" s="12"/>
      <c r="F52" s="57">
        <f t="shared" si="7"/>
        <v>0</v>
      </c>
      <c r="G52" s="122">
        <v>0</v>
      </c>
      <c r="H52" s="15"/>
      <c r="I52" s="57">
        <f>SUM(F52:F52)</f>
        <v>0</v>
      </c>
      <c r="J52" s="6">
        <f t="shared" si="2"/>
        <v>0</v>
      </c>
      <c r="K52" s="12"/>
      <c r="L52" s="57">
        <f>SUM(H52:H52)</f>
        <v>0</v>
      </c>
    </row>
    <row r="53" spans="1:12" ht="15" customHeight="1" x14ac:dyDescent="0.25">
      <c r="A53" s="4" t="s">
        <v>26</v>
      </c>
      <c r="B53" s="434" t="s">
        <v>76</v>
      </c>
      <c r="C53" s="440"/>
      <c r="D53" s="122">
        <f t="shared" ref="D53:I53" si="8">SUM(D54:D56)</f>
        <v>0</v>
      </c>
      <c r="E53" s="12">
        <f t="shared" si="8"/>
        <v>0</v>
      </c>
      <c r="F53" s="57">
        <f t="shared" si="8"/>
        <v>0</v>
      </c>
      <c r="G53" s="122">
        <f t="shared" si="8"/>
        <v>0</v>
      </c>
      <c r="H53" s="15">
        <f t="shared" si="8"/>
        <v>0</v>
      </c>
      <c r="I53" s="57">
        <f t="shared" si="8"/>
        <v>0</v>
      </c>
      <c r="J53" s="6">
        <f t="shared" si="2"/>
        <v>0</v>
      </c>
      <c r="K53" s="12">
        <f>SUM(K54:K56)</f>
        <v>0</v>
      </c>
      <c r="L53" s="57">
        <f>SUM(L54:L56)</f>
        <v>0</v>
      </c>
    </row>
    <row r="54" spans="1:12" ht="15" customHeight="1" x14ac:dyDescent="0.25">
      <c r="A54" s="4"/>
      <c r="B54" s="30" t="s">
        <v>77</v>
      </c>
      <c r="C54" s="321" t="s">
        <v>78</v>
      </c>
      <c r="D54" s="122"/>
      <c r="E54" s="12"/>
      <c r="F54" s="57"/>
      <c r="G54" s="122"/>
      <c r="H54" s="15"/>
      <c r="I54" s="57"/>
      <c r="J54" s="6">
        <f t="shared" si="2"/>
        <v>0</v>
      </c>
      <c r="K54" s="12"/>
      <c r="L54" s="57"/>
    </row>
    <row r="55" spans="1:12" ht="15" customHeight="1" x14ac:dyDescent="0.25">
      <c r="A55" s="4"/>
      <c r="B55" s="30" t="s">
        <v>79</v>
      </c>
      <c r="C55" s="321" t="s">
        <v>80</v>
      </c>
      <c r="D55" s="122"/>
      <c r="E55" s="12"/>
      <c r="F55" s="57">
        <f t="shared" si="7"/>
        <v>0</v>
      </c>
      <c r="G55" s="122"/>
      <c r="H55" s="15"/>
      <c r="I55" s="57">
        <f>SUM(F55:F55)</f>
        <v>0</v>
      </c>
      <c r="J55" s="6">
        <f t="shared" si="2"/>
        <v>0</v>
      </c>
      <c r="K55" s="12"/>
      <c r="L55" s="57">
        <f>SUM(H55:H55)</f>
        <v>0</v>
      </c>
    </row>
    <row r="56" spans="1:12" ht="15" customHeight="1" x14ac:dyDescent="0.25">
      <c r="A56" s="4"/>
      <c r="B56" s="30" t="s">
        <v>81</v>
      </c>
      <c r="C56" s="321" t="s">
        <v>82</v>
      </c>
      <c r="D56" s="122"/>
      <c r="E56" s="12"/>
      <c r="F56" s="57">
        <f t="shared" si="7"/>
        <v>0</v>
      </c>
      <c r="G56" s="122"/>
      <c r="H56" s="15"/>
      <c r="I56" s="57">
        <f>SUM(F56:F56)</f>
        <v>0</v>
      </c>
      <c r="J56" s="6">
        <f t="shared" si="2"/>
        <v>0</v>
      </c>
      <c r="K56" s="12"/>
      <c r="L56" s="57">
        <f>SUM(H56:H56)</f>
        <v>0</v>
      </c>
    </row>
    <row r="57" spans="1:12" ht="15" customHeight="1" x14ac:dyDescent="0.25">
      <c r="A57" s="31" t="s">
        <v>30</v>
      </c>
      <c r="B57" s="436" t="s">
        <v>83</v>
      </c>
      <c r="C57" s="648"/>
      <c r="D57" s="123">
        <f t="shared" ref="D57:I57" si="9">+D47+D50+D53</f>
        <v>0</v>
      </c>
      <c r="E57" s="16">
        <f t="shared" si="9"/>
        <v>0</v>
      </c>
      <c r="F57" s="101">
        <f t="shared" si="9"/>
        <v>0</v>
      </c>
      <c r="G57" s="123">
        <f t="shared" si="9"/>
        <v>0</v>
      </c>
      <c r="H57" s="145">
        <f t="shared" si="9"/>
        <v>0</v>
      </c>
      <c r="I57" s="101">
        <f t="shared" si="9"/>
        <v>0</v>
      </c>
      <c r="J57" s="6">
        <f t="shared" si="2"/>
        <v>0</v>
      </c>
      <c r="K57" s="16">
        <f>+K47+K50+K53</f>
        <v>0</v>
      </c>
      <c r="L57" s="101">
        <f>+L47+L50+L53</f>
        <v>0</v>
      </c>
    </row>
    <row r="58" spans="1:12" ht="15" customHeight="1" x14ac:dyDescent="0.25">
      <c r="A58" s="31" t="s">
        <v>32</v>
      </c>
      <c r="B58" s="436" t="s">
        <v>84</v>
      </c>
      <c r="C58" s="648"/>
      <c r="D58" s="123"/>
      <c r="E58" s="16"/>
      <c r="F58" s="60"/>
      <c r="G58" s="123"/>
      <c r="H58" s="17"/>
      <c r="I58" s="60"/>
      <c r="J58" s="6">
        <f t="shared" si="2"/>
        <v>0</v>
      </c>
      <c r="K58" s="16"/>
      <c r="L58" s="60"/>
    </row>
    <row r="59" spans="1:12" ht="15" customHeight="1" x14ac:dyDescent="0.25">
      <c r="A59" s="31" t="s">
        <v>33</v>
      </c>
      <c r="B59" s="436" t="s">
        <v>85</v>
      </c>
      <c r="C59" s="648"/>
      <c r="D59" s="123"/>
      <c r="E59" s="16"/>
      <c r="F59" s="60"/>
      <c r="G59" s="123"/>
      <c r="H59" s="17"/>
      <c r="I59" s="60"/>
      <c r="J59" s="6">
        <f t="shared" si="2"/>
        <v>0</v>
      </c>
      <c r="K59" s="16"/>
      <c r="L59" s="60"/>
    </row>
    <row r="60" spans="1:12" ht="15" customHeight="1" x14ac:dyDescent="0.3">
      <c r="A60" s="19" t="s">
        <v>86</v>
      </c>
      <c r="B60" s="430" t="s">
        <v>87</v>
      </c>
      <c r="C60" s="649"/>
      <c r="D60" s="138">
        <f t="shared" ref="D60:I60" si="10">+D46+D57+D58+D59</f>
        <v>2270</v>
      </c>
      <c r="E60" s="20">
        <f t="shared" si="10"/>
        <v>0</v>
      </c>
      <c r="F60" s="22">
        <f t="shared" si="10"/>
        <v>2270</v>
      </c>
      <c r="G60" s="138">
        <f t="shared" si="10"/>
        <v>2272</v>
      </c>
      <c r="H60" s="153">
        <f t="shared" si="10"/>
        <v>2272</v>
      </c>
      <c r="I60" s="22">
        <f t="shared" si="10"/>
        <v>0</v>
      </c>
      <c r="J60" s="41">
        <f t="shared" si="2"/>
        <v>2114</v>
      </c>
      <c r="K60" s="20">
        <f>+K46+K57+K58+K59</f>
        <v>2114</v>
      </c>
      <c r="L60" s="22">
        <f>+L46+L57+L58+L59</f>
        <v>0</v>
      </c>
    </row>
    <row r="61" spans="1:12" ht="15" customHeight="1" x14ac:dyDescent="0.3">
      <c r="A61" s="19"/>
      <c r="B61" s="430" t="s">
        <v>88</v>
      </c>
      <c r="C61" s="649"/>
      <c r="D61" s="138">
        <f t="shared" ref="D61:I61" si="11">+D29-D60</f>
        <v>59295</v>
      </c>
      <c r="E61" s="20">
        <f t="shared" si="11"/>
        <v>54245</v>
      </c>
      <c r="F61" s="22">
        <f t="shared" si="11"/>
        <v>5050</v>
      </c>
      <c r="G61" s="138">
        <f t="shared" si="11"/>
        <v>61646</v>
      </c>
      <c r="H61" s="153">
        <f t="shared" si="11"/>
        <v>61646</v>
      </c>
      <c r="I61" s="22">
        <f t="shared" si="11"/>
        <v>0</v>
      </c>
      <c r="J61" s="41">
        <f>J29+J60</f>
        <v>65366</v>
      </c>
      <c r="K61" s="20">
        <f>+K29-K60</f>
        <v>61138</v>
      </c>
      <c r="L61" s="22">
        <f>+L29-L60</f>
        <v>0</v>
      </c>
    </row>
    <row r="62" spans="1:12" ht="15" customHeight="1" x14ac:dyDescent="0.3">
      <c r="A62" s="19"/>
      <c r="B62" s="436" t="s">
        <v>186</v>
      </c>
      <c r="C62" s="648"/>
      <c r="D62" s="138">
        <f>+F62+E62</f>
        <v>59182</v>
      </c>
      <c r="E62" s="20">
        <f>53883+249</f>
        <v>54132</v>
      </c>
      <c r="F62" s="22">
        <f>6050-1000</f>
        <v>5050</v>
      </c>
      <c r="G62" s="138">
        <f>+I62+H62</f>
        <v>61533</v>
      </c>
      <c r="H62" s="37">
        <v>61533</v>
      </c>
      <c r="I62" s="22"/>
      <c r="J62" s="41">
        <f t="shared" si="2"/>
        <v>61064</v>
      </c>
      <c r="K62" s="20">
        <v>61064</v>
      </c>
      <c r="L62" s="22"/>
    </row>
    <row r="63" spans="1:12" ht="15" customHeight="1" x14ac:dyDescent="0.25">
      <c r="A63" s="31" t="s">
        <v>34</v>
      </c>
      <c r="B63" s="436" t="s">
        <v>89</v>
      </c>
      <c r="C63" s="648"/>
      <c r="D63" s="122">
        <f>SUM(E63:F63)</f>
        <v>113</v>
      </c>
      <c r="E63" s="12">
        <v>113</v>
      </c>
      <c r="F63" s="57"/>
      <c r="G63" s="122">
        <f>SUM(H63:I63)</f>
        <v>113</v>
      </c>
      <c r="H63" s="13">
        <v>113</v>
      </c>
      <c r="I63" s="57"/>
      <c r="J63" s="6">
        <f t="shared" si="2"/>
        <v>113</v>
      </c>
      <c r="K63" s="12">
        <v>113</v>
      </c>
      <c r="L63" s="57"/>
    </row>
    <row r="64" spans="1:12" ht="15" customHeight="1" x14ac:dyDescent="0.3">
      <c r="A64" s="19"/>
      <c r="B64" s="38" t="s">
        <v>38</v>
      </c>
      <c r="C64" s="321" t="s">
        <v>90</v>
      </c>
      <c r="D64" s="122">
        <v>113</v>
      </c>
      <c r="E64" s="12">
        <v>113</v>
      </c>
      <c r="F64" s="102"/>
      <c r="G64" s="122">
        <v>113</v>
      </c>
      <c r="H64" s="13">
        <v>113</v>
      </c>
      <c r="I64" s="102"/>
      <c r="J64" s="6">
        <f t="shared" si="2"/>
        <v>113</v>
      </c>
      <c r="K64" s="12">
        <v>113</v>
      </c>
      <c r="L64" s="102"/>
    </row>
    <row r="65" spans="1:12" ht="15" customHeight="1" x14ac:dyDescent="0.3">
      <c r="A65" s="19"/>
      <c r="B65" s="38" t="s">
        <v>40</v>
      </c>
      <c r="C65" s="321" t="s">
        <v>91</v>
      </c>
      <c r="D65" s="139"/>
      <c r="E65" s="20"/>
      <c r="F65" s="57"/>
      <c r="G65" s="139"/>
      <c r="H65" s="37"/>
      <c r="I65" s="57"/>
      <c r="J65" s="6">
        <f t="shared" si="2"/>
        <v>0</v>
      </c>
      <c r="K65" s="20"/>
      <c r="L65" s="57"/>
    </row>
    <row r="66" spans="1:12" ht="20.25" customHeight="1" x14ac:dyDescent="0.3">
      <c r="A66" s="19" t="s">
        <v>92</v>
      </c>
      <c r="B66" s="486" t="s">
        <v>93</v>
      </c>
      <c r="C66" s="644"/>
      <c r="D66" s="138">
        <f t="shared" ref="D66:I66" si="12">+D63</f>
        <v>113</v>
      </c>
      <c r="E66" s="20">
        <f t="shared" si="12"/>
        <v>113</v>
      </c>
      <c r="F66" s="22">
        <f t="shared" si="12"/>
        <v>0</v>
      </c>
      <c r="G66" s="138">
        <f t="shared" si="12"/>
        <v>113</v>
      </c>
      <c r="H66" s="37">
        <f t="shared" si="12"/>
        <v>113</v>
      </c>
      <c r="I66" s="22">
        <f t="shared" si="12"/>
        <v>0</v>
      </c>
      <c r="J66" s="41">
        <f t="shared" si="2"/>
        <v>113</v>
      </c>
      <c r="K66" s="20">
        <f>+K63</f>
        <v>113</v>
      </c>
      <c r="L66" s="22">
        <f>+L63</f>
        <v>0</v>
      </c>
    </row>
    <row r="67" spans="1:12" ht="15" customHeight="1" x14ac:dyDescent="0.3">
      <c r="A67" s="4" t="s">
        <v>94</v>
      </c>
      <c r="B67" s="434" t="s">
        <v>95</v>
      </c>
      <c r="C67" s="440"/>
      <c r="D67" s="138"/>
      <c r="E67" s="20"/>
      <c r="F67" s="61">
        <f t="shared" ref="F67:F80" si="13">SUM(D67:E67)</f>
        <v>0</v>
      </c>
      <c r="G67" s="138"/>
      <c r="H67" s="40"/>
      <c r="I67" s="61">
        <f>SUM(F67:H67)</f>
        <v>0</v>
      </c>
      <c r="J67" s="6">
        <f t="shared" si="2"/>
        <v>0</v>
      </c>
      <c r="K67" s="20"/>
      <c r="L67" s="61"/>
    </row>
    <row r="68" spans="1:12" ht="15" customHeight="1" x14ac:dyDescent="0.3">
      <c r="A68" s="4" t="s">
        <v>96</v>
      </c>
      <c r="B68" s="434" t="s">
        <v>97</v>
      </c>
      <c r="C68" s="440"/>
      <c r="D68" s="138">
        <f>SUM(D69:D72)</f>
        <v>0</v>
      </c>
      <c r="E68" s="20"/>
      <c r="F68" s="61">
        <f t="shared" si="13"/>
        <v>0</v>
      </c>
      <c r="G68" s="138">
        <f>SUM(G69:G72)</f>
        <v>0</v>
      </c>
      <c r="H68" s="40"/>
      <c r="I68" s="61">
        <f>SUM(F68:H68)</f>
        <v>0</v>
      </c>
      <c r="J68" s="6">
        <f t="shared" si="2"/>
        <v>0</v>
      </c>
      <c r="K68" s="20"/>
      <c r="L68" s="61"/>
    </row>
    <row r="69" spans="1:12" ht="15" customHeight="1" x14ac:dyDescent="0.3">
      <c r="A69" s="4"/>
      <c r="B69" s="30" t="s">
        <v>38</v>
      </c>
      <c r="C69" s="321" t="s">
        <v>98</v>
      </c>
      <c r="D69" s="139"/>
      <c r="E69" s="39"/>
      <c r="F69" s="102">
        <f t="shared" si="13"/>
        <v>0</v>
      </c>
      <c r="G69" s="139"/>
      <c r="H69" s="43"/>
      <c r="I69" s="102">
        <f>SUM(F69:H69)</f>
        <v>0</v>
      </c>
      <c r="J69" s="6">
        <f t="shared" si="2"/>
        <v>0</v>
      </c>
      <c r="K69" s="39"/>
      <c r="L69" s="102"/>
    </row>
    <row r="70" spans="1:12" ht="15" customHeight="1" x14ac:dyDescent="0.3">
      <c r="A70" s="4"/>
      <c r="B70" s="30" t="s">
        <v>40</v>
      </c>
      <c r="C70" s="321" t="s">
        <v>99</v>
      </c>
      <c r="D70" s="138"/>
      <c r="E70" s="20"/>
      <c r="F70" s="61">
        <f t="shared" si="13"/>
        <v>0</v>
      </c>
      <c r="G70" s="138"/>
      <c r="H70" s="40"/>
      <c r="I70" s="61">
        <f>SUM(F70:H70)</f>
        <v>0</v>
      </c>
      <c r="J70" s="6">
        <f t="shared" si="2"/>
        <v>0</v>
      </c>
      <c r="K70" s="20"/>
      <c r="L70" s="61"/>
    </row>
    <row r="71" spans="1:12" ht="15" customHeight="1" x14ac:dyDescent="0.3">
      <c r="A71" s="4"/>
      <c r="B71" s="30" t="s">
        <v>48</v>
      </c>
      <c r="C71" s="321" t="s">
        <v>100</v>
      </c>
      <c r="D71" s="139"/>
      <c r="E71" s="20"/>
      <c r="F71" s="61"/>
      <c r="G71" s="139"/>
      <c r="H71" s="40"/>
      <c r="I71" s="61"/>
      <c r="J71" s="6">
        <f t="shared" si="2"/>
        <v>0</v>
      </c>
      <c r="K71" s="20"/>
      <c r="L71" s="61"/>
    </row>
    <row r="72" spans="1:12" ht="15" customHeight="1" x14ac:dyDescent="0.3">
      <c r="A72" s="4"/>
      <c r="B72" s="30" t="s">
        <v>9</v>
      </c>
      <c r="C72" s="321" t="s">
        <v>101</v>
      </c>
      <c r="D72" s="139"/>
      <c r="E72" s="20"/>
      <c r="F72" s="61"/>
      <c r="G72" s="139"/>
      <c r="H72" s="40"/>
      <c r="I72" s="61"/>
      <c r="J72" s="6">
        <f t="shared" si="2"/>
        <v>0</v>
      </c>
      <c r="K72" s="20"/>
      <c r="L72" s="61"/>
    </row>
    <row r="73" spans="1:12" ht="15" customHeight="1" x14ac:dyDescent="0.3">
      <c r="A73" s="19" t="s">
        <v>102</v>
      </c>
      <c r="B73" s="484" t="s">
        <v>103</v>
      </c>
      <c r="C73" s="650"/>
      <c r="D73" s="138">
        <f>+D67+D68</f>
        <v>0</v>
      </c>
      <c r="E73" s="20"/>
      <c r="F73" s="61">
        <f t="shared" si="13"/>
        <v>0</v>
      </c>
      <c r="G73" s="138">
        <f>+G67+G68</f>
        <v>0</v>
      </c>
      <c r="H73" s="40"/>
      <c r="I73" s="61">
        <f>SUM(F73:H73)</f>
        <v>0</v>
      </c>
      <c r="J73" s="6">
        <f t="shared" si="2"/>
        <v>0</v>
      </c>
      <c r="K73" s="20"/>
      <c r="L73" s="61"/>
    </row>
    <row r="74" spans="1:12" ht="15" customHeight="1" x14ac:dyDescent="0.3">
      <c r="A74" s="19" t="s">
        <v>104</v>
      </c>
      <c r="B74" s="430" t="s">
        <v>105</v>
      </c>
      <c r="C74" s="649"/>
      <c r="D74" s="138">
        <f t="shared" ref="D74:I74" si="14">+D66+D73+D62</f>
        <v>59295</v>
      </c>
      <c r="E74" s="20">
        <f t="shared" si="14"/>
        <v>54245</v>
      </c>
      <c r="F74" s="22">
        <f t="shared" si="14"/>
        <v>5050</v>
      </c>
      <c r="G74" s="138">
        <f t="shared" si="14"/>
        <v>61646</v>
      </c>
      <c r="H74" s="40">
        <f t="shared" si="14"/>
        <v>61646</v>
      </c>
      <c r="I74" s="21">
        <f t="shared" si="14"/>
        <v>0</v>
      </c>
      <c r="J74" s="41">
        <f t="shared" si="2"/>
        <v>61177</v>
      </c>
      <c r="K74" s="20">
        <f>+K66+K73+K62</f>
        <v>61177</v>
      </c>
      <c r="L74" s="22">
        <f>+L66+L73+L62</f>
        <v>0</v>
      </c>
    </row>
    <row r="75" spans="1:12" ht="15" customHeight="1" x14ac:dyDescent="0.3">
      <c r="A75" s="4" t="s">
        <v>106</v>
      </c>
      <c r="B75" s="434" t="s">
        <v>187</v>
      </c>
      <c r="C75" s="440"/>
      <c r="D75" s="138"/>
      <c r="E75" s="20"/>
      <c r="F75" s="61">
        <f t="shared" si="13"/>
        <v>0</v>
      </c>
      <c r="G75" s="138"/>
      <c r="H75" s="40"/>
      <c r="I75" s="61">
        <f t="shared" ref="I75:I80" si="15">SUM(F75:H75)</f>
        <v>0</v>
      </c>
      <c r="J75" s="6">
        <f t="shared" si="2"/>
        <v>0</v>
      </c>
      <c r="K75" s="20"/>
      <c r="L75" s="61"/>
    </row>
    <row r="76" spans="1:12" ht="15" customHeight="1" x14ac:dyDescent="0.3">
      <c r="A76" s="4" t="s">
        <v>108</v>
      </c>
      <c r="B76" s="434" t="s">
        <v>109</v>
      </c>
      <c r="C76" s="440"/>
      <c r="D76" s="139">
        <f>SUM(D77:D79)</f>
        <v>0</v>
      </c>
      <c r="E76" s="39"/>
      <c r="F76" s="102">
        <f t="shared" si="13"/>
        <v>0</v>
      </c>
      <c r="G76" s="139">
        <f>SUM(G77:G79)</f>
        <v>0</v>
      </c>
      <c r="H76" s="43"/>
      <c r="I76" s="102">
        <f t="shared" si="15"/>
        <v>0</v>
      </c>
      <c r="J76" s="6">
        <f t="shared" si="2"/>
        <v>0</v>
      </c>
      <c r="K76" s="39"/>
      <c r="L76" s="102"/>
    </row>
    <row r="77" spans="1:12" ht="15" customHeight="1" x14ac:dyDescent="0.3">
      <c r="A77" s="4"/>
      <c r="B77" s="30" t="s">
        <v>38</v>
      </c>
      <c r="C77" s="321" t="s">
        <v>110</v>
      </c>
      <c r="D77" s="139"/>
      <c r="E77" s="39"/>
      <c r="F77" s="102">
        <f t="shared" si="13"/>
        <v>0</v>
      </c>
      <c r="G77" s="139"/>
      <c r="H77" s="43"/>
      <c r="I77" s="102">
        <f t="shared" si="15"/>
        <v>0</v>
      </c>
      <c r="J77" s="6">
        <f t="shared" si="2"/>
        <v>0</v>
      </c>
      <c r="K77" s="39"/>
      <c r="L77" s="102"/>
    </row>
    <row r="78" spans="1:12" ht="15" customHeight="1" x14ac:dyDescent="0.3">
      <c r="A78" s="4"/>
      <c r="B78" s="30" t="s">
        <v>40</v>
      </c>
      <c r="C78" s="321" t="s">
        <v>111</v>
      </c>
      <c r="D78" s="139"/>
      <c r="E78" s="39"/>
      <c r="F78" s="102">
        <f t="shared" si="13"/>
        <v>0</v>
      </c>
      <c r="G78" s="139"/>
      <c r="H78" s="43"/>
      <c r="I78" s="102">
        <f t="shared" si="15"/>
        <v>0</v>
      </c>
      <c r="J78" s="6">
        <f t="shared" si="2"/>
        <v>0</v>
      </c>
      <c r="K78" s="39"/>
      <c r="L78" s="102"/>
    </row>
    <row r="79" spans="1:12" ht="15" customHeight="1" x14ac:dyDescent="0.3">
      <c r="A79" s="4"/>
      <c r="B79" s="30" t="s">
        <v>48</v>
      </c>
      <c r="C79" s="321" t="s">
        <v>112</v>
      </c>
      <c r="D79" s="139"/>
      <c r="E79" s="39"/>
      <c r="F79" s="102">
        <f t="shared" si="13"/>
        <v>0</v>
      </c>
      <c r="G79" s="139"/>
      <c r="H79" s="43"/>
      <c r="I79" s="102">
        <f t="shared" si="15"/>
        <v>0</v>
      </c>
      <c r="J79" s="6">
        <f t="shared" si="2"/>
        <v>0</v>
      </c>
      <c r="K79" s="39"/>
      <c r="L79" s="102"/>
    </row>
    <row r="80" spans="1:12" ht="15" customHeight="1" x14ac:dyDescent="0.3">
      <c r="A80" s="19" t="s">
        <v>113</v>
      </c>
      <c r="B80" s="430" t="s">
        <v>114</v>
      </c>
      <c r="C80" s="649"/>
      <c r="D80" s="138">
        <f>+D75+D76</f>
        <v>0</v>
      </c>
      <c r="E80" s="20">
        <f>+E75+E76</f>
        <v>0</v>
      </c>
      <c r="F80" s="61">
        <f t="shared" si="13"/>
        <v>0</v>
      </c>
      <c r="G80" s="138">
        <f>+G75+G76</f>
        <v>0</v>
      </c>
      <c r="H80" s="40">
        <f>+H75+H76</f>
        <v>0</v>
      </c>
      <c r="I80" s="61">
        <f t="shared" si="15"/>
        <v>0</v>
      </c>
      <c r="J80" s="6">
        <f t="shared" si="2"/>
        <v>0</v>
      </c>
      <c r="K80" s="20">
        <f>+K75+K76</f>
        <v>0</v>
      </c>
      <c r="L80" s="61"/>
    </row>
    <row r="81" spans="1:12" ht="15" customHeight="1" x14ac:dyDescent="0.3">
      <c r="A81" s="19" t="s">
        <v>115</v>
      </c>
      <c r="B81" s="430" t="s">
        <v>116</v>
      </c>
      <c r="C81" s="649"/>
      <c r="D81" s="140">
        <f t="shared" ref="D81:I81" si="16">+D29+D80</f>
        <v>61565</v>
      </c>
      <c r="E81" s="44">
        <f t="shared" si="16"/>
        <v>54245</v>
      </c>
      <c r="F81" s="46">
        <f t="shared" si="16"/>
        <v>7320</v>
      </c>
      <c r="G81" s="140">
        <f t="shared" si="16"/>
        <v>63918</v>
      </c>
      <c r="H81" s="46">
        <f t="shared" si="16"/>
        <v>63918</v>
      </c>
      <c r="I81" s="46">
        <f t="shared" si="16"/>
        <v>0</v>
      </c>
      <c r="J81" s="41">
        <f t="shared" si="2"/>
        <v>63252</v>
      </c>
      <c r="K81" s="44">
        <f>+K29+K80</f>
        <v>63252</v>
      </c>
      <c r="L81" s="46">
        <f>+L29+L80</f>
        <v>0</v>
      </c>
    </row>
    <row r="82" spans="1:12" ht="15" customHeight="1" thickBot="1" x14ac:dyDescent="0.35">
      <c r="A82" s="47" t="s">
        <v>117</v>
      </c>
      <c r="B82" s="48" t="s">
        <v>118</v>
      </c>
      <c r="C82" s="127"/>
      <c r="D82" s="152">
        <f t="shared" ref="D82:I82" si="17">+D60+D74</f>
        <v>61565</v>
      </c>
      <c r="E82" s="63">
        <f t="shared" si="17"/>
        <v>54245</v>
      </c>
      <c r="F82" s="49">
        <f t="shared" si="17"/>
        <v>7320</v>
      </c>
      <c r="G82" s="152">
        <f t="shared" si="17"/>
        <v>63918</v>
      </c>
      <c r="H82" s="49">
        <f t="shared" si="17"/>
        <v>63918</v>
      </c>
      <c r="I82" s="49">
        <f t="shared" si="17"/>
        <v>0</v>
      </c>
      <c r="J82" s="41">
        <f>J74+J60</f>
        <v>63291</v>
      </c>
      <c r="K82" s="63">
        <f>+K60+K74</f>
        <v>63291</v>
      </c>
      <c r="L82" s="49">
        <f>+L60+L74</f>
        <v>0</v>
      </c>
    </row>
  </sheetData>
  <mergeCells count="63">
    <mergeCell ref="L6:L7"/>
    <mergeCell ref="G6:G7"/>
    <mergeCell ref="D8:I8"/>
    <mergeCell ref="J6:J7"/>
    <mergeCell ref="K6:K7"/>
    <mergeCell ref="H6:H7"/>
    <mergeCell ref="I6:I7"/>
    <mergeCell ref="B63:C63"/>
    <mergeCell ref="B66:C66"/>
    <mergeCell ref="B67:C67"/>
    <mergeCell ref="B68:C68"/>
    <mergeCell ref="B80:C80"/>
    <mergeCell ref="B81:C81"/>
    <mergeCell ref="B73:C73"/>
    <mergeCell ref="B74:C74"/>
    <mergeCell ref="B75:C75"/>
    <mergeCell ref="B76:C76"/>
    <mergeCell ref="B62:C62"/>
    <mergeCell ref="B37:C37"/>
    <mergeCell ref="B41:C41"/>
    <mergeCell ref="B46:C46"/>
    <mergeCell ref="B47:C47"/>
    <mergeCell ref="B50:C50"/>
    <mergeCell ref="B53:C53"/>
    <mergeCell ref="B57:C57"/>
    <mergeCell ref="B58:C58"/>
    <mergeCell ref="B59:C59"/>
    <mergeCell ref="B60:C60"/>
    <mergeCell ref="B61:C61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</mergeCells>
  <phoneticPr fontId="12" type="noConversion"/>
  <pageMargins left="0.17" right="0.16" top="0.24" bottom="0.21" header="0.17" footer="0.17"/>
  <pageSetup paperSize="9" scale="50" orientation="portrait" r:id="rId1"/>
  <headerFooter alignWithMargins="0"/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zoomScale="71" zoomScaleNormal="71" zoomScaleSheetLayoutView="75" workbookViewId="0">
      <selection activeCell="L25" sqref="L25"/>
    </sheetView>
  </sheetViews>
  <sheetFormatPr defaultRowHeight="15.75" x14ac:dyDescent="0.2"/>
  <cols>
    <col min="1" max="1" width="6" style="50" customWidth="1"/>
    <col min="2" max="2" width="5.140625" style="343" customWidth="1"/>
    <col min="3" max="3" width="82.5703125" style="343" customWidth="1"/>
    <col min="4" max="4" width="17.7109375" style="50" bestFit="1" customWidth="1"/>
    <col min="5" max="5" width="14.5703125" style="50" customWidth="1"/>
    <col min="6" max="6" width="16.7109375" style="50" customWidth="1"/>
    <col min="7" max="7" width="17.85546875" style="1" customWidth="1"/>
    <col min="8" max="8" width="17.7109375" style="1" customWidth="1"/>
    <col min="9" max="9" width="14.5703125" style="1" customWidth="1"/>
    <col min="10" max="10" width="16.7109375" customWidth="1"/>
    <col min="11" max="11" width="15.85546875" customWidth="1"/>
    <col min="12" max="12" width="15" customWidth="1"/>
  </cols>
  <sheetData>
    <row r="1" spans="1:12" ht="18.75" x14ac:dyDescent="0.3">
      <c r="A1" s="446" t="s">
        <v>368</v>
      </c>
      <c r="B1" s="447"/>
      <c r="C1" s="447"/>
      <c r="D1" s="447"/>
      <c r="E1" s="447"/>
      <c r="F1" s="447"/>
    </row>
    <row r="2" spans="1:12" x14ac:dyDescent="0.2">
      <c r="A2" s="318"/>
      <c r="B2" s="318"/>
      <c r="C2" s="318"/>
      <c r="D2" s="318"/>
      <c r="E2" s="318"/>
      <c r="F2" s="318"/>
    </row>
    <row r="3" spans="1:12" x14ac:dyDescent="0.25">
      <c r="A3" s="448" t="s">
        <v>0</v>
      </c>
      <c r="B3" s="447"/>
      <c r="C3" s="447"/>
      <c r="D3" s="447"/>
      <c r="E3" s="447"/>
      <c r="F3" s="447"/>
    </row>
    <row r="4" spans="1:12" x14ac:dyDescent="0.2">
      <c r="A4" s="449" t="s">
        <v>1</v>
      </c>
      <c r="B4" s="662"/>
      <c r="C4" s="662"/>
      <c r="D4" s="662"/>
      <c r="E4" s="662"/>
      <c r="F4" s="662"/>
    </row>
    <row r="5" spans="1:12" ht="16.5" thickBot="1" x14ac:dyDescent="0.3">
      <c r="A5" s="450" t="s">
        <v>369</v>
      </c>
      <c r="B5" s="663"/>
      <c r="C5" s="663"/>
      <c r="D5" s="663"/>
      <c r="E5" s="663"/>
      <c r="F5" s="663"/>
    </row>
    <row r="6" spans="1:12" ht="12.75" customHeight="1" x14ac:dyDescent="0.2">
      <c r="A6" s="453" t="s">
        <v>3</v>
      </c>
      <c r="B6" s="456" t="s">
        <v>4</v>
      </c>
      <c r="C6" s="456"/>
      <c r="D6" s="660" t="s">
        <v>370</v>
      </c>
      <c r="E6" s="451" t="s">
        <v>196</v>
      </c>
      <c r="F6" s="451" t="s">
        <v>197</v>
      </c>
      <c r="G6" s="676" t="s">
        <v>371</v>
      </c>
      <c r="H6" s="672" t="s">
        <v>195</v>
      </c>
      <c r="I6" s="672" t="s">
        <v>198</v>
      </c>
      <c r="J6" s="676" t="s">
        <v>380</v>
      </c>
      <c r="K6" s="672" t="s">
        <v>381</v>
      </c>
      <c r="L6" s="672" t="s">
        <v>382</v>
      </c>
    </row>
    <row r="7" spans="1:12" ht="28.5" customHeight="1" x14ac:dyDescent="0.2">
      <c r="A7" s="454"/>
      <c r="B7" s="458"/>
      <c r="C7" s="458"/>
      <c r="D7" s="661"/>
      <c r="E7" s="452"/>
      <c r="F7" s="452"/>
      <c r="G7" s="677"/>
      <c r="H7" s="673"/>
      <c r="I7" s="673"/>
      <c r="J7" s="677"/>
      <c r="K7" s="673"/>
      <c r="L7" s="673"/>
    </row>
    <row r="8" spans="1:12" ht="13.5" customHeight="1" thickBot="1" x14ac:dyDescent="0.25">
      <c r="A8" s="629"/>
      <c r="B8" s="632"/>
      <c r="C8" s="632"/>
      <c r="D8" s="664" t="s">
        <v>366</v>
      </c>
      <c r="E8" s="661"/>
      <c r="F8" s="661"/>
      <c r="G8" s="674" t="s">
        <v>366</v>
      </c>
      <c r="H8" s="471"/>
      <c r="I8" s="675"/>
      <c r="J8" s="674" t="s">
        <v>383</v>
      </c>
      <c r="K8" s="471"/>
      <c r="L8" s="675"/>
    </row>
    <row r="9" spans="1:12" ht="16.5" thickBot="1" x14ac:dyDescent="0.25">
      <c r="A9" s="347"/>
      <c r="B9" s="665" t="s">
        <v>5</v>
      </c>
      <c r="C9" s="665"/>
      <c r="D9" s="146"/>
      <c r="E9" s="322"/>
      <c r="F9" s="323"/>
      <c r="G9" s="146"/>
      <c r="H9" s="322"/>
      <c r="I9" s="323"/>
      <c r="J9" s="323"/>
      <c r="K9" s="323"/>
      <c r="L9" s="323"/>
    </row>
    <row r="10" spans="1:12" x14ac:dyDescent="0.25">
      <c r="A10" s="112">
        <v>1</v>
      </c>
      <c r="B10" s="666" t="s">
        <v>6</v>
      </c>
      <c r="C10" s="667"/>
      <c r="D10" s="144">
        <f>SUM(E10:F10)</f>
        <v>24948</v>
      </c>
      <c r="E10" s="325">
        <f>24223+725</f>
        <v>24948</v>
      </c>
      <c r="F10" s="129"/>
      <c r="G10" s="144">
        <f>SUM(H10:I10)</f>
        <v>37073</v>
      </c>
      <c r="H10" s="325">
        <f>24223+725+6459+5666</f>
        <v>37073</v>
      </c>
      <c r="I10" s="129"/>
      <c r="J10" s="326">
        <f>K10+L10</f>
        <v>33712</v>
      </c>
      <c r="K10" s="325">
        <v>33712</v>
      </c>
      <c r="L10" s="348"/>
    </row>
    <row r="11" spans="1:12" x14ac:dyDescent="0.25">
      <c r="A11" s="4">
        <v>2</v>
      </c>
      <c r="B11" s="442" t="s">
        <v>7</v>
      </c>
      <c r="C11" s="637"/>
      <c r="D11" s="121">
        <f t="shared" ref="D11:D25" si="0">SUM(E11:F11)</f>
        <v>6453</v>
      </c>
      <c r="E11" s="11">
        <v>6453</v>
      </c>
      <c r="F11" s="57"/>
      <c r="G11" s="121">
        <f>SUM(H11:I11)</f>
        <v>8018</v>
      </c>
      <c r="H11" s="11">
        <f>6453+897+668</f>
        <v>8018</v>
      </c>
      <c r="I11" s="57"/>
      <c r="J11" s="5">
        <f t="shared" ref="J11:J20" si="1">K11+L11</f>
        <v>7081</v>
      </c>
      <c r="K11" s="11">
        <v>7081</v>
      </c>
      <c r="L11" s="99"/>
    </row>
    <row r="12" spans="1:12" x14ac:dyDescent="0.25">
      <c r="A12" s="4">
        <v>3</v>
      </c>
      <c r="B12" s="442" t="s">
        <v>8</v>
      </c>
      <c r="C12" s="637"/>
      <c r="D12" s="121">
        <f t="shared" si="0"/>
        <v>59770</v>
      </c>
      <c r="E12" s="11">
        <f>58784+586+400</f>
        <v>59770</v>
      </c>
      <c r="F12" s="57"/>
      <c r="G12" s="121">
        <f>H12+I12</f>
        <v>59273</v>
      </c>
      <c r="H12" s="11">
        <f>58784+586+400+483-980</f>
        <v>59273</v>
      </c>
      <c r="I12" s="57"/>
      <c r="J12" s="5">
        <f t="shared" si="1"/>
        <v>54260</v>
      </c>
      <c r="K12" s="11">
        <v>54260</v>
      </c>
      <c r="L12" s="99"/>
    </row>
    <row r="13" spans="1:12" x14ac:dyDescent="0.25">
      <c r="A13" s="4" t="s">
        <v>9</v>
      </c>
      <c r="B13" s="442" t="s">
        <v>10</v>
      </c>
      <c r="C13" s="637"/>
      <c r="D13" s="121">
        <f t="shared" si="0"/>
        <v>0</v>
      </c>
      <c r="E13" s="11"/>
      <c r="F13" s="57"/>
      <c r="G13" s="121">
        <f t="shared" ref="G13:G19" si="2">SUM(H13:I13)</f>
        <v>0</v>
      </c>
      <c r="H13" s="11"/>
      <c r="I13" s="57"/>
      <c r="J13" s="5">
        <f t="shared" si="1"/>
        <v>0</v>
      </c>
      <c r="K13" s="11"/>
      <c r="L13" s="99"/>
    </row>
    <row r="14" spans="1:12" x14ac:dyDescent="0.2">
      <c r="A14" s="4" t="s">
        <v>11</v>
      </c>
      <c r="B14" s="476" t="s">
        <v>12</v>
      </c>
      <c r="C14" s="638"/>
      <c r="D14" s="121">
        <f t="shared" si="0"/>
        <v>30516</v>
      </c>
      <c r="E14" s="11">
        <f>+E15+E16+E17+E18+E19</f>
        <v>26719</v>
      </c>
      <c r="F14" s="99">
        <f>+F15+F16+F17+F18+F19</f>
        <v>3797</v>
      </c>
      <c r="G14" s="121">
        <f t="shared" si="2"/>
        <v>41399</v>
      </c>
      <c r="H14" s="11">
        <f>+H15+H16+H17+H18+H19</f>
        <v>29816</v>
      </c>
      <c r="I14" s="99">
        <f>+I15+I16+I17+I18+I19</f>
        <v>11583</v>
      </c>
      <c r="J14" s="5">
        <f t="shared" si="1"/>
        <v>35331</v>
      </c>
      <c r="K14" s="11">
        <f>+K15+K16+K17+K18+K19</f>
        <v>23764</v>
      </c>
      <c r="L14" s="99">
        <f>+L15+L16+L17+L18+L19</f>
        <v>11567</v>
      </c>
    </row>
    <row r="15" spans="1:12" x14ac:dyDescent="0.25">
      <c r="A15" s="4" t="s">
        <v>13</v>
      </c>
      <c r="B15" s="478" t="s">
        <v>14</v>
      </c>
      <c r="C15" s="639"/>
      <c r="D15" s="121">
        <f t="shared" si="0"/>
        <v>12283</v>
      </c>
      <c r="E15" s="11">
        <v>8486</v>
      </c>
      <c r="F15" s="57">
        <f>4157-260-100</f>
        <v>3797</v>
      </c>
      <c r="G15" s="350">
        <f t="shared" si="2"/>
        <v>20679</v>
      </c>
      <c r="H15" s="11">
        <f>8486+610</f>
        <v>9096</v>
      </c>
      <c r="I15" s="57">
        <f>4157-260-100+7770+16</f>
        <v>11583</v>
      </c>
      <c r="J15" s="5">
        <f t="shared" si="1"/>
        <v>20259</v>
      </c>
      <c r="K15" s="11">
        <v>8692</v>
      </c>
      <c r="L15" s="99">
        <v>11567</v>
      </c>
    </row>
    <row r="16" spans="1:12" x14ac:dyDescent="0.25">
      <c r="A16" s="4" t="s">
        <v>15</v>
      </c>
      <c r="B16" s="478" t="s">
        <v>16</v>
      </c>
      <c r="C16" s="639"/>
      <c r="D16" s="121">
        <f t="shared" si="0"/>
        <v>0</v>
      </c>
      <c r="E16" s="11"/>
      <c r="F16" s="57"/>
      <c r="G16" s="121">
        <f t="shared" si="2"/>
        <v>0</v>
      </c>
      <c r="H16" s="11"/>
      <c r="I16" s="57"/>
      <c r="J16" s="5">
        <f t="shared" si="1"/>
        <v>0</v>
      </c>
      <c r="K16" s="11"/>
      <c r="L16" s="99"/>
    </row>
    <row r="17" spans="1:12" x14ac:dyDescent="0.25">
      <c r="A17" s="4"/>
      <c r="B17" s="640"/>
      <c r="C17" s="480"/>
      <c r="D17" s="121">
        <f t="shared" si="0"/>
        <v>0</v>
      </c>
      <c r="E17" s="11"/>
      <c r="F17" s="57"/>
      <c r="G17" s="121">
        <f t="shared" si="2"/>
        <v>0</v>
      </c>
      <c r="H17" s="11"/>
      <c r="I17" s="57"/>
      <c r="J17" s="5">
        <f t="shared" si="1"/>
        <v>0</v>
      </c>
      <c r="K17" s="11"/>
      <c r="L17" s="99"/>
    </row>
    <row r="18" spans="1:12" x14ac:dyDescent="0.25">
      <c r="A18" s="4" t="s">
        <v>17</v>
      </c>
      <c r="B18" s="482" t="s">
        <v>18</v>
      </c>
      <c r="C18" s="641"/>
      <c r="D18" s="121">
        <f t="shared" si="0"/>
        <v>16270</v>
      </c>
      <c r="E18" s="11">
        <v>16270</v>
      </c>
      <c r="F18" s="57"/>
      <c r="G18" s="121">
        <f t="shared" si="2"/>
        <v>16332</v>
      </c>
      <c r="H18" s="11">
        <f>16270-1377+1439</f>
        <v>16332</v>
      </c>
      <c r="I18" s="57"/>
      <c r="J18" s="5">
        <f t="shared" si="1"/>
        <v>10684</v>
      </c>
      <c r="K18" s="11">
        <v>10684</v>
      </c>
      <c r="L18" s="99"/>
    </row>
    <row r="19" spans="1:12" x14ac:dyDescent="0.25">
      <c r="A19" s="4" t="s">
        <v>19</v>
      </c>
      <c r="B19" s="482" t="s">
        <v>372</v>
      </c>
      <c r="C19" s="642"/>
      <c r="D19" s="121">
        <f t="shared" si="0"/>
        <v>1963</v>
      </c>
      <c r="E19" s="11">
        <f>3550-1587</f>
        <v>1963</v>
      </c>
      <c r="F19" s="57"/>
      <c r="G19" s="121">
        <f t="shared" si="2"/>
        <v>4388</v>
      </c>
      <c r="H19" s="11">
        <f>3550-1587+2173+252</f>
        <v>4388</v>
      </c>
      <c r="I19" s="57"/>
      <c r="J19" s="5">
        <f t="shared" si="1"/>
        <v>4388</v>
      </c>
      <c r="K19" s="11">
        <v>4388</v>
      </c>
      <c r="L19" s="99"/>
    </row>
    <row r="20" spans="1:12" x14ac:dyDescent="0.25">
      <c r="A20" s="4"/>
      <c r="B20" s="442" t="s">
        <v>21</v>
      </c>
      <c r="C20" s="637"/>
      <c r="D20" s="121">
        <f t="shared" si="0"/>
        <v>0</v>
      </c>
      <c r="E20" s="11"/>
      <c r="F20" s="57"/>
      <c r="G20" s="121"/>
      <c r="H20" s="11"/>
      <c r="I20" s="57"/>
      <c r="J20" s="5">
        <f t="shared" si="1"/>
        <v>0</v>
      </c>
      <c r="K20" s="11"/>
      <c r="L20" s="99"/>
    </row>
    <row r="21" spans="1:12" x14ac:dyDescent="0.25">
      <c r="A21" s="4"/>
      <c r="B21" s="442" t="s">
        <v>373</v>
      </c>
      <c r="C21" s="637"/>
      <c r="D21" s="121">
        <f t="shared" si="0"/>
        <v>72411</v>
      </c>
      <c r="E21" s="12">
        <f>46853+6219+8070+660</f>
        <v>61802</v>
      </c>
      <c r="F21" s="57">
        <f>5237+5372</f>
        <v>10609</v>
      </c>
      <c r="G21" s="122">
        <f>H21+I21</f>
        <v>30768</v>
      </c>
      <c r="H21" s="12">
        <f>46853+6219+8070+660-52588+10945</f>
        <v>20159</v>
      </c>
      <c r="I21" s="57">
        <f>5237+5372</f>
        <v>10609</v>
      </c>
      <c r="J21" s="5"/>
      <c r="K21" s="11"/>
      <c r="L21" s="99"/>
    </row>
    <row r="22" spans="1:12" x14ac:dyDescent="0.2">
      <c r="A22" s="4" t="s">
        <v>22</v>
      </c>
      <c r="B22" s="320" t="s">
        <v>23</v>
      </c>
      <c r="C22" s="120"/>
      <c r="D22" s="121">
        <f>+D10+D11+D12+D13+D14+D21+D20</f>
        <v>194098</v>
      </c>
      <c r="E22" s="11">
        <f>+E10+E11+E12+E13+E14+E21+E20</f>
        <v>179692</v>
      </c>
      <c r="F22" s="99">
        <f>+F10+F11+F12+F13+F14+F21</f>
        <v>14406</v>
      </c>
      <c r="G22" s="121">
        <f>+G10+G11+G12+G13+G14+G21+G20</f>
        <v>176531</v>
      </c>
      <c r="H22" s="11">
        <f>+H10+H11+H12+H13+H14+H21+H20</f>
        <v>154339</v>
      </c>
      <c r="I22" s="99">
        <f>+I10+I11+I12+I13+I14+I21</f>
        <v>22192</v>
      </c>
      <c r="J22" s="5">
        <f t="shared" ref="J22:L22" si="3">+J10+J11+J12+J13+J14+J21</f>
        <v>130384</v>
      </c>
      <c r="K22" s="11">
        <f t="shared" si="3"/>
        <v>118817</v>
      </c>
      <c r="L22" s="99">
        <f t="shared" si="3"/>
        <v>11567</v>
      </c>
    </row>
    <row r="23" spans="1:12" x14ac:dyDescent="0.25">
      <c r="A23" s="4" t="s">
        <v>24</v>
      </c>
      <c r="B23" s="442" t="s">
        <v>25</v>
      </c>
      <c r="C23" s="637"/>
      <c r="D23" s="121">
        <f t="shared" si="0"/>
        <v>3714</v>
      </c>
      <c r="E23" s="12"/>
      <c r="F23" s="57">
        <v>3714</v>
      </c>
      <c r="G23" s="121">
        <f>SUM(H23:I23)</f>
        <v>6184</v>
      </c>
      <c r="H23" s="12"/>
      <c r="I23" s="57">
        <f>3714+127+2343</f>
        <v>6184</v>
      </c>
      <c r="J23" s="5">
        <f t="shared" ref="J23:J25" si="4">K23+L23</f>
        <v>6086</v>
      </c>
      <c r="K23" s="11"/>
      <c r="L23" s="99">
        <v>6086</v>
      </c>
    </row>
    <row r="24" spans="1:12" x14ac:dyDescent="0.25">
      <c r="A24" s="4" t="s">
        <v>26</v>
      </c>
      <c r="B24" s="442" t="s">
        <v>27</v>
      </c>
      <c r="C24" s="637"/>
      <c r="D24" s="121">
        <f t="shared" si="0"/>
        <v>19075</v>
      </c>
      <c r="E24" s="12"/>
      <c r="F24" s="57">
        <v>19075</v>
      </c>
      <c r="G24" s="121">
        <f>SUM(H24:I24)</f>
        <v>21188</v>
      </c>
      <c r="H24" s="12"/>
      <c r="I24" s="57">
        <f>19075+400+113+1260+340</f>
        <v>21188</v>
      </c>
      <c r="J24" s="5">
        <f t="shared" si="4"/>
        <v>21041</v>
      </c>
      <c r="K24" s="11"/>
      <c r="L24" s="99">
        <v>21041</v>
      </c>
    </row>
    <row r="25" spans="1:12" x14ac:dyDescent="0.25">
      <c r="A25" s="4" t="s">
        <v>28</v>
      </c>
      <c r="B25" s="442" t="s">
        <v>374</v>
      </c>
      <c r="C25" s="637"/>
      <c r="D25" s="121">
        <f t="shared" si="0"/>
        <v>3872</v>
      </c>
      <c r="E25" s="12"/>
      <c r="F25" s="57">
        <f>3156+961-245</f>
        <v>3872</v>
      </c>
      <c r="G25" s="121">
        <f>SUM(H25:I25)</f>
        <v>17329</v>
      </c>
      <c r="H25" s="12"/>
      <c r="I25" s="57">
        <f>3156+961-245+12956+501</f>
        <v>17329</v>
      </c>
      <c r="J25" s="5">
        <f t="shared" si="4"/>
        <v>16788</v>
      </c>
      <c r="K25" s="11"/>
      <c r="L25" s="99">
        <v>16788</v>
      </c>
    </row>
    <row r="26" spans="1:12" x14ac:dyDescent="0.25">
      <c r="A26" s="4" t="s">
        <v>30</v>
      </c>
      <c r="B26" s="442" t="s">
        <v>31</v>
      </c>
      <c r="C26" s="637"/>
      <c r="D26" s="122">
        <f>+D23+D24+D25</f>
        <v>26661</v>
      </c>
      <c r="E26" s="12"/>
      <c r="F26" s="57">
        <f>SUM(F23:F25)</f>
        <v>26661</v>
      </c>
      <c r="G26" s="122">
        <f>+G23+G24+G25</f>
        <v>44701</v>
      </c>
      <c r="H26" s="12"/>
      <c r="I26" s="57">
        <f>SUM(I23:I25)</f>
        <v>44701</v>
      </c>
      <c r="J26" s="5">
        <f>SUM(J23:J25)</f>
        <v>43915</v>
      </c>
      <c r="K26" s="11">
        <f t="shared" ref="K26:L26" si="5">SUM(K23:K25)</f>
        <v>0</v>
      </c>
      <c r="L26" s="99">
        <f t="shared" si="5"/>
        <v>43915</v>
      </c>
    </row>
    <row r="27" spans="1:12" x14ac:dyDescent="0.25">
      <c r="A27" s="4" t="s">
        <v>32</v>
      </c>
      <c r="B27" s="442"/>
      <c r="C27" s="637"/>
      <c r="D27" s="122"/>
      <c r="E27" s="12"/>
      <c r="F27" s="57"/>
      <c r="G27" s="122"/>
      <c r="H27" s="12"/>
      <c r="I27" s="57"/>
      <c r="J27" s="5"/>
      <c r="K27" s="11"/>
      <c r="L27" s="99"/>
    </row>
    <row r="28" spans="1:12" x14ac:dyDescent="0.25">
      <c r="A28" s="4" t="s">
        <v>33</v>
      </c>
      <c r="B28" s="424"/>
      <c r="C28" s="643"/>
      <c r="D28" s="123"/>
      <c r="E28" s="16"/>
      <c r="F28" s="57">
        <f>+D28+E28</f>
        <v>0</v>
      </c>
      <c r="G28" s="123"/>
      <c r="H28" s="16"/>
      <c r="I28" s="57">
        <f>+G28+H28</f>
        <v>0</v>
      </c>
      <c r="J28" s="5"/>
      <c r="K28" s="11"/>
      <c r="L28" s="99"/>
    </row>
    <row r="29" spans="1:12" x14ac:dyDescent="0.25">
      <c r="A29" s="4" t="s">
        <v>34</v>
      </c>
      <c r="B29" s="424"/>
      <c r="C29" s="643"/>
      <c r="D29" s="123"/>
      <c r="E29" s="107"/>
      <c r="F29" s="57">
        <f>+D29+E29</f>
        <v>0</v>
      </c>
      <c r="G29" s="123"/>
      <c r="H29" s="107"/>
      <c r="I29" s="57">
        <f>+G29+H29</f>
        <v>0</v>
      </c>
      <c r="J29" s="5"/>
      <c r="K29" s="11"/>
      <c r="L29" s="99"/>
    </row>
    <row r="30" spans="1:12" ht="19.5" x14ac:dyDescent="0.3">
      <c r="A30" s="19" t="s">
        <v>35</v>
      </c>
      <c r="B30" s="486" t="s">
        <v>36</v>
      </c>
      <c r="C30" s="644"/>
      <c r="D30" s="138">
        <f t="shared" ref="D30:L30" si="6">+D22+D26+D27+D28+D29</f>
        <v>220759</v>
      </c>
      <c r="E30" s="20">
        <f t="shared" si="6"/>
        <v>179692</v>
      </c>
      <c r="F30" s="22">
        <f t="shared" si="6"/>
        <v>41067</v>
      </c>
      <c r="G30" s="138">
        <f t="shared" si="6"/>
        <v>221232</v>
      </c>
      <c r="H30" s="20">
        <f t="shared" si="6"/>
        <v>154339</v>
      </c>
      <c r="I30" s="22">
        <f t="shared" si="6"/>
        <v>66893</v>
      </c>
      <c r="J30" s="40">
        <f t="shared" si="6"/>
        <v>174299</v>
      </c>
      <c r="K30" s="20">
        <f t="shared" si="6"/>
        <v>118817</v>
      </c>
      <c r="L30" s="22">
        <f t="shared" si="6"/>
        <v>55482</v>
      </c>
    </row>
    <row r="31" spans="1:12" x14ac:dyDescent="0.25">
      <c r="A31" s="23"/>
      <c r="B31" s="428"/>
      <c r="C31" s="645"/>
      <c r="D31" s="157"/>
      <c r="E31" s="26"/>
      <c r="F31" s="24"/>
      <c r="G31" s="157"/>
      <c r="H31" s="26"/>
      <c r="I31" s="24"/>
      <c r="J31" s="25"/>
      <c r="K31" s="26"/>
      <c r="L31" s="24"/>
    </row>
    <row r="32" spans="1:12" x14ac:dyDescent="0.25">
      <c r="A32" s="4"/>
      <c r="B32" s="646" t="s">
        <v>37</v>
      </c>
      <c r="C32" s="647"/>
      <c r="D32" s="122"/>
      <c r="E32" s="12"/>
      <c r="F32" s="57"/>
      <c r="G32" s="122"/>
      <c r="H32" s="12"/>
      <c r="I32" s="57"/>
      <c r="J32" s="5"/>
      <c r="K32" s="11"/>
      <c r="L32" s="99"/>
    </row>
    <row r="33" spans="1:12" x14ac:dyDescent="0.25">
      <c r="A33" s="4" t="s">
        <v>38</v>
      </c>
      <c r="B33" s="668" t="s">
        <v>39</v>
      </c>
      <c r="C33" s="669"/>
      <c r="D33" s="130">
        <f>SUM(E33:F33)</f>
        <v>14367</v>
      </c>
      <c r="E33" s="29">
        <f>2076+11901+100+290</f>
        <v>14367</v>
      </c>
      <c r="F33" s="131"/>
      <c r="G33" s="130">
        <f t="shared" ref="G33:G41" si="7">SUM(H33:I33)</f>
        <v>30867</v>
      </c>
      <c r="H33" s="29">
        <f>2076+11901+100+290+540+15960</f>
        <v>30867</v>
      </c>
      <c r="I33" s="131"/>
      <c r="J33" s="5">
        <f>K33+L33</f>
        <v>27011</v>
      </c>
      <c r="K33" s="11">
        <v>27011</v>
      </c>
      <c r="L33" s="99"/>
    </row>
    <row r="34" spans="1:12" x14ac:dyDescent="0.25">
      <c r="A34" s="4" t="s">
        <v>40</v>
      </c>
      <c r="B34" s="668" t="s">
        <v>375</v>
      </c>
      <c r="C34" s="669"/>
      <c r="D34" s="130">
        <f t="shared" ref="D34:D45" si="8">SUM(E34:F34)</f>
        <v>41765</v>
      </c>
      <c r="E34" s="29">
        <f>SUM(E35:E37)</f>
        <v>41765</v>
      </c>
      <c r="F34" s="133">
        <f>SUM(F35:F37)</f>
        <v>0</v>
      </c>
      <c r="G34" s="130">
        <f t="shared" si="7"/>
        <v>47214</v>
      </c>
      <c r="H34" s="29">
        <f>SUM(H35:H37)</f>
        <v>47214</v>
      </c>
      <c r="I34" s="133">
        <f>SUM(I35:I37)</f>
        <v>0</v>
      </c>
      <c r="J34" s="5">
        <f>SUM(J35:J37)</f>
        <v>41405</v>
      </c>
      <c r="K34" s="11">
        <f>SUM(K35:K37)</f>
        <v>41405</v>
      </c>
      <c r="L34" s="99"/>
    </row>
    <row r="35" spans="1:12" x14ac:dyDescent="0.25">
      <c r="A35" s="4"/>
      <c r="B35" s="28" t="s">
        <v>42</v>
      </c>
      <c r="C35" s="126" t="s">
        <v>43</v>
      </c>
      <c r="D35" s="130">
        <f t="shared" si="8"/>
        <v>36715</v>
      </c>
      <c r="E35" s="29">
        <f>41765-4500-550</f>
        <v>36715</v>
      </c>
      <c r="F35" s="131"/>
      <c r="G35" s="130">
        <f t="shared" si="7"/>
        <v>39927</v>
      </c>
      <c r="H35" s="29">
        <f>41765-4500-550+3212</f>
        <v>39927</v>
      </c>
      <c r="I35" s="131"/>
      <c r="J35" s="5">
        <f t="shared" ref="J35:J46" si="9">K35+L35</f>
        <v>35606</v>
      </c>
      <c r="K35" s="11">
        <v>35606</v>
      </c>
      <c r="L35" s="99"/>
    </row>
    <row r="36" spans="1:12" x14ac:dyDescent="0.25">
      <c r="A36" s="4"/>
      <c r="B36" s="28" t="s">
        <v>44</v>
      </c>
      <c r="C36" s="126" t="s">
        <v>45</v>
      </c>
      <c r="D36" s="130">
        <f t="shared" si="8"/>
        <v>4500</v>
      </c>
      <c r="E36" s="29">
        <v>4500</v>
      </c>
      <c r="F36" s="131"/>
      <c r="G36" s="130">
        <f t="shared" si="7"/>
        <v>6120</v>
      </c>
      <c r="H36" s="29">
        <v>6120</v>
      </c>
      <c r="I36" s="131"/>
      <c r="J36" s="5">
        <f t="shared" si="9"/>
        <v>5268</v>
      </c>
      <c r="K36" s="11">
        <v>5268</v>
      </c>
      <c r="L36" s="99"/>
    </row>
    <row r="37" spans="1:12" x14ac:dyDescent="0.25">
      <c r="A37" s="4"/>
      <c r="B37" s="28" t="s">
        <v>46</v>
      </c>
      <c r="C37" s="126" t="s">
        <v>47</v>
      </c>
      <c r="D37" s="130">
        <f t="shared" si="8"/>
        <v>550</v>
      </c>
      <c r="E37" s="29">
        <v>550</v>
      </c>
      <c r="F37" s="131"/>
      <c r="G37" s="130">
        <f t="shared" si="7"/>
        <v>1167</v>
      </c>
      <c r="H37" s="29">
        <v>1167</v>
      </c>
      <c r="I37" s="131"/>
      <c r="J37" s="5">
        <f t="shared" si="9"/>
        <v>531</v>
      </c>
      <c r="K37" s="11">
        <v>531</v>
      </c>
      <c r="L37" s="99"/>
    </row>
    <row r="38" spans="1:12" x14ac:dyDescent="0.25">
      <c r="A38" s="4" t="s">
        <v>48</v>
      </c>
      <c r="B38" s="668" t="s">
        <v>49</v>
      </c>
      <c r="C38" s="669"/>
      <c r="D38" s="130">
        <f t="shared" si="8"/>
        <v>179325</v>
      </c>
      <c r="E38" s="29">
        <f>SUM(E39:E41)</f>
        <v>179325</v>
      </c>
      <c r="F38" s="131">
        <f>SUM(F39:F41)</f>
        <v>0</v>
      </c>
      <c r="G38" s="132">
        <f t="shared" si="7"/>
        <v>155629</v>
      </c>
      <c r="H38" s="29">
        <f>SUM(H39:H41)</f>
        <v>155629</v>
      </c>
      <c r="I38" s="131">
        <f>SUM(I39:I41)</f>
        <v>0</v>
      </c>
      <c r="J38" s="5">
        <f>SUM(J39:J41)</f>
        <v>152710</v>
      </c>
      <c r="K38" s="11">
        <f>SUM(K39:K41)</f>
        <v>152710</v>
      </c>
      <c r="L38" s="99"/>
    </row>
    <row r="39" spans="1:12" x14ac:dyDescent="0.25">
      <c r="A39" s="4"/>
      <c r="B39" s="30" t="s">
        <v>50</v>
      </c>
      <c r="C39" s="321" t="s">
        <v>51</v>
      </c>
      <c r="D39" s="130">
        <f t="shared" si="8"/>
        <v>179325</v>
      </c>
      <c r="E39" s="29">
        <f>173719+4676+300+629+1</f>
        <v>179325</v>
      </c>
      <c r="F39" s="131"/>
      <c r="G39" s="132">
        <f t="shared" si="7"/>
        <v>155629</v>
      </c>
      <c r="H39" s="29">
        <f>173719+4676+300+629+1-46853+12956+583+9618</f>
        <v>155629</v>
      </c>
      <c r="I39" s="131"/>
      <c r="J39" s="5">
        <f t="shared" si="9"/>
        <v>152710</v>
      </c>
      <c r="K39" s="11">
        <v>152710</v>
      </c>
      <c r="L39" s="99"/>
    </row>
    <row r="40" spans="1:12" x14ac:dyDescent="0.25">
      <c r="A40" s="4"/>
      <c r="B40" s="30" t="s">
        <v>52</v>
      </c>
      <c r="C40" s="321" t="s">
        <v>53</v>
      </c>
      <c r="D40" s="130">
        <f t="shared" si="8"/>
        <v>0</v>
      </c>
      <c r="E40" s="29"/>
      <c r="F40" s="131"/>
      <c r="G40" s="132">
        <f t="shared" si="7"/>
        <v>0</v>
      </c>
      <c r="H40" s="29"/>
      <c r="I40" s="131"/>
      <c r="J40" s="5">
        <f t="shared" si="9"/>
        <v>0</v>
      </c>
      <c r="K40" s="11"/>
      <c r="L40" s="99"/>
    </row>
    <row r="41" spans="1:12" x14ac:dyDescent="0.25">
      <c r="A41" s="4"/>
      <c r="B41" s="30" t="s">
        <v>54</v>
      </c>
      <c r="C41" s="321" t="s">
        <v>55</v>
      </c>
      <c r="D41" s="130">
        <f t="shared" si="8"/>
        <v>0</v>
      </c>
      <c r="E41" s="29"/>
      <c r="F41" s="131"/>
      <c r="G41" s="132">
        <f t="shared" si="7"/>
        <v>0</v>
      </c>
      <c r="H41" s="29"/>
      <c r="I41" s="131"/>
      <c r="J41" s="5">
        <f t="shared" si="9"/>
        <v>0</v>
      </c>
      <c r="K41" s="11"/>
      <c r="L41" s="99"/>
    </row>
    <row r="42" spans="1:12" x14ac:dyDescent="0.25">
      <c r="A42" s="4" t="s">
        <v>9</v>
      </c>
      <c r="B42" s="668" t="s">
        <v>56</v>
      </c>
      <c r="C42" s="669"/>
      <c r="D42" s="130">
        <f t="shared" si="8"/>
        <v>16423</v>
      </c>
      <c r="E42" s="29">
        <f t="shared" ref="E42:L42" si="10">SUM(E43:E46)</f>
        <v>9074</v>
      </c>
      <c r="F42" s="133">
        <f t="shared" si="10"/>
        <v>7349</v>
      </c>
      <c r="G42" s="132">
        <f t="shared" si="10"/>
        <v>24357</v>
      </c>
      <c r="H42" s="29">
        <f t="shared" si="10"/>
        <v>17004</v>
      </c>
      <c r="I42" s="133">
        <f t="shared" si="10"/>
        <v>7353</v>
      </c>
      <c r="J42" s="5">
        <f t="shared" si="10"/>
        <v>22175</v>
      </c>
      <c r="K42" s="11">
        <f t="shared" si="10"/>
        <v>14822</v>
      </c>
      <c r="L42" s="99">
        <f t="shared" si="10"/>
        <v>7353</v>
      </c>
    </row>
    <row r="43" spans="1:12" x14ac:dyDescent="0.25">
      <c r="A43" s="4"/>
      <c r="B43" s="30" t="s">
        <v>57</v>
      </c>
      <c r="C43" s="321" t="s">
        <v>58</v>
      </c>
      <c r="D43" s="130">
        <f t="shared" si="8"/>
        <v>15193</v>
      </c>
      <c r="E43" s="29">
        <v>7844</v>
      </c>
      <c r="F43" s="131">
        <f>5414+1935</f>
        <v>7349</v>
      </c>
      <c r="G43" s="132">
        <f>SUM(H43:I43)</f>
        <v>24357</v>
      </c>
      <c r="H43" s="29">
        <f>7844+557+10+5579+741+2273</f>
        <v>17004</v>
      </c>
      <c r="I43" s="131">
        <f>5414+1935+4</f>
        <v>7353</v>
      </c>
      <c r="J43" s="5">
        <f t="shared" si="9"/>
        <v>22175</v>
      </c>
      <c r="K43" s="11">
        <v>14822</v>
      </c>
      <c r="L43" s="99">
        <v>7353</v>
      </c>
    </row>
    <row r="44" spans="1:12" x14ac:dyDescent="0.25">
      <c r="A44" s="4"/>
      <c r="B44" s="30" t="s">
        <v>59</v>
      </c>
      <c r="C44" s="321" t="s">
        <v>60</v>
      </c>
      <c r="D44" s="130">
        <f t="shared" si="8"/>
        <v>0</v>
      </c>
      <c r="E44" s="29"/>
      <c r="F44" s="131"/>
      <c r="G44" s="132"/>
      <c r="H44" s="29"/>
      <c r="I44" s="131"/>
      <c r="J44" s="5">
        <f t="shared" si="9"/>
        <v>0</v>
      </c>
      <c r="K44" s="11"/>
      <c r="L44" s="99"/>
    </row>
    <row r="45" spans="1:12" x14ac:dyDescent="0.25">
      <c r="A45" s="4"/>
      <c r="B45" s="30" t="s">
        <v>61</v>
      </c>
      <c r="C45" s="321" t="s">
        <v>376</v>
      </c>
      <c r="D45" s="130">
        <f t="shared" si="8"/>
        <v>1230</v>
      </c>
      <c r="E45" s="29">
        <v>1230</v>
      </c>
      <c r="F45" s="131"/>
      <c r="G45" s="132"/>
      <c r="H45" s="29"/>
      <c r="I45" s="131"/>
      <c r="J45" s="5">
        <f t="shared" si="9"/>
        <v>0</v>
      </c>
      <c r="K45" s="11"/>
      <c r="L45" s="99"/>
    </row>
    <row r="46" spans="1:12" x14ac:dyDescent="0.25">
      <c r="A46" s="4"/>
      <c r="B46" s="30" t="s">
        <v>63</v>
      </c>
      <c r="C46" s="321" t="s">
        <v>64</v>
      </c>
      <c r="D46" s="132"/>
      <c r="E46" s="29"/>
      <c r="F46" s="131">
        <f>SUM(D46:D46)</f>
        <v>0</v>
      </c>
      <c r="G46" s="132"/>
      <c r="H46" s="29"/>
      <c r="I46" s="131">
        <f>SUM(G46:G46)</f>
        <v>0</v>
      </c>
      <c r="J46" s="5">
        <f t="shared" si="9"/>
        <v>0</v>
      </c>
      <c r="K46" s="11"/>
      <c r="L46" s="99"/>
    </row>
    <row r="47" spans="1:12" x14ac:dyDescent="0.25">
      <c r="A47" s="31" t="s">
        <v>22</v>
      </c>
      <c r="B47" s="436" t="s">
        <v>65</v>
      </c>
      <c r="C47" s="648"/>
      <c r="D47" s="132">
        <f t="shared" ref="D47:L47" si="11">+D33+D34+D38+D42</f>
        <v>251880</v>
      </c>
      <c r="E47" s="29">
        <f t="shared" si="11"/>
        <v>244531</v>
      </c>
      <c r="F47" s="133">
        <f t="shared" si="11"/>
        <v>7349</v>
      </c>
      <c r="G47" s="132">
        <f t="shared" si="11"/>
        <v>258067</v>
      </c>
      <c r="H47" s="29">
        <f t="shared" si="11"/>
        <v>250714</v>
      </c>
      <c r="I47" s="133">
        <f t="shared" si="11"/>
        <v>7353</v>
      </c>
      <c r="J47" s="27">
        <f t="shared" si="11"/>
        <v>243301</v>
      </c>
      <c r="K47" s="29">
        <f t="shared" si="11"/>
        <v>235948</v>
      </c>
      <c r="L47" s="133">
        <f t="shared" si="11"/>
        <v>7353</v>
      </c>
    </row>
    <row r="48" spans="1:12" x14ac:dyDescent="0.25">
      <c r="A48" s="4" t="s">
        <v>11</v>
      </c>
      <c r="B48" s="668" t="s">
        <v>66</v>
      </c>
      <c r="C48" s="669"/>
      <c r="D48" s="132">
        <f t="shared" ref="D48:I48" si="12">SUM(D49:D50)</f>
        <v>15141</v>
      </c>
      <c r="E48" s="29">
        <f t="shared" si="12"/>
        <v>0</v>
      </c>
      <c r="F48" s="133">
        <f t="shared" si="12"/>
        <v>15141</v>
      </c>
      <c r="G48" s="132">
        <f t="shared" si="12"/>
        <v>14381</v>
      </c>
      <c r="H48" s="29">
        <f t="shared" si="12"/>
        <v>0</v>
      </c>
      <c r="I48" s="133">
        <f t="shared" si="12"/>
        <v>14381</v>
      </c>
      <c r="J48" s="5">
        <f>SUM(J49:J50)</f>
        <v>12838</v>
      </c>
      <c r="K48" s="11">
        <f t="shared" ref="K48:L48" si="13">SUM(K49:K50)</f>
        <v>0</v>
      </c>
      <c r="L48" s="99">
        <f t="shared" si="13"/>
        <v>12838</v>
      </c>
    </row>
    <row r="49" spans="1:12" x14ac:dyDescent="0.25">
      <c r="A49" s="4"/>
      <c r="B49" s="30" t="s">
        <v>67</v>
      </c>
      <c r="C49" s="321" t="s">
        <v>68</v>
      </c>
      <c r="D49" s="132">
        <f>+E49+F49</f>
        <v>5372</v>
      </c>
      <c r="E49" s="29"/>
      <c r="F49" s="131">
        <v>5372</v>
      </c>
      <c r="G49" s="132">
        <v>8022</v>
      </c>
      <c r="H49" s="29"/>
      <c r="I49" s="131">
        <f>5372+2650</f>
        <v>8022</v>
      </c>
      <c r="J49" s="5">
        <f>K49+L49</f>
        <v>7234</v>
      </c>
      <c r="K49" s="11"/>
      <c r="L49" s="99">
        <v>7234</v>
      </c>
    </row>
    <row r="50" spans="1:12" x14ac:dyDescent="0.25">
      <c r="A50" s="4"/>
      <c r="B50" s="30" t="s">
        <v>69</v>
      </c>
      <c r="C50" s="321" t="s">
        <v>70</v>
      </c>
      <c r="D50" s="132">
        <f>+E50+F50</f>
        <v>9769</v>
      </c>
      <c r="E50" s="29"/>
      <c r="F50" s="131">
        <v>9769</v>
      </c>
      <c r="G50" s="132">
        <v>6359</v>
      </c>
      <c r="H50" s="29"/>
      <c r="I50" s="131">
        <f>9769-3410</f>
        <v>6359</v>
      </c>
      <c r="J50" s="5">
        <f>K50+L50</f>
        <v>5604</v>
      </c>
      <c r="K50" s="11"/>
      <c r="L50" s="99">
        <v>5604</v>
      </c>
    </row>
    <row r="51" spans="1:12" x14ac:dyDescent="0.25">
      <c r="A51" s="4" t="s">
        <v>24</v>
      </c>
      <c r="B51" s="668" t="s">
        <v>71</v>
      </c>
      <c r="C51" s="669"/>
      <c r="D51" s="132">
        <f>SUM(D52:D53)</f>
        <v>0</v>
      </c>
      <c r="E51" s="29">
        <f>SUM(E52:E53)</f>
        <v>0</v>
      </c>
      <c r="F51" s="131">
        <f t="shared" ref="F51:F57" si="14">SUM(D51:D51)</f>
        <v>0</v>
      </c>
      <c r="G51" s="132">
        <f>SUM(G52:G53)</f>
        <v>0</v>
      </c>
      <c r="H51" s="29">
        <f>SUM(H52:H53)</f>
        <v>0</v>
      </c>
      <c r="I51" s="131">
        <f>SUM(G51:G51)</f>
        <v>0</v>
      </c>
      <c r="J51" s="5"/>
      <c r="K51" s="11"/>
      <c r="L51" s="99"/>
    </row>
    <row r="52" spans="1:12" x14ac:dyDescent="0.25">
      <c r="A52" s="4"/>
      <c r="B52" s="30" t="s">
        <v>72</v>
      </c>
      <c r="C52" s="321" t="s">
        <v>73</v>
      </c>
      <c r="D52" s="132"/>
      <c r="E52" s="29"/>
      <c r="F52" s="131">
        <f t="shared" si="14"/>
        <v>0</v>
      </c>
      <c r="G52" s="132"/>
      <c r="H52" s="29"/>
      <c r="I52" s="131">
        <f>SUM(G52:G52)</f>
        <v>0</v>
      </c>
      <c r="J52" s="5"/>
      <c r="K52" s="11"/>
      <c r="L52" s="99"/>
    </row>
    <row r="53" spans="1:12" x14ac:dyDescent="0.25">
      <c r="A53" s="4"/>
      <c r="B53" s="30" t="s">
        <v>74</v>
      </c>
      <c r="C53" s="321" t="s">
        <v>75</v>
      </c>
      <c r="D53" s="132">
        <v>0</v>
      </c>
      <c r="E53" s="29"/>
      <c r="F53" s="131">
        <f t="shared" si="14"/>
        <v>0</v>
      </c>
      <c r="G53" s="132">
        <v>0</v>
      </c>
      <c r="H53" s="29"/>
      <c r="I53" s="131">
        <f>SUM(G53:G53)</f>
        <v>0</v>
      </c>
      <c r="J53" s="5"/>
      <c r="K53" s="11"/>
      <c r="L53" s="99"/>
    </row>
    <row r="54" spans="1:12" x14ac:dyDescent="0.25">
      <c r="A54" s="4" t="s">
        <v>26</v>
      </c>
      <c r="B54" s="668" t="s">
        <v>76</v>
      </c>
      <c r="C54" s="669"/>
      <c r="D54" s="132">
        <f t="shared" ref="D54:I54" si="15">SUM(D55:D57)</f>
        <v>24113</v>
      </c>
      <c r="E54" s="29">
        <f t="shared" si="15"/>
        <v>0</v>
      </c>
      <c r="F54" s="131">
        <f t="shared" si="15"/>
        <v>24113</v>
      </c>
      <c r="G54" s="132">
        <v>28177</v>
      </c>
      <c r="H54" s="29">
        <f t="shared" si="15"/>
        <v>0</v>
      </c>
      <c r="I54" s="131">
        <f t="shared" si="15"/>
        <v>28177</v>
      </c>
      <c r="J54" s="5">
        <f>SUM(J55:J57)</f>
        <v>27980</v>
      </c>
      <c r="K54" s="11">
        <f t="shared" ref="K54:L54" si="16">SUM(K55:K57)</f>
        <v>0</v>
      </c>
      <c r="L54" s="99">
        <f t="shared" si="16"/>
        <v>27980</v>
      </c>
    </row>
    <row r="55" spans="1:12" x14ac:dyDescent="0.25">
      <c r="A55" s="4"/>
      <c r="B55" s="30" t="s">
        <v>77</v>
      </c>
      <c r="C55" s="321" t="s">
        <v>78</v>
      </c>
      <c r="D55" s="132">
        <f>+E55+F55</f>
        <v>24113</v>
      </c>
      <c r="E55" s="29"/>
      <c r="F55" s="131">
        <f>23555+558</f>
        <v>24113</v>
      </c>
      <c r="G55" s="132">
        <v>27981</v>
      </c>
      <c r="H55" s="29"/>
      <c r="I55" s="131">
        <f>23555+558+99+3615+154</f>
        <v>27981</v>
      </c>
      <c r="J55" s="5">
        <f>K55+L55</f>
        <v>27980</v>
      </c>
      <c r="K55" s="11"/>
      <c r="L55" s="99">
        <v>27980</v>
      </c>
    </row>
    <row r="56" spans="1:12" x14ac:dyDescent="0.25">
      <c r="A56" s="4"/>
      <c r="B56" s="30" t="s">
        <v>79</v>
      </c>
      <c r="C56" s="321" t="s">
        <v>377</v>
      </c>
      <c r="D56" s="132"/>
      <c r="E56" s="29"/>
      <c r="F56" s="131">
        <f t="shared" si="14"/>
        <v>0</v>
      </c>
      <c r="G56" s="132">
        <v>196</v>
      </c>
      <c r="H56" s="29"/>
      <c r="I56" s="131">
        <v>196</v>
      </c>
      <c r="J56" s="5">
        <f t="shared" ref="J56:J57" si="17">K56+L56</f>
        <v>0</v>
      </c>
      <c r="K56" s="11"/>
      <c r="L56" s="99"/>
    </row>
    <row r="57" spans="1:12" x14ac:dyDescent="0.25">
      <c r="A57" s="4"/>
      <c r="B57" s="30" t="s">
        <v>81</v>
      </c>
      <c r="C57" s="321" t="s">
        <v>82</v>
      </c>
      <c r="D57" s="132"/>
      <c r="E57" s="29"/>
      <c r="F57" s="131">
        <f t="shared" si="14"/>
        <v>0</v>
      </c>
      <c r="G57" s="132"/>
      <c r="H57" s="29"/>
      <c r="I57" s="131">
        <f>SUM(G57:G57)</f>
        <v>0</v>
      </c>
      <c r="J57" s="5">
        <f t="shared" si="17"/>
        <v>0</v>
      </c>
      <c r="K57" s="11"/>
      <c r="L57" s="99"/>
    </row>
    <row r="58" spans="1:12" x14ac:dyDescent="0.25">
      <c r="A58" s="31" t="s">
        <v>30</v>
      </c>
      <c r="B58" s="670" t="s">
        <v>83</v>
      </c>
      <c r="C58" s="671"/>
      <c r="D58" s="132">
        <f t="shared" ref="D58:L58" si="18">+D48+D51+D54</f>
        <v>39254</v>
      </c>
      <c r="E58" s="29">
        <f t="shared" si="18"/>
        <v>0</v>
      </c>
      <c r="F58" s="133">
        <f t="shared" si="18"/>
        <v>39254</v>
      </c>
      <c r="G58" s="132">
        <f t="shared" si="18"/>
        <v>42558</v>
      </c>
      <c r="H58" s="29">
        <f t="shared" si="18"/>
        <v>0</v>
      </c>
      <c r="I58" s="133">
        <f t="shared" si="18"/>
        <v>42558</v>
      </c>
      <c r="J58" s="27">
        <f t="shared" si="18"/>
        <v>40818</v>
      </c>
      <c r="K58" s="29">
        <f t="shared" si="18"/>
        <v>0</v>
      </c>
      <c r="L58" s="133">
        <f t="shared" si="18"/>
        <v>40818</v>
      </c>
    </row>
    <row r="59" spans="1:12" x14ac:dyDescent="0.25">
      <c r="A59" s="31" t="s">
        <v>32</v>
      </c>
      <c r="B59" s="436" t="s">
        <v>84</v>
      </c>
      <c r="C59" s="648"/>
      <c r="D59" s="134"/>
      <c r="E59" s="33"/>
      <c r="F59" s="135"/>
      <c r="G59" s="134"/>
      <c r="H59" s="33"/>
      <c r="I59" s="135"/>
      <c r="J59" s="5"/>
      <c r="K59" s="11"/>
      <c r="L59" s="99"/>
    </row>
    <row r="60" spans="1:12" x14ac:dyDescent="0.25">
      <c r="A60" s="31" t="s">
        <v>33</v>
      </c>
      <c r="B60" s="436" t="s">
        <v>85</v>
      </c>
      <c r="C60" s="648"/>
      <c r="D60" s="134"/>
      <c r="E60" s="33"/>
      <c r="F60" s="135"/>
      <c r="G60" s="134"/>
      <c r="H60" s="33"/>
      <c r="I60" s="135"/>
      <c r="J60" s="5"/>
      <c r="K60" s="11"/>
      <c r="L60" s="99"/>
    </row>
    <row r="61" spans="1:12" ht="18.75" x14ac:dyDescent="0.3">
      <c r="A61" s="19" t="s">
        <v>86</v>
      </c>
      <c r="B61" s="430" t="s">
        <v>87</v>
      </c>
      <c r="C61" s="649"/>
      <c r="D61" s="136">
        <f t="shared" ref="D61:L61" si="19">+D47+D58+D59+D60</f>
        <v>291134</v>
      </c>
      <c r="E61" s="35">
        <f t="shared" si="19"/>
        <v>244531</v>
      </c>
      <c r="F61" s="137">
        <f t="shared" si="19"/>
        <v>46603</v>
      </c>
      <c r="G61" s="136">
        <f t="shared" si="19"/>
        <v>300625</v>
      </c>
      <c r="H61" s="35">
        <f t="shared" si="19"/>
        <v>250714</v>
      </c>
      <c r="I61" s="137">
        <f t="shared" si="19"/>
        <v>49911</v>
      </c>
      <c r="J61" s="164">
        <f t="shared" si="19"/>
        <v>284119</v>
      </c>
      <c r="K61" s="35">
        <f t="shared" si="19"/>
        <v>235948</v>
      </c>
      <c r="L61" s="137">
        <f t="shared" si="19"/>
        <v>48171</v>
      </c>
    </row>
    <row r="62" spans="1:12" ht="18.75" x14ac:dyDescent="0.3">
      <c r="A62" s="19"/>
      <c r="B62" s="430" t="s">
        <v>88</v>
      </c>
      <c r="C62" s="649"/>
      <c r="D62" s="138">
        <f t="shared" ref="D62:L62" si="20">+D30-D61</f>
        <v>-70375</v>
      </c>
      <c r="E62" s="20">
        <f t="shared" si="20"/>
        <v>-64839</v>
      </c>
      <c r="F62" s="22">
        <f t="shared" si="20"/>
        <v>-5536</v>
      </c>
      <c r="G62" s="138">
        <f t="shared" si="20"/>
        <v>-79393</v>
      </c>
      <c r="H62" s="20">
        <f t="shared" si="20"/>
        <v>-96375</v>
      </c>
      <c r="I62" s="22">
        <f t="shared" si="20"/>
        <v>16982</v>
      </c>
      <c r="J62" s="40">
        <f t="shared" si="20"/>
        <v>-109820</v>
      </c>
      <c r="K62" s="20">
        <f t="shared" si="20"/>
        <v>-117131</v>
      </c>
      <c r="L62" s="22">
        <f t="shared" si="20"/>
        <v>7311</v>
      </c>
    </row>
    <row r="63" spans="1:12" ht="18.75" x14ac:dyDescent="0.3">
      <c r="A63" s="19"/>
      <c r="B63" s="436" t="s">
        <v>186</v>
      </c>
      <c r="C63" s="648"/>
      <c r="D63" s="138"/>
      <c r="E63" s="20"/>
      <c r="F63" s="22"/>
      <c r="G63" s="138"/>
      <c r="H63" s="20"/>
      <c r="I63" s="22"/>
      <c r="J63" s="5"/>
      <c r="K63" s="11"/>
      <c r="L63" s="99"/>
    </row>
    <row r="64" spans="1:12" x14ac:dyDescent="0.25">
      <c r="A64" s="31" t="s">
        <v>34</v>
      </c>
      <c r="B64" s="436" t="s">
        <v>89</v>
      </c>
      <c r="C64" s="648"/>
      <c r="D64" s="122">
        <f>+E64+F64</f>
        <v>23072</v>
      </c>
      <c r="E64" s="12">
        <f>SUM(E65:E66)</f>
        <v>23072</v>
      </c>
      <c r="F64" s="100">
        <f>SUM(F65:F66)</f>
        <v>0</v>
      </c>
      <c r="G64" s="122">
        <f>+H64+I64</f>
        <v>22993</v>
      </c>
      <c r="H64" s="12">
        <f>SUM(H65:H66)</f>
        <v>22993</v>
      </c>
      <c r="I64" s="100">
        <f>SUM(I65:I66)</f>
        <v>0</v>
      </c>
      <c r="J64" s="5">
        <f>SUM(J65:J66)</f>
        <v>22993</v>
      </c>
      <c r="K64" s="11">
        <f t="shared" ref="K64:L64" si="21">SUM(K65:K66)</f>
        <v>22993</v>
      </c>
      <c r="L64" s="99">
        <f t="shared" si="21"/>
        <v>0</v>
      </c>
    </row>
    <row r="65" spans="1:12" ht="42" customHeight="1" x14ac:dyDescent="0.3">
      <c r="A65" s="19"/>
      <c r="B65" s="38" t="s">
        <v>38</v>
      </c>
      <c r="C65" s="321" t="s">
        <v>90</v>
      </c>
      <c r="D65" s="122">
        <f>+E65+F65</f>
        <v>23072</v>
      </c>
      <c r="E65" s="12">
        <v>23072</v>
      </c>
      <c r="F65" s="102"/>
      <c r="G65" s="122">
        <f>+H65+I65</f>
        <v>22993</v>
      </c>
      <c r="H65" s="12">
        <f>23072-79</f>
        <v>22993</v>
      </c>
      <c r="I65" s="102"/>
      <c r="J65" s="5">
        <f t="shared" ref="J65:J66" si="22">K65+L65</f>
        <v>22993</v>
      </c>
      <c r="K65" s="11">
        <v>22993</v>
      </c>
      <c r="L65" s="99"/>
    </row>
    <row r="66" spans="1:12" ht="18.75" x14ac:dyDescent="0.3">
      <c r="A66" s="19"/>
      <c r="B66" s="38" t="s">
        <v>40</v>
      </c>
      <c r="C66" s="321" t="s">
        <v>91</v>
      </c>
      <c r="D66" s="139"/>
      <c r="E66" s="20"/>
      <c r="F66" s="57"/>
      <c r="G66" s="139"/>
      <c r="H66" s="20"/>
      <c r="I66" s="57"/>
      <c r="J66" s="5">
        <f t="shared" si="22"/>
        <v>0</v>
      </c>
      <c r="K66" s="11"/>
      <c r="L66" s="99"/>
    </row>
    <row r="67" spans="1:12" ht="18.75" x14ac:dyDescent="0.3">
      <c r="A67" s="19" t="s">
        <v>92</v>
      </c>
      <c r="B67" s="486" t="s">
        <v>93</v>
      </c>
      <c r="C67" s="644"/>
      <c r="D67" s="138">
        <f>+E67+F67</f>
        <v>23072</v>
      </c>
      <c r="E67" s="20">
        <f>+E65</f>
        <v>23072</v>
      </c>
      <c r="F67" s="22">
        <f>+F64</f>
        <v>0</v>
      </c>
      <c r="G67" s="138">
        <f>+H67+I67</f>
        <v>22993</v>
      </c>
      <c r="H67" s="20">
        <f>+H65</f>
        <v>22993</v>
      </c>
      <c r="I67" s="22">
        <f>+I64</f>
        <v>0</v>
      </c>
      <c r="J67" s="40">
        <f>+K67+L67</f>
        <v>22993</v>
      </c>
      <c r="K67" s="20">
        <f>+K65</f>
        <v>22993</v>
      </c>
      <c r="L67" s="22">
        <f>+L64</f>
        <v>0</v>
      </c>
    </row>
    <row r="68" spans="1:12" ht="18.75" x14ac:dyDescent="0.3">
      <c r="A68" s="4" t="s">
        <v>94</v>
      </c>
      <c r="B68" s="434" t="s">
        <v>200</v>
      </c>
      <c r="C68" s="440"/>
      <c r="D68" s="138"/>
      <c r="E68" s="20"/>
      <c r="F68" s="61">
        <f t="shared" ref="F68:F80" si="23">SUM(D68:E68)</f>
        <v>0</v>
      </c>
      <c r="G68" s="138">
        <v>4559</v>
      </c>
      <c r="H68" s="20">
        <v>4559</v>
      </c>
      <c r="I68" s="61"/>
      <c r="J68" s="40">
        <v>4559</v>
      </c>
      <c r="K68" s="20">
        <v>4559</v>
      </c>
      <c r="L68" s="61"/>
    </row>
    <row r="69" spans="1:12" ht="18.75" x14ac:dyDescent="0.3">
      <c r="A69" s="4" t="s">
        <v>96</v>
      </c>
      <c r="B69" s="434" t="s">
        <v>97</v>
      </c>
      <c r="C69" s="440"/>
      <c r="D69" s="138">
        <f>SUM(D70:D73)</f>
        <v>0</v>
      </c>
      <c r="E69" s="20"/>
      <c r="F69" s="61">
        <f t="shared" si="23"/>
        <v>0</v>
      </c>
      <c r="G69" s="138">
        <f>SUM(G70:G73)</f>
        <v>0</v>
      </c>
      <c r="H69" s="20"/>
      <c r="I69" s="61">
        <f>SUM(G69:H69)</f>
        <v>0</v>
      </c>
      <c r="J69" s="5"/>
      <c r="K69" s="11"/>
      <c r="L69" s="99"/>
    </row>
    <row r="70" spans="1:12" ht="18.75" x14ac:dyDescent="0.3">
      <c r="A70" s="4"/>
      <c r="B70" s="30" t="s">
        <v>38</v>
      </c>
      <c r="C70" s="321" t="s">
        <v>98</v>
      </c>
      <c r="D70" s="139"/>
      <c r="E70" s="39"/>
      <c r="F70" s="102">
        <f t="shared" si="23"/>
        <v>0</v>
      </c>
      <c r="G70" s="139"/>
      <c r="H70" s="39"/>
      <c r="I70" s="102">
        <f>SUM(G70:H70)</f>
        <v>0</v>
      </c>
      <c r="J70" s="5"/>
      <c r="K70" s="11"/>
      <c r="L70" s="99"/>
    </row>
    <row r="71" spans="1:12" ht="18.75" x14ac:dyDescent="0.3">
      <c r="A71" s="4"/>
      <c r="B71" s="30" t="s">
        <v>40</v>
      </c>
      <c r="C71" s="321" t="s">
        <v>99</v>
      </c>
      <c r="D71" s="138"/>
      <c r="E71" s="20"/>
      <c r="F71" s="61">
        <f t="shared" si="23"/>
        <v>0</v>
      </c>
      <c r="G71" s="138"/>
      <c r="H71" s="20"/>
      <c r="I71" s="61">
        <f>SUM(G71:H71)</f>
        <v>0</v>
      </c>
      <c r="J71" s="5"/>
      <c r="K71" s="11"/>
      <c r="L71" s="99"/>
    </row>
    <row r="72" spans="1:12" ht="36.75" customHeight="1" x14ac:dyDescent="0.3">
      <c r="A72" s="4"/>
      <c r="B72" s="30" t="s">
        <v>48</v>
      </c>
      <c r="C72" s="321" t="s">
        <v>100</v>
      </c>
      <c r="D72" s="139"/>
      <c r="E72" s="20"/>
      <c r="F72" s="61"/>
      <c r="G72" s="139"/>
      <c r="H72" s="20"/>
      <c r="I72" s="61"/>
      <c r="J72" s="5"/>
      <c r="K72" s="11"/>
      <c r="L72" s="99"/>
    </row>
    <row r="73" spans="1:12" ht="18.75" x14ac:dyDescent="0.3">
      <c r="A73" s="4"/>
      <c r="B73" s="30" t="s">
        <v>9</v>
      </c>
      <c r="C73" s="321" t="s">
        <v>101</v>
      </c>
      <c r="D73" s="139"/>
      <c r="E73" s="20"/>
      <c r="F73" s="61"/>
      <c r="G73" s="139"/>
      <c r="H73" s="20"/>
      <c r="I73" s="61"/>
      <c r="J73" s="5"/>
      <c r="K73" s="11"/>
      <c r="L73" s="99"/>
    </row>
    <row r="74" spans="1:12" ht="45" customHeight="1" x14ac:dyDescent="0.3">
      <c r="A74" s="19" t="s">
        <v>102</v>
      </c>
      <c r="B74" s="484" t="s">
        <v>103</v>
      </c>
      <c r="C74" s="650"/>
      <c r="D74" s="138">
        <f>+D68+D69</f>
        <v>0</v>
      </c>
      <c r="E74" s="20"/>
      <c r="F74" s="61">
        <f t="shared" si="23"/>
        <v>0</v>
      </c>
      <c r="G74" s="138">
        <f>+G68+G69</f>
        <v>4559</v>
      </c>
      <c r="H74" s="20">
        <v>4559</v>
      </c>
      <c r="I74" s="61"/>
      <c r="J74" s="40">
        <f>+J68+J69</f>
        <v>4559</v>
      </c>
      <c r="K74" s="20">
        <v>4559</v>
      </c>
      <c r="L74" s="61"/>
    </row>
    <row r="75" spans="1:12" ht="18.75" x14ac:dyDescent="0.3">
      <c r="A75" s="19" t="s">
        <v>104</v>
      </c>
      <c r="B75" s="430" t="s">
        <v>105</v>
      </c>
      <c r="C75" s="649"/>
      <c r="D75" s="138">
        <f t="shared" ref="D75:L75" si="24">+D67+D74</f>
        <v>23072</v>
      </c>
      <c r="E75" s="20">
        <f t="shared" si="24"/>
        <v>23072</v>
      </c>
      <c r="F75" s="22">
        <f t="shared" si="24"/>
        <v>0</v>
      </c>
      <c r="G75" s="138">
        <f t="shared" si="24"/>
        <v>27552</v>
      </c>
      <c r="H75" s="20">
        <f t="shared" si="24"/>
        <v>27552</v>
      </c>
      <c r="I75" s="22">
        <f t="shared" si="24"/>
        <v>0</v>
      </c>
      <c r="J75" s="40">
        <f t="shared" si="24"/>
        <v>27552</v>
      </c>
      <c r="K75" s="20">
        <f t="shared" si="24"/>
        <v>27552</v>
      </c>
      <c r="L75" s="22">
        <f t="shared" si="24"/>
        <v>0</v>
      </c>
    </row>
    <row r="76" spans="1:12" ht="18.75" x14ac:dyDescent="0.3">
      <c r="A76" s="4" t="s">
        <v>106</v>
      </c>
      <c r="B76" s="434" t="s">
        <v>107</v>
      </c>
      <c r="C76" s="440"/>
      <c r="D76" s="138">
        <f>+E76+F76</f>
        <v>93447</v>
      </c>
      <c r="E76" s="20">
        <f>34265+60182-1000</f>
        <v>93447</v>
      </c>
      <c r="F76" s="61"/>
      <c r="G76" s="138">
        <v>96539</v>
      </c>
      <c r="H76" s="20">
        <f>34265+60182-1000+741-123+2474</f>
        <v>96539</v>
      </c>
      <c r="I76" s="61"/>
      <c r="J76" s="349">
        <v>93065</v>
      </c>
      <c r="K76" s="346">
        <v>93065</v>
      </c>
      <c r="L76" s="99"/>
    </row>
    <row r="77" spans="1:12" ht="18.75" x14ac:dyDescent="0.3">
      <c r="A77" s="4" t="s">
        <v>108</v>
      </c>
      <c r="B77" s="434" t="s">
        <v>109</v>
      </c>
      <c r="C77" s="440"/>
      <c r="D77" s="139">
        <f>SUM(D78:D80)</f>
        <v>0</v>
      </c>
      <c r="E77" s="39"/>
      <c r="F77" s="102">
        <f t="shared" si="23"/>
        <v>0</v>
      </c>
      <c r="G77" s="139">
        <f>SUM(G78:G80)</f>
        <v>0</v>
      </c>
      <c r="H77" s="39"/>
      <c r="I77" s="102">
        <f>SUM(G77:H77)</f>
        <v>0</v>
      </c>
      <c r="J77" s="5"/>
      <c r="K77" s="11"/>
      <c r="L77" s="99"/>
    </row>
    <row r="78" spans="1:12" ht="18.75" x14ac:dyDescent="0.3">
      <c r="A78" s="4"/>
      <c r="B78" s="30" t="s">
        <v>38</v>
      </c>
      <c r="C78" s="321" t="s">
        <v>110</v>
      </c>
      <c r="D78" s="139"/>
      <c r="E78" s="39"/>
      <c r="F78" s="102">
        <f t="shared" si="23"/>
        <v>0</v>
      </c>
      <c r="G78" s="139"/>
      <c r="H78" s="39"/>
      <c r="I78" s="102">
        <f>SUM(G78:H78)</f>
        <v>0</v>
      </c>
      <c r="J78" s="5"/>
      <c r="K78" s="11"/>
      <c r="L78" s="99"/>
    </row>
    <row r="79" spans="1:12" ht="18.75" x14ac:dyDescent="0.3">
      <c r="A79" s="4"/>
      <c r="B79" s="30" t="s">
        <v>40</v>
      </c>
      <c r="C79" s="321" t="s">
        <v>111</v>
      </c>
      <c r="D79" s="139"/>
      <c r="E79" s="39"/>
      <c r="F79" s="102">
        <f t="shared" si="23"/>
        <v>0</v>
      </c>
      <c r="G79" s="139"/>
      <c r="H79" s="39"/>
      <c r="I79" s="102">
        <f>SUM(G79:H79)</f>
        <v>0</v>
      </c>
      <c r="J79" s="5"/>
      <c r="K79" s="11"/>
      <c r="L79" s="99"/>
    </row>
    <row r="80" spans="1:12" ht="18.75" x14ac:dyDescent="0.3">
      <c r="A80" s="4"/>
      <c r="B80" s="30" t="s">
        <v>48</v>
      </c>
      <c r="C80" s="321" t="s">
        <v>112</v>
      </c>
      <c r="D80" s="139"/>
      <c r="E80" s="39"/>
      <c r="F80" s="102">
        <f t="shared" si="23"/>
        <v>0</v>
      </c>
      <c r="G80" s="139"/>
      <c r="H80" s="39"/>
      <c r="I80" s="102">
        <f>SUM(G80:H80)</f>
        <v>0</v>
      </c>
      <c r="J80" s="5"/>
      <c r="K80" s="11"/>
      <c r="L80" s="99"/>
    </row>
    <row r="81" spans="1:12" ht="18.75" x14ac:dyDescent="0.3">
      <c r="A81" s="4" t="s">
        <v>378</v>
      </c>
      <c r="B81" s="434" t="s">
        <v>379</v>
      </c>
      <c r="C81" s="440"/>
      <c r="D81" s="139"/>
      <c r="E81" s="39"/>
      <c r="F81" s="102"/>
      <c r="G81" s="139">
        <v>10406</v>
      </c>
      <c r="H81" s="39">
        <f>5847+4559</f>
        <v>10406</v>
      </c>
      <c r="I81" s="102"/>
      <c r="J81" s="5">
        <v>5846</v>
      </c>
      <c r="K81" s="11">
        <v>5846</v>
      </c>
      <c r="L81" s="99"/>
    </row>
    <row r="82" spans="1:12" ht="18.75" x14ac:dyDescent="0.3">
      <c r="A82" s="19" t="s">
        <v>113</v>
      </c>
      <c r="B82" s="430" t="s">
        <v>114</v>
      </c>
      <c r="C82" s="649"/>
      <c r="D82" s="138">
        <f t="shared" ref="D82:I82" si="25">+D76+D77</f>
        <v>93447</v>
      </c>
      <c r="E82" s="20">
        <f t="shared" si="25"/>
        <v>93447</v>
      </c>
      <c r="F82" s="22">
        <f t="shared" si="25"/>
        <v>0</v>
      </c>
      <c r="G82" s="138">
        <f>+G76+G77+G81</f>
        <v>106945</v>
      </c>
      <c r="H82" s="20">
        <f>+H76+H77+H81</f>
        <v>106945</v>
      </c>
      <c r="I82" s="22">
        <f t="shared" si="25"/>
        <v>0</v>
      </c>
      <c r="J82" s="40">
        <f>+J76+J77+J81</f>
        <v>98911</v>
      </c>
      <c r="K82" s="20">
        <f>+K76+K77+K81</f>
        <v>98911</v>
      </c>
      <c r="L82" s="22">
        <f t="shared" ref="L82" si="26">+L76+L77</f>
        <v>0</v>
      </c>
    </row>
    <row r="83" spans="1:12" ht="18.75" x14ac:dyDescent="0.3">
      <c r="A83" s="19" t="s">
        <v>115</v>
      </c>
      <c r="B83" s="430" t="s">
        <v>116</v>
      </c>
      <c r="C83" s="649"/>
      <c r="D83" s="140">
        <f t="shared" ref="D83:I83" si="27">+D30+D82</f>
        <v>314206</v>
      </c>
      <c r="E83" s="44">
        <f t="shared" si="27"/>
        <v>273139</v>
      </c>
      <c r="F83" s="46">
        <f t="shared" si="27"/>
        <v>41067</v>
      </c>
      <c r="G83" s="140">
        <f t="shared" si="27"/>
        <v>328177</v>
      </c>
      <c r="H83" s="44">
        <f t="shared" si="27"/>
        <v>261284</v>
      </c>
      <c r="I83" s="46">
        <f t="shared" si="27"/>
        <v>66893</v>
      </c>
      <c r="J83" s="165">
        <f t="shared" ref="J83:L83" si="28">+J30+J82</f>
        <v>273210</v>
      </c>
      <c r="K83" s="44">
        <f t="shared" si="28"/>
        <v>217728</v>
      </c>
      <c r="L83" s="46">
        <f t="shared" si="28"/>
        <v>55482</v>
      </c>
    </row>
    <row r="84" spans="1:12" ht="19.5" thickBot="1" x14ac:dyDescent="0.35">
      <c r="A84" s="47" t="s">
        <v>117</v>
      </c>
      <c r="B84" s="48" t="s">
        <v>118</v>
      </c>
      <c r="C84" s="127"/>
      <c r="D84" s="152">
        <f t="shared" ref="D84:I84" si="29">+D61+D75</f>
        <v>314206</v>
      </c>
      <c r="E84" s="63">
        <f t="shared" si="29"/>
        <v>267603</v>
      </c>
      <c r="F84" s="49">
        <f t="shared" si="29"/>
        <v>46603</v>
      </c>
      <c r="G84" s="152">
        <f t="shared" si="29"/>
        <v>328177</v>
      </c>
      <c r="H84" s="63">
        <f t="shared" si="29"/>
        <v>278266</v>
      </c>
      <c r="I84" s="49">
        <f t="shared" si="29"/>
        <v>49911</v>
      </c>
      <c r="J84" s="151">
        <f t="shared" ref="J84:L84" si="30">+J61+J75</f>
        <v>311671</v>
      </c>
      <c r="K84" s="63">
        <f t="shared" si="30"/>
        <v>263500</v>
      </c>
      <c r="L84" s="49">
        <f t="shared" si="30"/>
        <v>48171</v>
      </c>
    </row>
    <row r="85" spans="1:12" x14ac:dyDescent="0.2">
      <c r="B85" s="51"/>
      <c r="C85" s="51"/>
      <c r="D85" s="341"/>
      <c r="E85" s="341"/>
      <c r="F85" s="341"/>
    </row>
    <row r="86" spans="1:12" x14ac:dyDescent="0.2">
      <c r="B86" s="51"/>
      <c r="C86" s="51"/>
      <c r="D86" s="52">
        <f>+D84-D83</f>
        <v>0</v>
      </c>
      <c r="E86" s="52"/>
      <c r="F86" s="52"/>
      <c r="G86" s="52">
        <f>+G84-G83</f>
        <v>0</v>
      </c>
      <c r="H86" s="342">
        <f>SUM(E86:G86)</f>
        <v>0</v>
      </c>
    </row>
    <row r="87" spans="1:12" x14ac:dyDescent="0.2">
      <c r="B87" s="51"/>
      <c r="C87" s="51"/>
      <c r="D87" s="341"/>
      <c r="E87" s="341"/>
      <c r="F87" s="341"/>
    </row>
    <row r="88" spans="1:12" x14ac:dyDescent="0.2">
      <c r="B88" s="51"/>
      <c r="C88" s="51"/>
      <c r="D88" s="341"/>
      <c r="E88" s="341"/>
      <c r="F88" s="341"/>
    </row>
    <row r="89" spans="1:12" x14ac:dyDescent="0.2">
      <c r="B89" s="51"/>
      <c r="C89" s="51"/>
      <c r="D89" s="341"/>
      <c r="E89" s="341"/>
      <c r="F89" s="341"/>
    </row>
    <row r="90" spans="1:12" x14ac:dyDescent="0.2">
      <c r="B90" s="51"/>
      <c r="C90" s="51"/>
      <c r="D90" s="341"/>
      <c r="E90" s="341"/>
      <c r="F90" s="341"/>
    </row>
    <row r="91" spans="1:12" x14ac:dyDescent="0.2">
      <c r="B91" s="51"/>
      <c r="C91" s="51"/>
      <c r="D91" s="341"/>
      <c r="E91" s="341"/>
      <c r="F91" s="341"/>
    </row>
    <row r="92" spans="1:12" x14ac:dyDescent="0.2">
      <c r="B92" s="51"/>
      <c r="C92" s="51"/>
      <c r="D92" s="341"/>
      <c r="E92" s="341"/>
      <c r="F92" s="341"/>
    </row>
    <row r="93" spans="1:12" x14ac:dyDescent="0.2">
      <c r="B93" s="51"/>
      <c r="C93" s="51"/>
      <c r="D93" s="341"/>
      <c r="E93" s="341"/>
      <c r="F93" s="341"/>
    </row>
    <row r="94" spans="1:12" x14ac:dyDescent="0.2">
      <c r="B94" s="51"/>
      <c r="C94" s="51"/>
      <c r="D94" s="341"/>
      <c r="E94" s="341"/>
      <c r="F94" s="341"/>
    </row>
    <row r="95" spans="1:12" x14ac:dyDescent="0.2">
      <c r="B95" s="51"/>
      <c r="C95" s="51"/>
      <c r="D95" s="341"/>
      <c r="E95" s="341"/>
      <c r="F95" s="341"/>
    </row>
    <row r="96" spans="1:12" x14ac:dyDescent="0.2">
      <c r="B96" s="51"/>
      <c r="C96" s="51"/>
      <c r="D96" s="341"/>
      <c r="E96" s="341"/>
      <c r="F96" s="341"/>
    </row>
    <row r="97" spans="2:6" x14ac:dyDescent="0.2">
      <c r="B97" s="51"/>
      <c r="C97" s="51"/>
      <c r="D97" s="341"/>
      <c r="E97" s="341"/>
      <c r="F97" s="341"/>
    </row>
    <row r="98" spans="2:6" x14ac:dyDescent="0.2">
      <c r="B98" s="51"/>
      <c r="C98" s="51"/>
      <c r="D98" s="341"/>
      <c r="E98" s="341"/>
      <c r="F98" s="341"/>
    </row>
    <row r="99" spans="2:6" x14ac:dyDescent="0.2">
      <c r="B99" s="51"/>
      <c r="C99" s="51"/>
      <c r="D99" s="341"/>
      <c r="E99" s="341"/>
      <c r="F99" s="341"/>
    </row>
    <row r="100" spans="2:6" x14ac:dyDescent="0.2">
      <c r="B100" s="51"/>
      <c r="C100" s="51"/>
      <c r="D100" s="341"/>
      <c r="E100" s="341"/>
      <c r="F100" s="341"/>
    </row>
    <row r="101" spans="2:6" x14ac:dyDescent="0.2">
      <c r="B101" s="51"/>
      <c r="C101" s="51"/>
      <c r="D101" s="341"/>
      <c r="E101" s="341"/>
      <c r="F101" s="341"/>
    </row>
    <row r="102" spans="2:6" x14ac:dyDescent="0.2">
      <c r="B102" s="51"/>
      <c r="C102" s="51"/>
      <c r="D102" s="341"/>
      <c r="E102" s="341"/>
      <c r="F102" s="341"/>
    </row>
    <row r="103" spans="2:6" x14ac:dyDescent="0.2">
      <c r="B103" s="51"/>
      <c r="C103" s="51"/>
      <c r="D103" s="341"/>
      <c r="E103" s="341"/>
      <c r="F103" s="341"/>
    </row>
    <row r="104" spans="2:6" x14ac:dyDescent="0.2">
      <c r="B104" s="51"/>
      <c r="C104" s="51"/>
      <c r="D104" s="341"/>
      <c r="E104" s="341"/>
      <c r="F104" s="341"/>
    </row>
    <row r="105" spans="2:6" x14ac:dyDescent="0.2">
      <c r="B105" s="51"/>
      <c r="C105" s="51"/>
      <c r="D105" s="341"/>
      <c r="E105" s="341"/>
      <c r="F105" s="341"/>
    </row>
    <row r="106" spans="2:6" x14ac:dyDescent="0.2">
      <c r="B106" s="51"/>
      <c r="C106" s="51"/>
      <c r="D106" s="341"/>
      <c r="E106" s="341"/>
      <c r="F106" s="341"/>
    </row>
  </sheetData>
  <mergeCells count="66">
    <mergeCell ref="L6:L7"/>
    <mergeCell ref="J8:L8"/>
    <mergeCell ref="G6:G7"/>
    <mergeCell ref="H6:H7"/>
    <mergeCell ref="I6:I7"/>
    <mergeCell ref="G8:I8"/>
    <mergeCell ref="J6:J7"/>
    <mergeCell ref="K6:K7"/>
    <mergeCell ref="B74:C74"/>
    <mergeCell ref="B75:C75"/>
    <mergeCell ref="B76:C76"/>
    <mergeCell ref="B77:C77"/>
    <mergeCell ref="B62:C62"/>
    <mergeCell ref="B67:C67"/>
    <mergeCell ref="B63:C63"/>
    <mergeCell ref="B64:C64"/>
    <mergeCell ref="B68:C68"/>
    <mergeCell ref="B69:C69"/>
    <mergeCell ref="B29:C29"/>
    <mergeCell ref="B30:C30"/>
    <mergeCell ref="B31:C31"/>
    <mergeCell ref="B61:C61"/>
    <mergeCell ref="B33:C33"/>
    <mergeCell ref="B47:C47"/>
    <mergeCell ref="B34:C34"/>
    <mergeCell ref="B38:C38"/>
    <mergeCell ref="B42:C42"/>
    <mergeCell ref="B48:C48"/>
    <mergeCell ref="B51:C51"/>
    <mergeCell ref="B54:C54"/>
    <mergeCell ref="B58:C58"/>
    <mergeCell ref="B59:C59"/>
    <mergeCell ref="B60:C60"/>
    <mergeCell ref="B25:C25"/>
    <mergeCell ref="B26:C26"/>
    <mergeCell ref="B21:C21"/>
    <mergeCell ref="B27:C27"/>
    <mergeCell ref="B28:C28"/>
    <mergeCell ref="D8:F8"/>
    <mergeCell ref="B9:C9"/>
    <mergeCell ref="B10:C10"/>
    <mergeCell ref="B11:C11"/>
    <mergeCell ref="B12:C12"/>
    <mergeCell ref="D6:D7"/>
    <mergeCell ref="E6:E7"/>
    <mergeCell ref="F6:F7"/>
    <mergeCell ref="A1:F1"/>
    <mergeCell ref="A3:F3"/>
    <mergeCell ref="A4:F4"/>
    <mergeCell ref="A5:F5"/>
    <mergeCell ref="B81:C81"/>
    <mergeCell ref="B82:C82"/>
    <mergeCell ref="B83:C83"/>
    <mergeCell ref="A6:A8"/>
    <mergeCell ref="B6:C8"/>
    <mergeCell ref="B19:C19"/>
    <mergeCell ref="B13:C13"/>
    <mergeCell ref="B14:C14"/>
    <mergeCell ref="B15:C15"/>
    <mergeCell ref="B16:C16"/>
    <mergeCell ref="B17:C17"/>
    <mergeCell ref="B18:C18"/>
    <mergeCell ref="B32:C32"/>
    <mergeCell ref="B20:C20"/>
    <mergeCell ref="B23:C23"/>
    <mergeCell ref="B24:C24"/>
  </mergeCells>
  <phoneticPr fontId="12" type="noConversion"/>
  <pageMargins left="0.15748031496062992" right="0.15748031496062992" top="0.15748031496062992" bottom="0.15748031496062992" header="0.15748031496062992" footer="0.15748031496062992"/>
  <pageSetup paperSize="9" scale="4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view="pageBreakPreview" zoomScale="75" zoomScaleNormal="100" workbookViewId="0">
      <selection sqref="A1:H1"/>
    </sheetView>
  </sheetViews>
  <sheetFormatPr defaultRowHeight="12.75" x14ac:dyDescent="0.2"/>
  <cols>
    <col min="1" max="1" width="5.7109375" bestFit="1" customWidth="1"/>
    <col min="3" max="3" width="74.42578125" customWidth="1"/>
    <col min="4" max="4" width="13.42578125" bestFit="1" customWidth="1"/>
    <col min="5" max="6" width="13.42578125" customWidth="1"/>
    <col min="7" max="7" width="12.5703125" bestFit="1" customWidth="1"/>
    <col min="8" max="8" width="11.7109375" customWidth="1"/>
    <col min="9" max="9" width="12.5703125" bestFit="1" customWidth="1"/>
  </cols>
  <sheetData>
    <row r="1" spans="1:9" ht="18.75" x14ac:dyDescent="0.3">
      <c r="A1" s="446" t="s">
        <v>367</v>
      </c>
      <c r="B1" s="447"/>
      <c r="C1" s="447"/>
      <c r="D1" s="447"/>
      <c r="E1" s="447"/>
      <c r="F1" s="447"/>
      <c r="G1" s="447"/>
      <c r="H1" s="447"/>
      <c r="I1" s="1"/>
    </row>
    <row r="2" spans="1:9" ht="15.75" x14ac:dyDescent="0.2">
      <c r="A2" s="449"/>
      <c r="B2" s="449"/>
      <c r="C2" s="449"/>
      <c r="D2" s="449"/>
      <c r="E2" s="449"/>
      <c r="F2" s="449"/>
      <c r="G2" s="449"/>
      <c r="H2" s="449"/>
      <c r="I2" s="1"/>
    </row>
    <row r="3" spans="1:9" ht="15.75" x14ac:dyDescent="0.25">
      <c r="A3" s="448" t="s">
        <v>190</v>
      </c>
      <c r="B3" s="448"/>
      <c r="C3" s="448"/>
      <c r="D3" s="448"/>
      <c r="E3" s="448"/>
      <c r="F3" s="448"/>
      <c r="G3" s="448"/>
      <c r="H3" s="448"/>
      <c r="I3" s="1"/>
    </row>
    <row r="4" spans="1:9" ht="15.75" x14ac:dyDescent="0.2">
      <c r="A4" s="449" t="s">
        <v>1</v>
      </c>
      <c r="B4" s="449"/>
      <c r="C4" s="449"/>
      <c r="D4" s="449"/>
      <c r="E4" s="449"/>
      <c r="F4" s="449"/>
      <c r="G4" s="449"/>
      <c r="H4" s="449"/>
      <c r="I4" s="1"/>
    </row>
    <row r="5" spans="1:9" ht="16.5" thickBot="1" x14ac:dyDescent="0.3">
      <c r="A5" s="636" t="s">
        <v>2</v>
      </c>
      <c r="B5" s="636"/>
      <c r="C5" s="636"/>
      <c r="D5" s="636"/>
      <c r="E5" s="636"/>
      <c r="F5" s="636"/>
      <c r="G5" s="636"/>
      <c r="H5" s="636"/>
      <c r="I5" s="1"/>
    </row>
    <row r="6" spans="1:9" ht="12.75" customHeight="1" x14ac:dyDescent="0.2">
      <c r="A6" s="453" t="s">
        <v>3</v>
      </c>
      <c r="B6" s="456" t="s">
        <v>4</v>
      </c>
      <c r="C6" s="456"/>
      <c r="D6" s="657" t="s">
        <v>193</v>
      </c>
      <c r="E6" s="451" t="s">
        <v>196</v>
      </c>
      <c r="F6" s="657" t="s">
        <v>194</v>
      </c>
      <c r="G6" s="451" t="s">
        <v>195</v>
      </c>
      <c r="H6" s="657" t="s">
        <v>208</v>
      </c>
      <c r="I6" s="451" t="s">
        <v>209</v>
      </c>
    </row>
    <row r="7" spans="1:9" ht="38.25" customHeight="1" x14ac:dyDescent="0.2">
      <c r="A7" s="454"/>
      <c r="B7" s="458"/>
      <c r="C7" s="458"/>
      <c r="D7" s="493"/>
      <c r="E7" s="452"/>
      <c r="F7" s="493"/>
      <c r="G7" s="452"/>
      <c r="H7" s="493"/>
      <c r="I7" s="452"/>
    </row>
    <row r="8" spans="1:9" ht="15.75" thickBot="1" x14ac:dyDescent="0.25">
      <c r="A8" s="629"/>
      <c r="B8" s="632"/>
      <c r="C8" s="632"/>
      <c r="D8" s="664" t="s">
        <v>192</v>
      </c>
      <c r="E8" s="664"/>
      <c r="F8" s="664"/>
      <c r="G8" s="664"/>
      <c r="H8" s="664"/>
      <c r="I8" s="106"/>
    </row>
    <row r="9" spans="1:9" ht="16.5" thickBot="1" x14ac:dyDescent="0.25">
      <c r="A9" s="2"/>
      <c r="B9" s="456" t="s">
        <v>5</v>
      </c>
      <c r="C9" s="456"/>
      <c r="D9" s="143"/>
      <c r="E9" s="143"/>
      <c r="F9" s="143"/>
      <c r="G9" s="143"/>
      <c r="H9" s="143"/>
      <c r="I9" s="146"/>
    </row>
    <row r="10" spans="1:9" ht="15.75" x14ac:dyDescent="0.25">
      <c r="A10" s="4">
        <v>1</v>
      </c>
      <c r="B10" s="442" t="s">
        <v>6</v>
      </c>
      <c r="C10" s="637"/>
      <c r="D10" s="5">
        <v>25421</v>
      </c>
      <c r="E10" s="5">
        <v>25421</v>
      </c>
      <c r="F10" s="144">
        <f>+G10</f>
        <v>26390</v>
      </c>
      <c r="G10" s="5">
        <f>25421+262+707</f>
        <v>26390</v>
      </c>
      <c r="H10" s="147">
        <v>26237</v>
      </c>
      <c r="I10" s="147">
        <v>26237</v>
      </c>
    </row>
    <row r="11" spans="1:9" ht="15.75" x14ac:dyDescent="0.25">
      <c r="A11" s="4">
        <v>2</v>
      </c>
      <c r="B11" s="442" t="s">
        <v>7</v>
      </c>
      <c r="C11" s="637"/>
      <c r="D11" s="5">
        <v>6908</v>
      </c>
      <c r="E11" s="5">
        <v>6908</v>
      </c>
      <c r="F11" s="121">
        <f t="shared" ref="F11:F29" si="0">+G11</f>
        <v>7090</v>
      </c>
      <c r="G11" s="5">
        <f>6908+182</f>
        <v>7090</v>
      </c>
      <c r="H11" s="148">
        <v>6580</v>
      </c>
      <c r="I11" s="148">
        <v>6580</v>
      </c>
    </row>
    <row r="12" spans="1:9" ht="15.75" x14ac:dyDescent="0.25">
      <c r="A12" s="4">
        <v>3</v>
      </c>
      <c r="B12" s="442" t="s">
        <v>8</v>
      </c>
      <c r="C12" s="637"/>
      <c r="D12" s="5">
        <v>4737</v>
      </c>
      <c r="E12" s="5">
        <v>4737</v>
      </c>
      <c r="F12" s="121">
        <f t="shared" si="0"/>
        <v>6732</v>
      </c>
      <c r="G12" s="5">
        <f>4737+1995</f>
        <v>6732</v>
      </c>
      <c r="H12" s="148">
        <v>4066</v>
      </c>
      <c r="I12" s="148">
        <v>4066</v>
      </c>
    </row>
    <row r="13" spans="1:9" ht="15.75" x14ac:dyDescent="0.25">
      <c r="A13" s="4" t="s">
        <v>9</v>
      </c>
      <c r="B13" s="442" t="s">
        <v>10</v>
      </c>
      <c r="C13" s="637"/>
      <c r="D13" s="5"/>
      <c r="E13" s="5"/>
      <c r="F13" s="121">
        <f t="shared" si="0"/>
        <v>0</v>
      </c>
      <c r="G13" s="5"/>
      <c r="H13" s="148"/>
      <c r="I13" s="7"/>
    </row>
    <row r="14" spans="1:9" ht="15.75" x14ac:dyDescent="0.2">
      <c r="A14" s="4" t="s">
        <v>11</v>
      </c>
      <c r="B14" s="476" t="s">
        <v>12</v>
      </c>
      <c r="C14" s="638"/>
      <c r="D14" s="5"/>
      <c r="E14" s="5"/>
      <c r="F14" s="121">
        <f t="shared" si="0"/>
        <v>0</v>
      </c>
      <c r="G14" s="5"/>
      <c r="H14" s="121">
        <f>+I14</f>
        <v>0</v>
      </c>
      <c r="I14" s="99"/>
    </row>
    <row r="15" spans="1:9" ht="15.75" x14ac:dyDescent="0.2">
      <c r="A15" s="4" t="s">
        <v>13</v>
      </c>
      <c r="B15" s="478" t="s">
        <v>14</v>
      </c>
      <c r="C15" s="639"/>
      <c r="D15" s="5"/>
      <c r="E15" s="5"/>
      <c r="F15" s="121">
        <f t="shared" si="0"/>
        <v>0</v>
      </c>
      <c r="G15" s="5"/>
      <c r="H15" s="121">
        <f>+I15</f>
        <v>0</v>
      </c>
      <c r="I15" s="7"/>
    </row>
    <row r="16" spans="1:9" ht="15.75" x14ac:dyDescent="0.25">
      <c r="A16" s="4" t="s">
        <v>15</v>
      </c>
      <c r="B16" s="478" t="s">
        <v>16</v>
      </c>
      <c r="C16" s="639"/>
      <c r="D16" s="5"/>
      <c r="E16" s="5"/>
      <c r="F16" s="121">
        <f t="shared" si="0"/>
        <v>0</v>
      </c>
      <c r="G16" s="5"/>
      <c r="H16" s="148"/>
      <c r="I16" s="7"/>
    </row>
    <row r="17" spans="1:9" ht="15.75" x14ac:dyDescent="0.25">
      <c r="A17" s="4"/>
      <c r="B17" s="640" t="s">
        <v>120</v>
      </c>
      <c r="C17" s="480"/>
      <c r="D17" s="5"/>
      <c r="E17" s="5"/>
      <c r="F17" s="121">
        <f t="shared" si="0"/>
        <v>0</v>
      </c>
      <c r="G17" s="5"/>
      <c r="H17" s="148"/>
      <c r="I17" s="7"/>
    </row>
    <row r="18" spans="1:9" ht="15.75" x14ac:dyDescent="0.25">
      <c r="A18" s="4" t="s">
        <v>17</v>
      </c>
      <c r="B18" s="482" t="s">
        <v>18</v>
      </c>
      <c r="C18" s="641"/>
      <c r="D18" s="5"/>
      <c r="E18" s="5"/>
      <c r="F18" s="121">
        <f t="shared" si="0"/>
        <v>0</v>
      </c>
      <c r="G18" s="5"/>
      <c r="H18" s="148"/>
      <c r="I18" s="7"/>
    </row>
    <row r="19" spans="1:9" ht="15.75" x14ac:dyDescent="0.25">
      <c r="A19" s="4" t="s">
        <v>19</v>
      </c>
      <c r="B19" s="482" t="s">
        <v>20</v>
      </c>
      <c r="C19" s="642"/>
      <c r="D19" s="5"/>
      <c r="E19" s="5"/>
      <c r="F19" s="121">
        <f t="shared" si="0"/>
        <v>0</v>
      </c>
      <c r="G19" s="5"/>
      <c r="H19" s="148"/>
      <c r="I19" s="7"/>
    </row>
    <row r="20" spans="1:9" ht="15.75" x14ac:dyDescent="0.25">
      <c r="A20" s="4"/>
      <c r="B20" s="442" t="s">
        <v>21</v>
      </c>
      <c r="C20" s="637"/>
      <c r="D20" s="15"/>
      <c r="E20" s="15"/>
      <c r="F20" s="121">
        <f t="shared" si="0"/>
        <v>0</v>
      </c>
      <c r="G20" s="15"/>
      <c r="H20" s="148"/>
      <c r="I20" s="7"/>
    </row>
    <row r="21" spans="1:9" ht="15.75" x14ac:dyDescent="0.2">
      <c r="A21" s="4" t="s">
        <v>22</v>
      </c>
      <c r="B21" s="9" t="s">
        <v>23</v>
      </c>
      <c r="C21" s="120"/>
      <c r="D21" s="99">
        <f>+D10+D11+D12+D13+D14+D20</f>
        <v>37066</v>
      </c>
      <c r="E21" s="99">
        <f>+E10+E11+E12+E13+E14+E20</f>
        <v>37066</v>
      </c>
      <c r="F21" s="121">
        <f t="shared" si="0"/>
        <v>40212</v>
      </c>
      <c r="G21" s="99">
        <f>+G10+G11+G12+G13+G14+G20</f>
        <v>40212</v>
      </c>
      <c r="H21" s="121">
        <f>+H10+H11+H12+H13+H14+H20</f>
        <v>36883</v>
      </c>
      <c r="I21" s="99">
        <f>+I10+I11+I12+I13+I14+I20</f>
        <v>36883</v>
      </c>
    </row>
    <row r="22" spans="1:9" ht="15.75" x14ac:dyDescent="0.25">
      <c r="A22" s="4" t="s">
        <v>24</v>
      </c>
      <c r="B22" s="442" t="s">
        <v>25</v>
      </c>
      <c r="C22" s="637"/>
      <c r="D22" s="15"/>
      <c r="E22" s="15"/>
      <c r="F22" s="121">
        <f t="shared" si="0"/>
        <v>16</v>
      </c>
      <c r="G22" s="15">
        <v>16</v>
      </c>
      <c r="H22" s="148">
        <v>15</v>
      </c>
      <c r="I22" s="7">
        <v>15</v>
      </c>
    </row>
    <row r="23" spans="1:9" ht="15.75" x14ac:dyDescent="0.25">
      <c r="A23" s="4" t="s">
        <v>26</v>
      </c>
      <c r="B23" s="442" t="s">
        <v>27</v>
      </c>
      <c r="C23" s="637"/>
      <c r="D23" s="15"/>
      <c r="E23" s="15"/>
      <c r="F23" s="121">
        <f t="shared" si="0"/>
        <v>0</v>
      </c>
      <c r="G23" s="15"/>
      <c r="H23" s="148"/>
      <c r="I23" s="7"/>
    </row>
    <row r="24" spans="1:9" ht="15.75" x14ac:dyDescent="0.25">
      <c r="A24" s="4" t="s">
        <v>28</v>
      </c>
      <c r="B24" s="442" t="s">
        <v>29</v>
      </c>
      <c r="C24" s="637"/>
      <c r="D24" s="15"/>
      <c r="E24" s="15"/>
      <c r="F24" s="121">
        <f t="shared" si="0"/>
        <v>0</v>
      </c>
      <c r="G24" s="15"/>
      <c r="H24" s="148"/>
      <c r="I24" s="7"/>
    </row>
    <row r="25" spans="1:9" ht="15.75" x14ac:dyDescent="0.25">
      <c r="A25" s="4" t="s">
        <v>30</v>
      </c>
      <c r="B25" s="442" t="s">
        <v>31</v>
      </c>
      <c r="C25" s="637"/>
      <c r="D25" s="15"/>
      <c r="E25" s="15"/>
      <c r="F25" s="121">
        <f t="shared" si="0"/>
        <v>16</v>
      </c>
      <c r="G25" s="15">
        <v>16</v>
      </c>
      <c r="H25" s="148">
        <v>15</v>
      </c>
      <c r="I25" s="7">
        <v>15</v>
      </c>
    </row>
    <row r="26" spans="1:9" ht="15.75" x14ac:dyDescent="0.25">
      <c r="A26" s="4" t="s">
        <v>32</v>
      </c>
      <c r="B26" s="442"/>
      <c r="C26" s="637"/>
      <c r="D26" s="15"/>
      <c r="E26" s="15"/>
      <c r="F26" s="121">
        <f t="shared" si="0"/>
        <v>0</v>
      </c>
      <c r="G26" s="15"/>
      <c r="H26" s="148"/>
      <c r="I26" s="7"/>
    </row>
    <row r="27" spans="1:9" ht="15.75" x14ac:dyDescent="0.25">
      <c r="A27" s="4" t="s">
        <v>33</v>
      </c>
      <c r="B27" s="424"/>
      <c r="C27" s="643"/>
      <c r="D27" s="17"/>
      <c r="E27" s="17"/>
      <c r="F27" s="121">
        <f t="shared" si="0"/>
        <v>0</v>
      </c>
      <c r="G27" s="17"/>
      <c r="H27" s="148"/>
      <c r="I27" s="7"/>
    </row>
    <row r="28" spans="1:9" ht="15.75" x14ac:dyDescent="0.25">
      <c r="A28" s="4" t="s">
        <v>34</v>
      </c>
      <c r="B28" s="424"/>
      <c r="C28" s="643"/>
      <c r="D28" s="18"/>
      <c r="E28" s="18"/>
      <c r="F28" s="121">
        <f t="shared" si="0"/>
        <v>0</v>
      </c>
      <c r="G28" s="18"/>
      <c r="H28" s="148"/>
      <c r="I28" s="7"/>
    </row>
    <row r="29" spans="1:9" ht="20.25" thickBot="1" x14ac:dyDescent="0.35">
      <c r="A29" s="47" t="s">
        <v>35</v>
      </c>
      <c r="B29" s="678" t="s">
        <v>36</v>
      </c>
      <c r="C29" s="679"/>
      <c r="D29" s="22">
        <f>+D21+D25+D26+D27+D28</f>
        <v>37066</v>
      </c>
      <c r="E29" s="22">
        <f>+E21+E25+E26+E27+E28</f>
        <v>37066</v>
      </c>
      <c r="F29" s="149">
        <f t="shared" si="0"/>
        <v>40228</v>
      </c>
      <c r="G29" s="22">
        <f>+G21+G25+G26+G27+G28</f>
        <v>40228</v>
      </c>
      <c r="H29" s="124">
        <f t="shared" ref="H29:I29" si="1">+H21+H25+H26+H27+H28</f>
        <v>36898</v>
      </c>
      <c r="I29" s="109">
        <f t="shared" si="1"/>
        <v>36898</v>
      </c>
    </row>
    <row r="30" spans="1:9" ht="16.5" thickBot="1" x14ac:dyDescent="0.3">
      <c r="A30" s="110"/>
      <c r="B30" s="680"/>
      <c r="C30" s="680"/>
      <c r="D30" s="25"/>
      <c r="E30" s="25"/>
      <c r="F30" s="111"/>
      <c r="G30" s="25"/>
      <c r="H30" s="58"/>
      <c r="I30" s="58"/>
    </row>
    <row r="31" spans="1:9" ht="15.75" x14ac:dyDescent="0.25">
      <c r="A31" s="112"/>
      <c r="B31" s="681" t="s">
        <v>37</v>
      </c>
      <c r="C31" s="682"/>
      <c r="D31" s="15"/>
      <c r="E31" s="15"/>
      <c r="F31" s="128"/>
      <c r="G31" s="15"/>
      <c r="H31" s="147"/>
      <c r="I31" s="113"/>
    </row>
    <row r="32" spans="1:9" ht="15.75" x14ac:dyDescent="0.25">
      <c r="A32" s="4" t="s">
        <v>38</v>
      </c>
      <c r="B32" s="434" t="s">
        <v>39</v>
      </c>
      <c r="C32" s="440"/>
      <c r="D32" s="15"/>
      <c r="E32" s="15"/>
      <c r="F32" s="15">
        <f>+G32</f>
        <v>35</v>
      </c>
      <c r="G32" s="15">
        <v>35</v>
      </c>
      <c r="H32" s="148">
        <f>+I32</f>
        <v>34</v>
      </c>
      <c r="I32" s="7">
        <v>34</v>
      </c>
    </row>
    <row r="33" spans="1:9" ht="15.75" x14ac:dyDescent="0.25">
      <c r="A33" s="4" t="s">
        <v>40</v>
      </c>
      <c r="B33" s="434" t="s">
        <v>41</v>
      </c>
      <c r="C33" s="440"/>
      <c r="D33" s="15">
        <f>SUM(D34:D36)</f>
        <v>0</v>
      </c>
      <c r="E33" s="15">
        <f>SUM(E34:E36)</f>
        <v>0</v>
      </c>
      <c r="F33" s="15">
        <f>+G33</f>
        <v>0</v>
      </c>
      <c r="G33" s="15"/>
      <c r="H33" s="122">
        <f>+I33</f>
        <v>0</v>
      </c>
      <c r="I33" s="7"/>
    </row>
    <row r="34" spans="1:9" ht="15.75" x14ac:dyDescent="0.25">
      <c r="A34" s="4"/>
      <c r="B34" s="28" t="s">
        <v>42</v>
      </c>
      <c r="C34" s="126" t="s">
        <v>43</v>
      </c>
      <c r="D34" s="15"/>
      <c r="E34" s="15"/>
      <c r="F34" s="15"/>
      <c r="G34" s="15"/>
      <c r="H34" s="148"/>
      <c r="I34" s="7"/>
    </row>
    <row r="35" spans="1:9" ht="15.75" x14ac:dyDescent="0.25">
      <c r="A35" s="4"/>
      <c r="B35" s="28" t="s">
        <v>44</v>
      </c>
      <c r="C35" s="126" t="s">
        <v>45</v>
      </c>
      <c r="D35" s="15"/>
      <c r="E35" s="15"/>
      <c r="F35" s="15"/>
      <c r="G35" s="15"/>
      <c r="H35" s="148"/>
      <c r="I35" s="7"/>
    </row>
    <row r="36" spans="1:9" ht="15.75" x14ac:dyDescent="0.25">
      <c r="A36" s="4"/>
      <c r="B36" s="28" t="s">
        <v>46</v>
      </c>
      <c r="C36" s="126" t="s">
        <v>47</v>
      </c>
      <c r="D36" s="15"/>
      <c r="E36" s="15"/>
      <c r="F36" s="15"/>
      <c r="G36" s="15"/>
      <c r="H36" s="148"/>
      <c r="I36" s="7"/>
    </row>
    <row r="37" spans="1:9" ht="15.75" x14ac:dyDescent="0.25">
      <c r="A37" s="4" t="s">
        <v>48</v>
      </c>
      <c r="B37" s="434" t="s">
        <v>49</v>
      </c>
      <c r="C37" s="440"/>
      <c r="D37" s="15"/>
      <c r="E37" s="15"/>
      <c r="F37" s="15">
        <f>+G37</f>
        <v>0</v>
      </c>
      <c r="G37" s="15"/>
      <c r="H37" s="148">
        <f>SUM(H38:H40)</f>
        <v>0</v>
      </c>
      <c r="I37" s="7"/>
    </row>
    <row r="38" spans="1:9" ht="15.75" x14ac:dyDescent="0.25">
      <c r="A38" s="4"/>
      <c r="B38" s="30" t="s">
        <v>50</v>
      </c>
      <c r="C38" s="105" t="s">
        <v>51</v>
      </c>
      <c r="D38" s="15"/>
      <c r="E38" s="15"/>
      <c r="F38" s="15"/>
      <c r="G38" s="15"/>
      <c r="H38" s="148"/>
      <c r="I38" s="7"/>
    </row>
    <row r="39" spans="1:9" ht="15.75" x14ac:dyDescent="0.25">
      <c r="A39" s="4"/>
      <c r="B39" s="30" t="s">
        <v>52</v>
      </c>
      <c r="C39" s="105" t="s">
        <v>53</v>
      </c>
      <c r="D39" s="15"/>
      <c r="E39" s="15"/>
      <c r="F39" s="15"/>
      <c r="G39" s="15"/>
      <c r="H39" s="148">
        <f>SUM(D39:D39)</f>
        <v>0</v>
      </c>
      <c r="I39" s="7"/>
    </row>
    <row r="40" spans="1:9" ht="15.75" x14ac:dyDescent="0.25">
      <c r="A40" s="4"/>
      <c r="B40" s="30" t="s">
        <v>54</v>
      </c>
      <c r="C40" s="105" t="s">
        <v>55</v>
      </c>
      <c r="D40" s="15"/>
      <c r="E40" s="15"/>
      <c r="F40" s="15"/>
      <c r="G40" s="15"/>
      <c r="H40" s="148"/>
      <c r="I40" s="7"/>
    </row>
    <row r="41" spans="1:9" ht="15.75" x14ac:dyDescent="0.25">
      <c r="A41" s="4" t="s">
        <v>9</v>
      </c>
      <c r="B41" s="434" t="s">
        <v>56</v>
      </c>
      <c r="C41" s="440"/>
      <c r="D41" s="15">
        <f>SUM(D42:D45)</f>
        <v>995</v>
      </c>
      <c r="E41" s="15">
        <f>SUM(E42:E45)</f>
        <v>995</v>
      </c>
      <c r="F41" s="15">
        <f>+G41</f>
        <v>372</v>
      </c>
      <c r="G41" s="15">
        <v>372</v>
      </c>
      <c r="H41" s="122">
        <f>SUM(H42:H45)</f>
        <v>244</v>
      </c>
      <c r="I41" s="7">
        <v>244</v>
      </c>
    </row>
    <row r="42" spans="1:9" ht="15.75" x14ac:dyDescent="0.25">
      <c r="A42" s="4"/>
      <c r="B42" s="30" t="s">
        <v>57</v>
      </c>
      <c r="C42" s="105" t="s">
        <v>58</v>
      </c>
      <c r="D42" s="15">
        <v>995</v>
      </c>
      <c r="E42" s="15">
        <v>995</v>
      </c>
      <c r="F42" s="15">
        <f>+G42</f>
        <v>372</v>
      </c>
      <c r="G42" s="15">
        <f>995-741+118</f>
        <v>372</v>
      </c>
      <c r="H42" s="148">
        <v>244</v>
      </c>
      <c r="I42" s="7">
        <v>244</v>
      </c>
    </row>
    <row r="43" spans="1:9" ht="15.75" x14ac:dyDescent="0.25">
      <c r="A43" s="4"/>
      <c r="B43" s="30" t="s">
        <v>59</v>
      </c>
      <c r="C43" s="105" t="s">
        <v>60</v>
      </c>
      <c r="D43" s="15"/>
      <c r="E43" s="15"/>
      <c r="F43" s="15"/>
      <c r="G43" s="15"/>
      <c r="H43" s="148"/>
      <c r="I43" s="7"/>
    </row>
    <row r="44" spans="1:9" ht="15.75" x14ac:dyDescent="0.25">
      <c r="A44" s="4"/>
      <c r="B44" s="30" t="s">
        <v>61</v>
      </c>
      <c r="C44" s="105" t="s">
        <v>62</v>
      </c>
      <c r="D44" s="15"/>
      <c r="E44" s="15"/>
      <c r="F44" s="15"/>
      <c r="G44" s="15"/>
      <c r="H44" s="148"/>
      <c r="I44" s="7"/>
    </row>
    <row r="45" spans="1:9" ht="15.75" x14ac:dyDescent="0.25">
      <c r="A45" s="4"/>
      <c r="B45" s="30" t="s">
        <v>63</v>
      </c>
      <c r="C45" s="105" t="s">
        <v>64</v>
      </c>
      <c r="D45" s="15"/>
      <c r="E45" s="15"/>
      <c r="F45" s="15"/>
      <c r="G45" s="15"/>
      <c r="H45" s="148"/>
      <c r="I45" s="7"/>
    </row>
    <row r="46" spans="1:9" ht="15.75" x14ac:dyDescent="0.25">
      <c r="A46" s="31" t="s">
        <v>22</v>
      </c>
      <c r="B46" s="436" t="s">
        <v>65</v>
      </c>
      <c r="C46" s="648"/>
      <c r="D46" s="15">
        <f>+D32+D33+D37+D41</f>
        <v>995</v>
      </c>
      <c r="E46" s="15">
        <f>+E32+E33+E37+E41</f>
        <v>995</v>
      </c>
      <c r="F46" s="15">
        <f>+G46</f>
        <v>372</v>
      </c>
      <c r="G46" s="13">
        <v>372</v>
      </c>
      <c r="H46" s="122">
        <f>+H32+H33+H37+H41</f>
        <v>278</v>
      </c>
      <c r="I46" s="100">
        <f>+I32+I33+I37+I41</f>
        <v>278</v>
      </c>
    </row>
    <row r="47" spans="1:9" ht="15.75" x14ac:dyDescent="0.25">
      <c r="A47" s="4" t="s">
        <v>11</v>
      </c>
      <c r="B47" s="434" t="s">
        <v>66</v>
      </c>
      <c r="C47" s="440"/>
      <c r="D47" s="15">
        <f>SUM(D48:D49)</f>
        <v>0</v>
      </c>
      <c r="E47" s="15">
        <f>SUM(E48:E49)</f>
        <v>0</v>
      </c>
      <c r="F47" s="15">
        <f>+G47</f>
        <v>144</v>
      </c>
      <c r="G47" s="15">
        <v>144</v>
      </c>
      <c r="H47" s="122">
        <f>SUM(H48:H49)</f>
        <v>143</v>
      </c>
      <c r="I47" s="7">
        <v>143</v>
      </c>
    </row>
    <row r="48" spans="1:9" ht="15.75" x14ac:dyDescent="0.25">
      <c r="A48" s="4"/>
      <c r="B48" s="30" t="s">
        <v>67</v>
      </c>
      <c r="C48" s="105" t="s">
        <v>68</v>
      </c>
      <c r="D48" s="15"/>
      <c r="E48" s="15"/>
      <c r="F48" s="15">
        <v>144</v>
      </c>
      <c r="G48" s="15">
        <v>144</v>
      </c>
      <c r="H48" s="148">
        <v>143</v>
      </c>
      <c r="I48" s="7">
        <v>143</v>
      </c>
    </row>
    <row r="49" spans="1:9" ht="15.75" x14ac:dyDescent="0.25">
      <c r="A49" s="4"/>
      <c r="B49" s="30" t="s">
        <v>69</v>
      </c>
      <c r="C49" s="105" t="s">
        <v>70</v>
      </c>
      <c r="D49" s="15"/>
      <c r="E49" s="15"/>
      <c r="F49" s="15"/>
      <c r="G49" s="15"/>
      <c r="H49" s="148"/>
      <c r="I49" s="7"/>
    </row>
    <row r="50" spans="1:9" ht="15.75" x14ac:dyDescent="0.25">
      <c r="A50" s="4" t="s">
        <v>24</v>
      </c>
      <c r="B50" s="434" t="s">
        <v>71</v>
      </c>
      <c r="C50" s="440"/>
      <c r="D50" s="15">
        <f>SUM(D51:D52)</f>
        <v>0</v>
      </c>
      <c r="E50" s="15">
        <f>SUM(E51:E52)</f>
        <v>0</v>
      </c>
      <c r="F50" s="15">
        <f>+G50</f>
        <v>0</v>
      </c>
      <c r="G50" s="15"/>
      <c r="H50" s="148">
        <f>SUM(D50:D50)</f>
        <v>0</v>
      </c>
      <c r="I50" s="7"/>
    </row>
    <row r="51" spans="1:9" ht="15.75" x14ac:dyDescent="0.25">
      <c r="A51" s="4"/>
      <c r="B51" s="30" t="s">
        <v>72</v>
      </c>
      <c r="C51" s="105" t="s">
        <v>73</v>
      </c>
      <c r="D51" s="15"/>
      <c r="E51" s="15"/>
      <c r="F51" s="15"/>
      <c r="G51" s="15"/>
      <c r="H51" s="148"/>
      <c r="I51" s="7"/>
    </row>
    <row r="52" spans="1:9" ht="15.75" x14ac:dyDescent="0.25">
      <c r="A52" s="4"/>
      <c r="B52" s="30" t="s">
        <v>74</v>
      </c>
      <c r="C52" s="105" t="s">
        <v>75</v>
      </c>
      <c r="D52" s="15"/>
      <c r="E52" s="15"/>
      <c r="F52" s="15"/>
      <c r="G52" s="15"/>
      <c r="H52" s="148"/>
      <c r="I52" s="7"/>
    </row>
    <row r="53" spans="1:9" ht="15.75" x14ac:dyDescent="0.25">
      <c r="A53" s="4" t="s">
        <v>26</v>
      </c>
      <c r="B53" s="434" t="s">
        <v>76</v>
      </c>
      <c r="C53" s="440"/>
      <c r="D53" s="15">
        <f>SUM(D54:D56)</f>
        <v>0</v>
      </c>
      <c r="E53" s="15">
        <f>SUM(E54:E56)</f>
        <v>0</v>
      </c>
      <c r="F53" s="15">
        <f>+G53</f>
        <v>0</v>
      </c>
      <c r="G53" s="15"/>
      <c r="H53" s="148">
        <f>SUM(H54:H56)</f>
        <v>0</v>
      </c>
      <c r="I53" s="7"/>
    </row>
    <row r="54" spans="1:9" ht="15.75" x14ac:dyDescent="0.25">
      <c r="A54" s="4"/>
      <c r="B54" s="30" t="s">
        <v>77</v>
      </c>
      <c r="C54" s="105" t="s">
        <v>78</v>
      </c>
      <c r="D54" s="15"/>
      <c r="E54" s="15"/>
      <c r="F54" s="15"/>
      <c r="G54" s="15"/>
      <c r="H54" s="148"/>
      <c r="I54" s="7"/>
    </row>
    <row r="55" spans="1:9" ht="15.75" x14ac:dyDescent="0.25">
      <c r="A55" s="4"/>
      <c r="B55" s="30" t="s">
        <v>79</v>
      </c>
      <c r="C55" s="105" t="s">
        <v>80</v>
      </c>
      <c r="D55" s="15"/>
      <c r="E55" s="15"/>
      <c r="F55" s="15"/>
      <c r="G55" s="15"/>
      <c r="H55" s="148"/>
      <c r="I55" s="7"/>
    </row>
    <row r="56" spans="1:9" ht="15.75" x14ac:dyDescent="0.25">
      <c r="A56" s="4"/>
      <c r="B56" s="30" t="s">
        <v>81</v>
      </c>
      <c r="C56" s="105" t="s">
        <v>82</v>
      </c>
      <c r="D56" s="15"/>
      <c r="E56" s="15"/>
      <c r="F56" s="15"/>
      <c r="G56" s="15"/>
      <c r="H56" s="148"/>
      <c r="I56" s="7"/>
    </row>
    <row r="57" spans="1:9" ht="15.75" x14ac:dyDescent="0.25">
      <c r="A57" s="31" t="s">
        <v>30</v>
      </c>
      <c r="B57" s="436" t="s">
        <v>83</v>
      </c>
      <c r="C57" s="648"/>
      <c r="D57" s="101">
        <f>+D47+D50+D53</f>
        <v>0</v>
      </c>
      <c r="E57" s="101">
        <f>+E47+E50+E53</f>
        <v>0</v>
      </c>
      <c r="F57" s="15">
        <f t="shared" ref="F57:F64" si="2">+G57</f>
        <v>144</v>
      </c>
      <c r="G57" s="101">
        <v>144</v>
      </c>
      <c r="H57" s="123">
        <v>143</v>
      </c>
      <c r="I57" s="101">
        <v>143</v>
      </c>
    </row>
    <row r="58" spans="1:9" ht="15.75" x14ac:dyDescent="0.25">
      <c r="A58" s="31" t="s">
        <v>32</v>
      </c>
      <c r="B58" s="436" t="s">
        <v>84</v>
      </c>
      <c r="C58" s="648"/>
      <c r="D58" s="17"/>
      <c r="E58" s="17"/>
      <c r="F58" s="15">
        <f t="shared" si="2"/>
        <v>0</v>
      </c>
      <c r="G58" s="17"/>
      <c r="H58" s="154"/>
      <c r="I58" s="103"/>
    </row>
    <row r="59" spans="1:9" ht="15.75" x14ac:dyDescent="0.25">
      <c r="A59" s="31" t="s">
        <v>33</v>
      </c>
      <c r="B59" s="436" t="s">
        <v>85</v>
      </c>
      <c r="C59" s="648"/>
      <c r="D59" s="17"/>
      <c r="E59" s="17"/>
      <c r="F59" s="15">
        <f t="shared" si="2"/>
        <v>0</v>
      </c>
      <c r="G59" s="17"/>
      <c r="H59" s="154"/>
      <c r="I59" s="103"/>
    </row>
    <row r="60" spans="1:9" ht="18.75" x14ac:dyDescent="0.3">
      <c r="A60" s="19" t="s">
        <v>86</v>
      </c>
      <c r="B60" s="430" t="s">
        <v>87</v>
      </c>
      <c r="C60" s="649"/>
      <c r="D60" s="22">
        <f>+D46+D57+D58+D59</f>
        <v>995</v>
      </c>
      <c r="E60" s="22">
        <f>+E46+E57+E58+E59</f>
        <v>995</v>
      </c>
      <c r="F60" s="40">
        <f t="shared" si="2"/>
        <v>551</v>
      </c>
      <c r="G60" s="22">
        <f>+G46+G57+G58+G59+G32</f>
        <v>551</v>
      </c>
      <c r="H60" s="138">
        <f t="shared" ref="H60:I60" si="3">+H46+H57+H58+H59</f>
        <v>421</v>
      </c>
      <c r="I60" s="22">
        <f t="shared" si="3"/>
        <v>421</v>
      </c>
    </row>
    <row r="61" spans="1:9" ht="18.75" x14ac:dyDescent="0.3">
      <c r="A61" s="19"/>
      <c r="B61" s="430" t="s">
        <v>88</v>
      </c>
      <c r="C61" s="649"/>
      <c r="D61" s="22">
        <f>+D29-D60</f>
        <v>36071</v>
      </c>
      <c r="E61" s="22">
        <f>+E29-E60</f>
        <v>36071</v>
      </c>
      <c r="F61" s="40">
        <f t="shared" si="2"/>
        <v>39677</v>
      </c>
      <c r="G61" s="22">
        <f>+G29-G60</f>
        <v>39677</v>
      </c>
      <c r="H61" s="138">
        <f t="shared" ref="H61:I61" si="4">+H29-H60</f>
        <v>36477</v>
      </c>
      <c r="I61" s="22">
        <f t="shared" si="4"/>
        <v>36477</v>
      </c>
    </row>
    <row r="62" spans="1:9" ht="18.75" x14ac:dyDescent="0.3">
      <c r="A62" s="19"/>
      <c r="B62" s="436" t="s">
        <v>186</v>
      </c>
      <c r="C62" s="648"/>
      <c r="D62" s="37">
        <f>36071-1806</f>
        <v>34265</v>
      </c>
      <c r="E62" s="37">
        <f>36071-1806</f>
        <v>34265</v>
      </c>
      <c r="F62" s="40">
        <f t="shared" si="2"/>
        <v>35006</v>
      </c>
      <c r="G62" s="37">
        <f>36071-1806+741</f>
        <v>35006</v>
      </c>
      <c r="H62" s="138">
        <v>32001</v>
      </c>
      <c r="I62" s="22">
        <v>32001</v>
      </c>
    </row>
    <row r="63" spans="1:9" ht="15.75" x14ac:dyDescent="0.25">
      <c r="A63" s="31" t="s">
        <v>34</v>
      </c>
      <c r="B63" s="436" t="s">
        <v>89</v>
      </c>
      <c r="C63" s="648"/>
      <c r="D63" s="15">
        <v>1806</v>
      </c>
      <c r="E63" s="15">
        <v>1806</v>
      </c>
      <c r="F63" s="15">
        <f t="shared" si="2"/>
        <v>4671</v>
      </c>
      <c r="G63" s="15">
        <f>1806+2865</f>
        <v>4671</v>
      </c>
      <c r="H63" s="148">
        <v>4671</v>
      </c>
      <c r="I63" s="7">
        <v>4671</v>
      </c>
    </row>
    <row r="64" spans="1:9" ht="18.75" x14ac:dyDescent="0.25">
      <c r="A64" s="19"/>
      <c r="B64" s="38" t="s">
        <v>38</v>
      </c>
      <c r="C64" s="105" t="s">
        <v>90</v>
      </c>
      <c r="D64" s="15">
        <v>1806</v>
      </c>
      <c r="E64" s="15">
        <v>1806</v>
      </c>
      <c r="F64" s="15">
        <f t="shared" si="2"/>
        <v>4671</v>
      </c>
      <c r="G64" s="15">
        <v>4671</v>
      </c>
      <c r="H64" s="148">
        <f>+I64</f>
        <v>4671</v>
      </c>
      <c r="I64" s="150">
        <v>4671</v>
      </c>
    </row>
    <row r="65" spans="1:9" ht="18.75" x14ac:dyDescent="0.3">
      <c r="A65" s="19"/>
      <c r="B65" s="38" t="s">
        <v>40</v>
      </c>
      <c r="C65" s="105" t="s">
        <v>91</v>
      </c>
      <c r="D65" s="40"/>
      <c r="E65" s="40"/>
      <c r="F65" s="15"/>
      <c r="G65" s="40"/>
      <c r="H65" s="148"/>
      <c r="I65" s="42"/>
    </row>
    <row r="66" spans="1:9" ht="40.5" customHeight="1" x14ac:dyDescent="0.3">
      <c r="A66" s="19" t="s">
        <v>92</v>
      </c>
      <c r="B66" s="486" t="s">
        <v>93</v>
      </c>
      <c r="C66" s="644"/>
      <c r="D66" s="22">
        <v>1806</v>
      </c>
      <c r="E66" s="22">
        <v>1806</v>
      </c>
      <c r="F66" s="40">
        <f>F62+F63</f>
        <v>39677</v>
      </c>
      <c r="G66" s="40">
        <f>G62+G63</f>
        <v>39677</v>
      </c>
      <c r="H66" s="138">
        <f>+H62+H63</f>
        <v>36672</v>
      </c>
      <c r="I66" s="22">
        <f>+I62+I63</f>
        <v>36672</v>
      </c>
    </row>
    <row r="67" spans="1:9" ht="18.75" x14ac:dyDescent="0.3">
      <c r="A67" s="4" t="s">
        <v>94</v>
      </c>
      <c r="B67" s="434" t="s">
        <v>95</v>
      </c>
      <c r="C67" s="440"/>
      <c r="D67" s="40"/>
      <c r="E67" s="40"/>
      <c r="F67" s="15"/>
      <c r="G67" s="40"/>
      <c r="H67" s="155"/>
      <c r="I67" s="42"/>
    </row>
    <row r="68" spans="1:9" ht="18.75" x14ac:dyDescent="0.3">
      <c r="A68" s="4" t="s">
        <v>96</v>
      </c>
      <c r="B68" s="434" t="s">
        <v>97</v>
      </c>
      <c r="C68" s="440"/>
      <c r="D68" s="40"/>
      <c r="E68" s="40"/>
      <c r="F68" s="15"/>
      <c r="G68" s="40"/>
      <c r="H68" s="155"/>
      <c r="I68" s="42"/>
    </row>
    <row r="69" spans="1:9" ht="18.75" x14ac:dyDescent="0.3">
      <c r="A69" s="4"/>
      <c r="B69" s="30" t="s">
        <v>38</v>
      </c>
      <c r="C69" s="105" t="s">
        <v>98</v>
      </c>
      <c r="D69" s="43"/>
      <c r="E69" s="43"/>
      <c r="F69" s="15"/>
      <c r="G69" s="43"/>
      <c r="H69" s="156"/>
      <c r="I69" s="42"/>
    </row>
    <row r="70" spans="1:9" ht="18.75" x14ac:dyDescent="0.3">
      <c r="A70" s="4"/>
      <c r="B70" s="30" t="s">
        <v>40</v>
      </c>
      <c r="C70" s="105" t="s">
        <v>99</v>
      </c>
      <c r="D70" s="40"/>
      <c r="E70" s="40"/>
      <c r="F70" s="15"/>
      <c r="G70" s="40"/>
      <c r="H70" s="155"/>
      <c r="I70" s="42"/>
    </row>
    <row r="71" spans="1:9" ht="18.75" x14ac:dyDescent="0.3">
      <c r="A71" s="4"/>
      <c r="B71" s="30" t="s">
        <v>48</v>
      </c>
      <c r="C71" s="105" t="s">
        <v>100</v>
      </c>
      <c r="D71" s="40"/>
      <c r="E71" s="40"/>
      <c r="F71" s="15"/>
      <c r="G71" s="40"/>
      <c r="H71" s="155"/>
      <c r="I71" s="42"/>
    </row>
    <row r="72" spans="1:9" ht="18.75" x14ac:dyDescent="0.3">
      <c r="A72" s="4"/>
      <c r="B72" s="30" t="s">
        <v>9</v>
      </c>
      <c r="C72" s="105" t="s">
        <v>101</v>
      </c>
      <c r="D72" s="40"/>
      <c r="E72" s="40"/>
      <c r="F72" s="15"/>
      <c r="G72" s="40"/>
      <c r="H72" s="155"/>
      <c r="I72" s="42"/>
    </row>
    <row r="73" spans="1:9" ht="19.5" x14ac:dyDescent="0.3">
      <c r="A73" s="19" t="s">
        <v>102</v>
      </c>
      <c r="B73" s="484" t="s">
        <v>103</v>
      </c>
      <c r="C73" s="650"/>
      <c r="D73" s="40"/>
      <c r="E73" s="40"/>
      <c r="F73" s="15"/>
      <c r="G73" s="40"/>
      <c r="H73" s="155"/>
      <c r="I73" s="42"/>
    </row>
    <row r="74" spans="1:9" ht="18.75" x14ac:dyDescent="0.3">
      <c r="A74" s="19" t="s">
        <v>104</v>
      </c>
      <c r="B74" s="430" t="s">
        <v>105</v>
      </c>
      <c r="C74" s="649"/>
      <c r="D74" s="40">
        <f>+D66+D73</f>
        <v>1806</v>
      </c>
      <c r="E74" s="40">
        <f>+E66+E73</f>
        <v>1806</v>
      </c>
      <c r="F74" s="40">
        <f t="shared" ref="F74:I74" si="5">+F66+F73</f>
        <v>39677</v>
      </c>
      <c r="G74" s="40">
        <f t="shared" si="5"/>
        <v>39677</v>
      </c>
      <c r="H74" s="138">
        <f t="shared" si="5"/>
        <v>36672</v>
      </c>
      <c r="I74" s="22">
        <f t="shared" si="5"/>
        <v>36672</v>
      </c>
    </row>
    <row r="75" spans="1:9" ht="18.75" x14ac:dyDescent="0.3">
      <c r="A75" s="4" t="s">
        <v>106</v>
      </c>
      <c r="B75" s="434" t="s">
        <v>187</v>
      </c>
      <c r="C75" s="440"/>
      <c r="D75" s="40"/>
      <c r="E75" s="40"/>
      <c r="F75" s="15"/>
      <c r="G75" s="40"/>
      <c r="H75" s="155"/>
      <c r="I75" s="42"/>
    </row>
    <row r="76" spans="1:9" ht="18.75" x14ac:dyDescent="0.3">
      <c r="A76" s="4" t="s">
        <v>108</v>
      </c>
      <c r="B76" s="434" t="s">
        <v>109</v>
      </c>
      <c r="C76" s="440"/>
      <c r="D76" s="43"/>
      <c r="E76" s="43"/>
      <c r="F76" s="15"/>
      <c r="G76" s="43"/>
      <c r="H76" s="156"/>
      <c r="I76" s="42"/>
    </row>
    <row r="77" spans="1:9" ht="18.75" x14ac:dyDescent="0.3">
      <c r="A77" s="4"/>
      <c r="B77" s="30" t="s">
        <v>38</v>
      </c>
      <c r="C77" s="105" t="s">
        <v>110</v>
      </c>
      <c r="D77" s="43"/>
      <c r="E77" s="43"/>
      <c r="F77" s="15"/>
      <c r="G77" s="43"/>
      <c r="H77" s="156"/>
      <c r="I77" s="42"/>
    </row>
    <row r="78" spans="1:9" ht="18.75" x14ac:dyDescent="0.3">
      <c r="A78" s="4"/>
      <c r="B78" s="30" t="s">
        <v>40</v>
      </c>
      <c r="C78" s="105" t="s">
        <v>111</v>
      </c>
      <c r="D78" s="43"/>
      <c r="E78" s="43"/>
      <c r="F78" s="15"/>
      <c r="G78" s="43"/>
      <c r="H78" s="156"/>
      <c r="I78" s="42"/>
    </row>
    <row r="79" spans="1:9" ht="18.75" x14ac:dyDescent="0.3">
      <c r="A79" s="4"/>
      <c r="B79" s="30" t="s">
        <v>48</v>
      </c>
      <c r="C79" s="105" t="s">
        <v>112</v>
      </c>
      <c r="D79" s="43"/>
      <c r="E79" s="43"/>
      <c r="F79" s="15"/>
      <c r="G79" s="43"/>
      <c r="H79" s="156"/>
      <c r="I79" s="42"/>
    </row>
    <row r="80" spans="1:9" ht="18.75" x14ac:dyDescent="0.3">
      <c r="A80" s="19" t="s">
        <v>113</v>
      </c>
      <c r="B80" s="430" t="s">
        <v>114</v>
      </c>
      <c r="C80" s="649"/>
      <c r="D80" s="40">
        <f>+D75+D76</f>
        <v>0</v>
      </c>
      <c r="E80" s="40">
        <f>+E75+E76</f>
        <v>0</v>
      </c>
      <c r="F80" s="15"/>
      <c r="G80" s="40"/>
      <c r="H80" s="155"/>
      <c r="I80" s="42"/>
    </row>
    <row r="81" spans="1:9" ht="18.75" x14ac:dyDescent="0.3">
      <c r="A81" s="19" t="s">
        <v>115</v>
      </c>
      <c r="B81" s="430" t="s">
        <v>116</v>
      </c>
      <c r="C81" s="649"/>
      <c r="D81" s="46">
        <f>+D29+D80</f>
        <v>37066</v>
      </c>
      <c r="E81" s="46">
        <f>+E29+E80</f>
        <v>37066</v>
      </c>
      <c r="F81" s="40">
        <f>+G81</f>
        <v>40228</v>
      </c>
      <c r="G81" s="46">
        <f>+G29+G80</f>
        <v>40228</v>
      </c>
      <c r="H81" s="140">
        <f t="shared" ref="H81:I81" si="6">+H29+H80</f>
        <v>36898</v>
      </c>
      <c r="I81" s="46">
        <f t="shared" si="6"/>
        <v>36898</v>
      </c>
    </row>
    <row r="82" spans="1:9" ht="19.5" thickBot="1" x14ac:dyDescent="0.35">
      <c r="A82" s="47" t="s">
        <v>117</v>
      </c>
      <c r="B82" s="48" t="s">
        <v>118</v>
      </c>
      <c r="C82" s="127"/>
      <c r="D82" s="49">
        <f>+D60+D74+D62</f>
        <v>37066</v>
      </c>
      <c r="E82" s="49">
        <f>+E60+E74+E62</f>
        <v>37066</v>
      </c>
      <c r="F82" s="151">
        <f t="shared" ref="F82:I82" si="7">+F60+F74</f>
        <v>40228</v>
      </c>
      <c r="G82" s="151">
        <f t="shared" si="7"/>
        <v>40228</v>
      </c>
      <c r="H82" s="152">
        <f t="shared" si="7"/>
        <v>37093</v>
      </c>
      <c r="I82" s="49">
        <f t="shared" si="7"/>
        <v>37093</v>
      </c>
    </row>
    <row r="86" spans="1:9" x14ac:dyDescent="0.2">
      <c r="H86" s="114"/>
    </row>
  </sheetData>
  <mergeCells count="60">
    <mergeCell ref="B80:C80"/>
    <mergeCell ref="B81:C81"/>
    <mergeCell ref="B67:C67"/>
    <mergeCell ref="B68:C68"/>
    <mergeCell ref="B73:C73"/>
    <mergeCell ref="B74:C74"/>
    <mergeCell ref="B75:C75"/>
    <mergeCell ref="B76:C76"/>
    <mergeCell ref="B66:C66"/>
    <mergeCell ref="B46:C46"/>
    <mergeCell ref="B47:C47"/>
    <mergeCell ref="B50:C50"/>
    <mergeCell ref="B53:C53"/>
    <mergeCell ref="B57:C57"/>
    <mergeCell ref="B58:C58"/>
    <mergeCell ref="B59:C59"/>
    <mergeCell ref="B60:C60"/>
    <mergeCell ref="B61:C61"/>
    <mergeCell ref="B62:C62"/>
    <mergeCell ref="B63:C63"/>
    <mergeCell ref="B41:C41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7:C37"/>
    <mergeCell ref="B23:C23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I6:I7"/>
    <mergeCell ref="D8:H8"/>
    <mergeCell ref="B9:C9"/>
    <mergeCell ref="B10:C10"/>
    <mergeCell ref="E6:E7"/>
    <mergeCell ref="F6:F7"/>
    <mergeCell ref="A1:H1"/>
    <mergeCell ref="A2:H2"/>
    <mergeCell ref="A3:H3"/>
    <mergeCell ref="A4:H4"/>
    <mergeCell ref="A5:H5"/>
    <mergeCell ref="A6:A8"/>
    <mergeCell ref="B6:C8"/>
    <mergeCell ref="D6:D7"/>
    <mergeCell ref="G6:G7"/>
    <mergeCell ref="H6:H7"/>
  </mergeCells>
  <phoneticPr fontId="12" type="noConversion"/>
  <pageMargins left="0.19" right="0.16" top="0.44" bottom="0.17" header="0.17" footer="0.17"/>
  <pageSetup paperSize="9" scale="5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I16" sqref="I16"/>
    </sheetView>
  </sheetViews>
  <sheetFormatPr defaultRowHeight="12.75" x14ac:dyDescent="0.2"/>
  <cols>
    <col min="1" max="1" width="45.140625" customWidth="1"/>
    <col min="3" max="5" width="11.7109375" customWidth="1"/>
    <col min="6" max="6" width="11.28515625" customWidth="1"/>
    <col min="7" max="7" width="12" customWidth="1"/>
    <col min="9" max="9" width="10.140625" bestFit="1" customWidth="1"/>
  </cols>
  <sheetData>
    <row r="1" spans="1:9" ht="18.75" x14ac:dyDescent="0.2">
      <c r="A1" s="622" t="s">
        <v>414</v>
      </c>
      <c r="B1" s="622"/>
      <c r="C1" s="622"/>
      <c r="D1" s="622"/>
      <c r="E1" s="622"/>
      <c r="F1" s="622"/>
      <c r="G1" s="65"/>
    </row>
    <row r="2" spans="1:9" ht="18.75" x14ac:dyDescent="0.2">
      <c r="A2" s="622" t="s">
        <v>0</v>
      </c>
      <c r="B2" s="683"/>
      <c r="C2" s="683"/>
      <c r="D2" s="683"/>
      <c r="E2" s="683"/>
      <c r="F2" s="683"/>
      <c r="G2" s="65"/>
    </row>
    <row r="3" spans="1:9" x14ac:dyDescent="0.2">
      <c r="A3" s="67"/>
      <c r="B3" s="65"/>
      <c r="C3" s="65"/>
      <c r="D3" s="65"/>
      <c r="E3" s="65"/>
      <c r="F3" s="65"/>
      <c r="G3" s="65"/>
    </row>
    <row r="4" spans="1:9" ht="18.75" x14ac:dyDescent="0.2">
      <c r="A4" s="622" t="s">
        <v>124</v>
      </c>
      <c r="B4" s="683"/>
      <c r="C4" s="683"/>
      <c r="D4" s="683"/>
      <c r="E4" s="683"/>
      <c r="F4" s="683"/>
      <c r="G4" s="68" t="s">
        <v>131</v>
      </c>
    </row>
    <row r="5" spans="1:9" ht="19.5" thickBot="1" x14ac:dyDescent="0.3">
      <c r="A5" s="64"/>
      <c r="B5" s="66"/>
      <c r="C5" s="66"/>
      <c r="D5" s="66"/>
      <c r="E5" s="66"/>
      <c r="F5" s="66"/>
      <c r="G5" s="69"/>
    </row>
    <row r="6" spans="1:9" ht="36.75" thickBot="1" x14ac:dyDescent="0.25">
      <c r="A6" s="70" t="s">
        <v>125</v>
      </c>
      <c r="B6" s="71" t="s">
        <v>391</v>
      </c>
      <c r="C6" s="71" t="s">
        <v>126</v>
      </c>
      <c r="D6" s="71" t="s">
        <v>392</v>
      </c>
      <c r="E6" s="71" t="s">
        <v>393</v>
      </c>
      <c r="F6" s="71" t="s">
        <v>394</v>
      </c>
      <c r="G6" s="72" t="s">
        <v>402</v>
      </c>
    </row>
    <row r="7" spans="1:9" ht="13.5" thickBot="1" x14ac:dyDescent="0.25">
      <c r="A7" s="73">
        <v>1</v>
      </c>
      <c r="B7" s="74">
        <v>2</v>
      </c>
      <c r="C7" s="74">
        <v>3</v>
      </c>
      <c r="D7" s="74">
        <v>4</v>
      </c>
      <c r="E7" s="74">
        <v>5</v>
      </c>
      <c r="F7" s="412"/>
      <c r="G7" s="75">
        <v>6</v>
      </c>
    </row>
    <row r="8" spans="1:9" ht="15.75" x14ac:dyDescent="0.2">
      <c r="A8" s="76" t="s">
        <v>127</v>
      </c>
      <c r="B8" s="77"/>
      <c r="C8" s="78"/>
      <c r="D8" s="77"/>
      <c r="E8" s="77"/>
      <c r="F8" s="413">
        <f>SUM(F9:F11)</f>
        <v>21187733</v>
      </c>
      <c r="G8" s="413">
        <f>SUM(G9:G11)</f>
        <v>21041457</v>
      </c>
    </row>
    <row r="9" spans="1:9" ht="15.75" x14ac:dyDescent="0.2">
      <c r="A9" s="80" t="s">
        <v>128</v>
      </c>
      <c r="B9" s="77">
        <v>32103366</v>
      </c>
      <c r="C9" s="78">
        <v>2014</v>
      </c>
      <c r="D9" s="77">
        <v>13028633</v>
      </c>
      <c r="E9" s="77">
        <f>+B9-D9</f>
        <v>19074733</v>
      </c>
      <c r="F9" s="77">
        <v>19074733</v>
      </c>
      <c r="G9" s="79">
        <f>19733266-1259548+585428</f>
        <v>19059146</v>
      </c>
    </row>
    <row r="10" spans="1:9" ht="15.75" x14ac:dyDescent="0.2">
      <c r="A10" s="80" t="s">
        <v>395</v>
      </c>
      <c r="B10" s="77"/>
      <c r="C10" s="78"/>
      <c r="D10" s="77"/>
      <c r="E10" s="77"/>
      <c r="F10" s="414">
        <v>513000</v>
      </c>
      <c r="G10" s="79">
        <f>68000+314685</f>
        <v>382685</v>
      </c>
    </row>
    <row r="11" spans="1:9" ht="15.75" x14ac:dyDescent="0.2">
      <c r="A11" s="81" t="s">
        <v>396</v>
      </c>
      <c r="B11" s="77"/>
      <c r="C11" s="78"/>
      <c r="D11" s="77"/>
      <c r="E11" s="77"/>
      <c r="F11" s="414">
        <v>1600000</v>
      </c>
      <c r="G11" s="79">
        <f>1259548+340078</f>
        <v>1599626</v>
      </c>
    </row>
    <row r="12" spans="1:9" ht="15.75" x14ac:dyDescent="0.2">
      <c r="A12" s="76" t="s">
        <v>129</v>
      </c>
      <c r="B12" s="77"/>
      <c r="C12" s="78"/>
      <c r="D12" s="77"/>
      <c r="E12" s="77"/>
      <c r="F12" s="413">
        <f>SUM(F13:F17)</f>
        <v>6183764</v>
      </c>
      <c r="G12" s="413">
        <f>SUM(G13:G17)</f>
        <v>6086530.2800000003</v>
      </c>
      <c r="I12" s="116"/>
    </row>
    <row r="13" spans="1:9" ht="15.75" x14ac:dyDescent="0.2">
      <c r="A13" s="80" t="s">
        <v>397</v>
      </c>
      <c r="B13" s="77"/>
      <c r="C13" s="415"/>
      <c r="D13" s="77"/>
      <c r="E13" s="77">
        <v>3713764</v>
      </c>
      <c r="F13" s="77">
        <f>3713764+127000</f>
        <v>3840764</v>
      </c>
      <c r="G13" s="79">
        <f>3713764+100000+27000</f>
        <v>3840764</v>
      </c>
    </row>
    <row r="14" spans="1:9" ht="15.75" x14ac:dyDescent="0.2">
      <c r="A14" s="80" t="s">
        <v>398</v>
      </c>
      <c r="B14" s="77"/>
      <c r="C14" s="78"/>
      <c r="D14" s="77"/>
      <c r="E14" s="77">
        <v>300000</v>
      </c>
      <c r="F14" s="77"/>
      <c r="G14" s="79"/>
    </row>
    <row r="15" spans="1:9" ht="15.75" x14ac:dyDescent="0.2">
      <c r="A15" s="82" t="s">
        <v>399</v>
      </c>
      <c r="B15" s="83"/>
      <c r="C15" s="84"/>
      <c r="D15" s="83"/>
      <c r="E15" s="83"/>
      <c r="F15" s="416">
        <v>425000</v>
      </c>
      <c r="G15" s="85">
        <v>425000</v>
      </c>
    </row>
    <row r="16" spans="1:9" ht="15.75" x14ac:dyDescent="0.2">
      <c r="A16" s="82" t="s">
        <v>400</v>
      </c>
      <c r="B16" s="83"/>
      <c r="C16" s="84"/>
      <c r="D16" s="83"/>
      <c r="E16" s="83"/>
      <c r="F16" s="416">
        <v>952000</v>
      </c>
      <c r="G16" s="85">
        <v>950900</v>
      </c>
      <c r="I16" s="116"/>
    </row>
    <row r="17" spans="1:9" ht="15.75" x14ac:dyDescent="0.2">
      <c r="A17" s="82" t="s">
        <v>401</v>
      </c>
      <c r="B17" s="83"/>
      <c r="C17" s="84"/>
      <c r="D17" s="83"/>
      <c r="E17" s="83"/>
      <c r="F17" s="416">
        <f>569000+97000+300000</f>
        <v>966000</v>
      </c>
      <c r="G17" s="85">
        <f>(695564-50000)*1.27+50000</f>
        <v>869866.28</v>
      </c>
      <c r="I17" s="116"/>
    </row>
    <row r="18" spans="1:9" ht="16.5" thickBot="1" x14ac:dyDescent="0.25">
      <c r="A18" s="82"/>
      <c r="B18" s="83"/>
      <c r="C18" s="84"/>
      <c r="D18" s="83"/>
      <c r="E18" s="83"/>
      <c r="F18" s="416"/>
      <c r="G18" s="85"/>
    </row>
    <row r="19" spans="1:9" ht="13.5" thickBot="1" x14ac:dyDescent="0.25">
      <c r="A19" s="86" t="s">
        <v>130</v>
      </c>
      <c r="B19" s="87">
        <f>SUM(B9:B18)</f>
        <v>32103366</v>
      </c>
      <c r="C19" s="88"/>
      <c r="D19" s="87">
        <f>SUM(D8:D14)</f>
        <v>13028633</v>
      </c>
      <c r="E19" s="87">
        <f>SUM(E8:E14)</f>
        <v>23088497</v>
      </c>
      <c r="F19" s="87">
        <f>F8+F12</f>
        <v>27371497</v>
      </c>
      <c r="G19" s="87">
        <f>G8+G12</f>
        <v>27127987.280000001</v>
      </c>
    </row>
  </sheetData>
  <mergeCells count="3">
    <mergeCell ref="A1:F1"/>
    <mergeCell ref="A2:F2"/>
    <mergeCell ref="A4:F4"/>
  </mergeCells>
  <phoneticPr fontId="12" type="noConversion"/>
  <pageMargins left="0.75" right="0.17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45"/>
  <sheetViews>
    <sheetView workbookViewId="0">
      <selection activeCell="AF24" sqref="AF24:AJ24"/>
    </sheetView>
  </sheetViews>
  <sheetFormatPr defaultRowHeight="12.75" x14ac:dyDescent="0.2"/>
  <cols>
    <col min="1" max="35" width="3.28515625" customWidth="1"/>
    <col min="36" max="36" width="3" customWidth="1"/>
    <col min="38" max="38" width="11.42578125" bestFit="1" customWidth="1"/>
  </cols>
  <sheetData>
    <row r="2" spans="1:36" ht="24" customHeight="1" x14ac:dyDescent="0.25">
      <c r="A2" s="517" t="s">
        <v>409</v>
      </c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517"/>
      <c r="Q2" s="517"/>
      <c r="R2" s="517"/>
      <c r="S2" s="517"/>
      <c r="T2" s="517"/>
      <c r="U2" s="517"/>
      <c r="V2" s="517"/>
      <c r="W2" s="517"/>
      <c r="X2" s="517"/>
      <c r="Y2" s="517"/>
      <c r="Z2" s="517"/>
      <c r="AA2" s="517"/>
      <c r="AB2" s="517"/>
      <c r="AC2" s="517"/>
      <c r="AD2" s="517"/>
      <c r="AE2" s="517"/>
      <c r="AF2" s="517"/>
      <c r="AG2" s="517"/>
      <c r="AH2" s="517"/>
      <c r="AI2" s="517"/>
    </row>
    <row r="3" spans="1:36" ht="15.75" x14ac:dyDescent="0.25">
      <c r="A3" s="517"/>
      <c r="B3" s="517"/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517"/>
      <c r="S3" s="517"/>
      <c r="T3" s="517"/>
      <c r="U3" s="517"/>
      <c r="V3" s="517"/>
      <c r="W3" s="517"/>
      <c r="X3" s="517"/>
      <c r="Y3" s="517"/>
      <c r="Z3" s="517"/>
      <c r="AA3" s="517"/>
      <c r="AB3" s="517"/>
      <c r="AC3" s="517"/>
      <c r="AD3" s="517"/>
      <c r="AE3" s="517"/>
      <c r="AF3" s="517"/>
      <c r="AG3" s="517"/>
      <c r="AH3" s="517"/>
      <c r="AI3" s="517"/>
    </row>
    <row r="4" spans="1:36" ht="15.75" customHeight="1" x14ac:dyDescent="0.25">
      <c r="A4" s="336"/>
      <c r="B4" s="336"/>
      <c r="C4" s="336"/>
      <c r="D4" s="336"/>
      <c r="E4" s="336"/>
      <c r="F4" s="517" t="s">
        <v>0</v>
      </c>
      <c r="G4" s="518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336"/>
      <c r="W4" s="336"/>
      <c r="X4" s="336"/>
      <c r="Y4" s="336"/>
      <c r="Z4" s="336"/>
      <c r="AA4" s="417"/>
      <c r="AB4" s="417"/>
      <c r="AC4" s="417"/>
      <c r="AD4" s="417"/>
      <c r="AE4" s="417"/>
      <c r="AF4" s="336"/>
      <c r="AG4" s="336"/>
      <c r="AH4" s="336"/>
      <c r="AI4" s="336"/>
    </row>
    <row r="5" spans="1:36" ht="15.75" customHeight="1" x14ac:dyDescent="0.2">
      <c r="A5" s="519" t="s">
        <v>132</v>
      </c>
      <c r="B5" s="519"/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19"/>
      <c r="T5" s="519"/>
      <c r="U5" s="519"/>
      <c r="V5" s="519"/>
      <c r="W5" s="519"/>
      <c r="X5" s="519"/>
      <c r="Y5" s="519"/>
      <c r="Z5" s="519"/>
      <c r="AA5" s="519"/>
      <c r="AB5" s="519"/>
      <c r="AC5" s="519"/>
      <c r="AD5" s="519"/>
      <c r="AE5" s="519"/>
      <c r="AF5" s="519"/>
      <c r="AG5" s="519"/>
      <c r="AH5" s="519"/>
      <c r="AI5" s="519"/>
    </row>
    <row r="6" spans="1:36" ht="15.75" customHeight="1" x14ac:dyDescent="0.2">
      <c r="A6" s="337"/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418"/>
      <c r="AB6" s="418"/>
      <c r="AC6" s="418"/>
      <c r="AD6" s="418"/>
      <c r="AE6" s="418"/>
      <c r="AF6" s="337"/>
      <c r="AG6" s="337"/>
      <c r="AH6" s="337"/>
      <c r="AI6" s="337"/>
    </row>
    <row r="7" spans="1:36" ht="12.75" customHeight="1" x14ac:dyDescent="0.2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 t="s">
        <v>133</v>
      </c>
      <c r="X7" s="89"/>
      <c r="Y7" s="89"/>
      <c r="Z7" s="89"/>
      <c r="AA7" s="419"/>
      <c r="AB7" s="419"/>
      <c r="AC7" s="419"/>
      <c r="AD7" s="419"/>
      <c r="AE7" s="419"/>
      <c r="AF7" s="89"/>
      <c r="AG7" s="420" t="s">
        <v>403</v>
      </c>
      <c r="AH7" s="89"/>
      <c r="AI7" s="89"/>
    </row>
    <row r="8" spans="1:36" ht="12.75" customHeight="1" x14ac:dyDescent="0.2">
      <c r="A8" s="520" t="s">
        <v>4</v>
      </c>
      <c r="B8" s="521"/>
      <c r="C8" s="521"/>
      <c r="D8" s="521"/>
      <c r="E8" s="521"/>
      <c r="F8" s="521"/>
      <c r="G8" s="521"/>
      <c r="H8" s="521"/>
      <c r="I8" s="521"/>
      <c r="J8" s="521"/>
      <c r="K8" s="521"/>
      <c r="L8" s="521"/>
      <c r="M8" s="521"/>
      <c r="N8" s="521"/>
      <c r="O8" s="521"/>
      <c r="P8" s="521"/>
      <c r="Q8" s="521"/>
      <c r="R8" s="521"/>
      <c r="S8" s="522"/>
      <c r="T8" s="523" t="s">
        <v>3</v>
      </c>
      <c r="U8" s="524"/>
      <c r="V8" s="520" t="s">
        <v>134</v>
      </c>
      <c r="W8" s="521"/>
      <c r="X8" s="521"/>
      <c r="Y8" s="521"/>
      <c r="Z8" s="522"/>
      <c r="AA8" s="530" t="s">
        <v>201</v>
      </c>
      <c r="AB8" s="531"/>
      <c r="AC8" s="531"/>
      <c r="AD8" s="531"/>
      <c r="AE8" s="532"/>
      <c r="AF8" s="530" t="s">
        <v>211</v>
      </c>
      <c r="AG8" s="531"/>
      <c r="AH8" s="531"/>
      <c r="AI8" s="531"/>
      <c r="AJ8" s="532"/>
    </row>
    <row r="9" spans="1:36" ht="12.75" customHeight="1" x14ac:dyDescent="0.2">
      <c r="A9" s="90"/>
      <c r="B9" s="91"/>
      <c r="C9" s="91"/>
      <c r="D9" s="91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1"/>
      <c r="S9" s="93"/>
      <c r="T9" s="525"/>
      <c r="U9" s="526"/>
      <c r="V9" s="527"/>
      <c r="W9" s="528"/>
      <c r="X9" s="528"/>
      <c r="Y9" s="528"/>
      <c r="Z9" s="529"/>
      <c r="AA9" s="533"/>
      <c r="AB9" s="534"/>
      <c r="AC9" s="534"/>
      <c r="AD9" s="534"/>
      <c r="AE9" s="535"/>
      <c r="AF9" s="533"/>
      <c r="AG9" s="534"/>
      <c r="AH9" s="534"/>
      <c r="AI9" s="534"/>
      <c r="AJ9" s="535"/>
    </row>
    <row r="10" spans="1:36" x14ac:dyDescent="0.2">
      <c r="A10" s="539" t="s">
        <v>135</v>
      </c>
      <c r="B10" s="540"/>
      <c r="C10" s="540"/>
      <c r="D10" s="540"/>
      <c r="E10" s="540"/>
      <c r="F10" s="540"/>
      <c r="G10" s="540"/>
      <c r="H10" s="540"/>
      <c r="I10" s="540"/>
      <c r="J10" s="540"/>
      <c r="K10" s="540"/>
      <c r="L10" s="540"/>
      <c r="M10" s="540"/>
      <c r="N10" s="540"/>
      <c r="O10" s="540"/>
      <c r="P10" s="540"/>
      <c r="Q10" s="540"/>
      <c r="R10" s="540"/>
      <c r="S10" s="541"/>
      <c r="T10" s="542" t="s">
        <v>136</v>
      </c>
      <c r="U10" s="543"/>
      <c r="V10" s="508">
        <f>(15610+25650+25650)*2</f>
        <v>133820</v>
      </c>
      <c r="W10" s="509"/>
      <c r="X10" s="509"/>
      <c r="Y10" s="509"/>
      <c r="Z10" s="510"/>
      <c r="AA10" s="508">
        <f>(15610+25650+25650)*2+119000</f>
        <v>252820</v>
      </c>
      <c r="AB10" s="509"/>
      <c r="AC10" s="509"/>
      <c r="AD10" s="509"/>
      <c r="AE10" s="510"/>
      <c r="AF10" s="508">
        <v>252885</v>
      </c>
      <c r="AG10" s="509"/>
      <c r="AH10" s="509"/>
      <c r="AI10" s="509"/>
      <c r="AJ10" s="510"/>
    </row>
    <row r="11" spans="1:36" ht="12.75" customHeight="1" x14ac:dyDescent="0.2">
      <c r="A11" s="539" t="s">
        <v>137</v>
      </c>
      <c r="B11" s="540"/>
      <c r="C11" s="540"/>
      <c r="D11" s="540"/>
      <c r="E11" s="540"/>
      <c r="F11" s="540"/>
      <c r="G11" s="540"/>
      <c r="H11" s="540"/>
      <c r="I11" s="540"/>
      <c r="J11" s="540"/>
      <c r="K11" s="540"/>
      <c r="L11" s="540"/>
      <c r="M11" s="540"/>
      <c r="N11" s="540"/>
      <c r="O11" s="540"/>
      <c r="P11" s="540"/>
      <c r="Q11" s="540"/>
      <c r="R11" s="540"/>
      <c r="S11" s="541"/>
      <c r="T11" s="542">
        <v>2</v>
      </c>
      <c r="U11" s="543"/>
      <c r="V11" s="544"/>
      <c r="W11" s="545"/>
      <c r="X11" s="545"/>
      <c r="Y11" s="545"/>
      <c r="Z11" s="546"/>
      <c r="AA11" s="502"/>
      <c r="AB11" s="503"/>
      <c r="AC11" s="503"/>
      <c r="AD11" s="503"/>
      <c r="AE11" s="504"/>
      <c r="AF11" s="502"/>
      <c r="AG11" s="503"/>
      <c r="AH11" s="503"/>
      <c r="AI11" s="503"/>
      <c r="AJ11" s="504"/>
    </row>
    <row r="12" spans="1:36" ht="12.75" customHeight="1" x14ac:dyDescent="0.2">
      <c r="A12" s="539" t="s">
        <v>138</v>
      </c>
      <c r="B12" s="540"/>
      <c r="C12" s="540"/>
      <c r="D12" s="540"/>
      <c r="E12" s="540"/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1"/>
      <c r="T12" s="542">
        <v>3</v>
      </c>
      <c r="U12" s="543"/>
      <c r="V12" s="544"/>
      <c r="W12" s="545"/>
      <c r="X12" s="545"/>
      <c r="Y12" s="545"/>
      <c r="Z12" s="546"/>
      <c r="AA12" s="502"/>
      <c r="AB12" s="503"/>
      <c r="AC12" s="503"/>
      <c r="AD12" s="503"/>
      <c r="AE12" s="504"/>
      <c r="AF12" s="502"/>
      <c r="AG12" s="503"/>
      <c r="AH12" s="503"/>
      <c r="AI12" s="503"/>
      <c r="AJ12" s="504"/>
    </row>
    <row r="13" spans="1:36" ht="12.75" customHeight="1" x14ac:dyDescent="0.2">
      <c r="A13" s="539" t="s">
        <v>139</v>
      </c>
      <c r="B13" s="540"/>
      <c r="C13" s="540"/>
      <c r="D13" s="540"/>
      <c r="E13" s="540"/>
      <c r="F13" s="540"/>
      <c r="G13" s="540"/>
      <c r="H13" s="540"/>
      <c r="I13" s="540"/>
      <c r="J13" s="540"/>
      <c r="K13" s="540"/>
      <c r="L13" s="540"/>
      <c r="M13" s="540"/>
      <c r="N13" s="540"/>
      <c r="O13" s="540"/>
      <c r="P13" s="540"/>
      <c r="Q13" s="540"/>
      <c r="R13" s="540"/>
      <c r="S13" s="541"/>
      <c r="T13" s="542">
        <v>4</v>
      </c>
      <c r="U13" s="543"/>
      <c r="V13" s="544"/>
      <c r="W13" s="545"/>
      <c r="X13" s="545"/>
      <c r="Y13" s="545"/>
      <c r="Z13" s="546"/>
      <c r="AA13" s="502"/>
      <c r="AB13" s="503"/>
      <c r="AC13" s="503"/>
      <c r="AD13" s="503"/>
      <c r="AE13" s="504"/>
      <c r="AF13" s="502"/>
      <c r="AG13" s="503"/>
      <c r="AH13" s="503"/>
      <c r="AI13" s="503"/>
      <c r="AJ13" s="504"/>
    </row>
    <row r="14" spans="1:36" ht="12.75" customHeight="1" x14ac:dyDescent="0.2">
      <c r="A14" s="539" t="s">
        <v>404</v>
      </c>
      <c r="B14" s="540"/>
      <c r="C14" s="540"/>
      <c r="D14" s="540"/>
      <c r="E14" s="540"/>
      <c r="F14" s="540"/>
      <c r="G14" s="540"/>
      <c r="H14" s="540"/>
      <c r="I14" s="540"/>
      <c r="J14" s="540"/>
      <c r="K14" s="540"/>
      <c r="L14" s="540"/>
      <c r="M14" s="540"/>
      <c r="N14" s="540"/>
      <c r="O14" s="540"/>
      <c r="P14" s="540"/>
      <c r="Q14" s="540"/>
      <c r="R14" s="540"/>
      <c r="S14" s="541"/>
      <c r="T14" s="542">
        <v>5</v>
      </c>
      <c r="U14" s="543"/>
      <c r="V14" s="508">
        <f>3*30*22800</f>
        <v>2052000</v>
      </c>
      <c r="W14" s="509"/>
      <c r="X14" s="509"/>
      <c r="Y14" s="509"/>
      <c r="Z14" s="510"/>
      <c r="AA14" s="511">
        <v>2052000</v>
      </c>
      <c r="AB14" s="512"/>
      <c r="AC14" s="512"/>
      <c r="AD14" s="512"/>
      <c r="AE14" s="513"/>
      <c r="AF14" s="511">
        <v>1952440</v>
      </c>
      <c r="AG14" s="512"/>
      <c r="AH14" s="512"/>
      <c r="AI14" s="512"/>
      <c r="AJ14" s="513"/>
    </row>
    <row r="15" spans="1:36" ht="12.75" customHeight="1" x14ac:dyDescent="0.2">
      <c r="A15" s="547" t="s">
        <v>140</v>
      </c>
      <c r="B15" s="548"/>
      <c r="C15" s="548"/>
      <c r="D15" s="548"/>
      <c r="E15" s="548"/>
      <c r="F15" s="548"/>
      <c r="G15" s="548"/>
      <c r="H15" s="548"/>
      <c r="I15" s="548"/>
      <c r="J15" s="548"/>
      <c r="K15" s="548"/>
      <c r="L15" s="548"/>
      <c r="M15" s="548"/>
      <c r="N15" s="548"/>
      <c r="O15" s="548"/>
      <c r="P15" s="548"/>
      <c r="Q15" s="548"/>
      <c r="R15" s="548"/>
      <c r="S15" s="549"/>
      <c r="T15" s="542">
        <v>6</v>
      </c>
      <c r="U15" s="543"/>
      <c r="V15" s="333"/>
      <c r="W15" s="334"/>
      <c r="X15" s="334"/>
      <c r="Y15" s="334"/>
      <c r="Z15" s="335"/>
      <c r="AA15" s="502"/>
      <c r="AB15" s="503"/>
      <c r="AC15" s="503"/>
      <c r="AD15" s="503"/>
      <c r="AE15" s="504"/>
      <c r="AF15" s="502"/>
      <c r="AG15" s="503"/>
      <c r="AH15" s="503"/>
      <c r="AI15" s="503"/>
      <c r="AJ15" s="504"/>
    </row>
    <row r="16" spans="1:36" ht="12.75" customHeight="1" x14ac:dyDescent="0.2">
      <c r="A16" s="94" t="s">
        <v>141</v>
      </c>
      <c r="B16" s="95"/>
      <c r="C16" s="95"/>
      <c r="D16" s="95"/>
      <c r="E16" s="96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8"/>
      <c r="T16" s="542">
        <v>7</v>
      </c>
      <c r="U16" s="543"/>
      <c r="V16" s="550"/>
      <c r="W16" s="551"/>
      <c r="X16" s="551"/>
      <c r="Y16" s="551"/>
      <c r="Z16" s="552"/>
      <c r="AA16" s="502"/>
      <c r="AB16" s="503"/>
      <c r="AC16" s="503"/>
      <c r="AD16" s="503"/>
      <c r="AE16" s="504"/>
      <c r="AF16" s="502"/>
      <c r="AG16" s="503"/>
      <c r="AH16" s="503"/>
      <c r="AI16" s="503"/>
      <c r="AJ16" s="504"/>
    </row>
    <row r="17" spans="1:38" ht="12.75" customHeight="1" x14ac:dyDescent="0.2">
      <c r="A17" s="539" t="s">
        <v>405</v>
      </c>
      <c r="B17" s="540"/>
      <c r="C17" s="540"/>
      <c r="D17" s="540"/>
      <c r="E17" s="540"/>
      <c r="F17" s="540"/>
      <c r="G17" s="540"/>
      <c r="H17" s="540"/>
      <c r="I17" s="540"/>
      <c r="J17" s="540"/>
      <c r="K17" s="540"/>
      <c r="L17" s="540"/>
      <c r="M17" s="540"/>
      <c r="N17" s="540"/>
      <c r="O17" s="540"/>
      <c r="P17" s="540"/>
      <c r="Q17" s="540"/>
      <c r="R17" s="540"/>
      <c r="S17" s="541"/>
      <c r="T17" s="542">
        <v>8</v>
      </c>
      <c r="U17" s="543"/>
      <c r="V17" s="505">
        <f>2158600/2*3</f>
        <v>3237900</v>
      </c>
      <c r="W17" s="506"/>
      <c r="X17" s="506"/>
      <c r="Y17" s="506"/>
      <c r="Z17" s="507"/>
      <c r="AA17" s="505">
        <f>2158600/2*3</f>
        <v>3237900</v>
      </c>
      <c r="AB17" s="506"/>
      <c r="AC17" s="506"/>
      <c r="AD17" s="506"/>
      <c r="AE17" s="507"/>
      <c r="AF17" s="505">
        <v>2477800</v>
      </c>
      <c r="AG17" s="506"/>
      <c r="AH17" s="506"/>
      <c r="AI17" s="506"/>
      <c r="AJ17" s="507"/>
    </row>
    <row r="18" spans="1:38" ht="12.75" customHeight="1" x14ac:dyDescent="0.2">
      <c r="A18" s="539" t="s">
        <v>142</v>
      </c>
      <c r="B18" s="540"/>
      <c r="C18" s="540"/>
      <c r="D18" s="540"/>
      <c r="E18" s="540"/>
      <c r="F18" s="540"/>
      <c r="G18" s="540"/>
      <c r="H18" s="540"/>
      <c r="I18" s="540"/>
      <c r="J18" s="540"/>
      <c r="K18" s="540"/>
      <c r="L18" s="540"/>
      <c r="M18" s="540"/>
      <c r="N18" s="540"/>
      <c r="O18" s="540"/>
      <c r="P18" s="540"/>
      <c r="Q18" s="540"/>
      <c r="R18" s="540"/>
      <c r="S18" s="541"/>
      <c r="T18" s="542">
        <v>9</v>
      </c>
      <c r="U18" s="543"/>
      <c r="V18" s="550"/>
      <c r="W18" s="551"/>
      <c r="X18" s="551"/>
      <c r="Y18" s="551"/>
      <c r="Z18" s="552"/>
      <c r="AA18" s="502"/>
      <c r="AB18" s="503"/>
      <c r="AC18" s="503"/>
      <c r="AD18" s="503"/>
      <c r="AE18" s="504"/>
      <c r="AF18" s="502"/>
      <c r="AG18" s="503"/>
      <c r="AH18" s="503"/>
      <c r="AI18" s="503"/>
      <c r="AJ18" s="504"/>
    </row>
    <row r="19" spans="1:38" ht="12.75" customHeight="1" x14ac:dyDescent="0.2">
      <c r="A19" s="539" t="s">
        <v>143</v>
      </c>
      <c r="B19" s="540"/>
      <c r="C19" s="540"/>
      <c r="D19" s="540"/>
      <c r="E19" s="540"/>
      <c r="F19" s="540"/>
      <c r="G19" s="540"/>
      <c r="H19" s="540"/>
      <c r="I19" s="540"/>
      <c r="J19" s="540"/>
      <c r="K19" s="540"/>
      <c r="L19" s="540"/>
      <c r="M19" s="540"/>
      <c r="N19" s="540"/>
      <c r="O19" s="540"/>
      <c r="P19" s="540"/>
      <c r="Q19" s="540"/>
      <c r="R19" s="540"/>
      <c r="S19" s="541"/>
      <c r="T19" s="542">
        <v>10</v>
      </c>
      <c r="U19" s="543"/>
      <c r="V19" s="505">
        <v>4756000</v>
      </c>
      <c r="W19" s="506"/>
      <c r="X19" s="506"/>
      <c r="Y19" s="506"/>
      <c r="Z19" s="507"/>
      <c r="AA19" s="505">
        <v>4756000</v>
      </c>
      <c r="AB19" s="506"/>
      <c r="AC19" s="506"/>
      <c r="AD19" s="506"/>
      <c r="AE19" s="507"/>
      <c r="AF19" s="505">
        <v>1696000</v>
      </c>
      <c r="AG19" s="506"/>
      <c r="AH19" s="506"/>
      <c r="AI19" s="506"/>
      <c r="AJ19" s="507"/>
      <c r="AL19" s="114"/>
    </row>
    <row r="20" spans="1:38" ht="12.75" customHeight="1" x14ac:dyDescent="0.2">
      <c r="A20" s="553" t="s">
        <v>406</v>
      </c>
      <c r="B20" s="554"/>
      <c r="C20" s="554"/>
      <c r="D20" s="554"/>
      <c r="E20" s="554"/>
      <c r="F20" s="554"/>
      <c r="G20" s="554"/>
      <c r="H20" s="554"/>
      <c r="I20" s="554"/>
      <c r="J20" s="554"/>
      <c r="K20" s="554"/>
      <c r="L20" s="554"/>
      <c r="M20" s="554"/>
      <c r="N20" s="554"/>
      <c r="O20" s="554"/>
      <c r="P20" s="554"/>
      <c r="Q20" s="554"/>
      <c r="R20" s="554"/>
      <c r="S20" s="555"/>
      <c r="T20" s="556">
        <v>11</v>
      </c>
      <c r="U20" s="557"/>
      <c r="V20" s="536">
        <v>2221000</v>
      </c>
      <c r="W20" s="537"/>
      <c r="X20" s="537"/>
      <c r="Y20" s="537"/>
      <c r="Z20" s="538"/>
      <c r="AA20" s="536">
        <v>844000</v>
      </c>
      <c r="AB20" s="537"/>
      <c r="AC20" s="537"/>
      <c r="AD20" s="537"/>
      <c r="AE20" s="538"/>
      <c r="AF20" s="536"/>
      <c r="AG20" s="537"/>
      <c r="AH20" s="537"/>
      <c r="AI20" s="537"/>
      <c r="AJ20" s="538"/>
    </row>
    <row r="21" spans="1:38" ht="12.75" customHeight="1" x14ac:dyDescent="0.2">
      <c r="A21" s="539" t="s">
        <v>144</v>
      </c>
      <c r="B21" s="540"/>
      <c r="C21" s="540"/>
      <c r="D21" s="540"/>
      <c r="E21" s="540"/>
      <c r="F21" s="540"/>
      <c r="G21" s="540"/>
      <c r="H21" s="540"/>
      <c r="I21" s="540"/>
      <c r="J21" s="540"/>
      <c r="K21" s="540"/>
      <c r="L21" s="540"/>
      <c r="M21" s="540"/>
      <c r="N21" s="540"/>
      <c r="O21" s="540"/>
      <c r="P21" s="540"/>
      <c r="Q21" s="540"/>
      <c r="R21" s="540"/>
      <c r="S21" s="541"/>
      <c r="T21" s="542">
        <v>12</v>
      </c>
      <c r="U21" s="543"/>
      <c r="V21" s="544"/>
      <c r="W21" s="545"/>
      <c r="X21" s="545"/>
      <c r="Y21" s="545"/>
      <c r="Z21" s="546"/>
      <c r="AA21" s="502"/>
      <c r="AB21" s="503"/>
      <c r="AC21" s="503"/>
      <c r="AD21" s="503"/>
      <c r="AE21" s="504"/>
      <c r="AF21" s="502"/>
      <c r="AG21" s="503"/>
      <c r="AH21" s="503"/>
      <c r="AI21" s="503"/>
      <c r="AJ21" s="504"/>
    </row>
    <row r="22" spans="1:38" x14ac:dyDescent="0.2">
      <c r="A22" s="539" t="s">
        <v>145</v>
      </c>
      <c r="B22" s="540"/>
      <c r="C22" s="540"/>
      <c r="D22" s="540"/>
      <c r="E22" s="540"/>
      <c r="F22" s="540"/>
      <c r="G22" s="540"/>
      <c r="H22" s="540"/>
      <c r="I22" s="540"/>
      <c r="J22" s="540"/>
      <c r="K22" s="540"/>
      <c r="L22" s="540"/>
      <c r="M22" s="540"/>
      <c r="N22" s="540"/>
      <c r="O22" s="540"/>
      <c r="P22" s="540"/>
      <c r="Q22" s="540"/>
      <c r="R22" s="540"/>
      <c r="S22" s="541"/>
      <c r="T22" s="542">
        <v>13</v>
      </c>
      <c r="U22" s="543"/>
      <c r="V22" s="550">
        <v>0</v>
      </c>
      <c r="W22" s="551"/>
      <c r="X22" s="551"/>
      <c r="Y22" s="551"/>
      <c r="Z22" s="552"/>
      <c r="AA22" s="502"/>
      <c r="AB22" s="503"/>
      <c r="AC22" s="503"/>
      <c r="AD22" s="503"/>
      <c r="AE22" s="504"/>
      <c r="AF22" s="502"/>
      <c r="AG22" s="503"/>
      <c r="AH22" s="503"/>
      <c r="AI22" s="503"/>
      <c r="AJ22" s="504"/>
    </row>
    <row r="23" spans="1:38" ht="12.75" customHeight="1" x14ac:dyDescent="0.2">
      <c r="A23" s="539" t="s">
        <v>146</v>
      </c>
      <c r="B23" s="540"/>
      <c r="C23" s="540"/>
      <c r="D23" s="540"/>
      <c r="E23" s="540"/>
      <c r="F23" s="540"/>
      <c r="G23" s="540"/>
      <c r="H23" s="540"/>
      <c r="I23" s="540"/>
      <c r="J23" s="540"/>
      <c r="K23" s="540"/>
      <c r="L23" s="540"/>
      <c r="M23" s="540"/>
      <c r="N23" s="540"/>
      <c r="O23" s="540"/>
      <c r="P23" s="540"/>
      <c r="Q23" s="540"/>
      <c r="R23" s="540"/>
      <c r="S23" s="541"/>
      <c r="T23" s="542">
        <v>14</v>
      </c>
      <c r="U23" s="543"/>
      <c r="V23" s="505">
        <v>517000</v>
      </c>
      <c r="W23" s="506"/>
      <c r="X23" s="506"/>
      <c r="Y23" s="506"/>
      <c r="Z23" s="507"/>
      <c r="AA23" s="505">
        <f>517000+4000</f>
        <v>521000</v>
      </c>
      <c r="AB23" s="506"/>
      <c r="AC23" s="506"/>
      <c r="AD23" s="506"/>
      <c r="AE23" s="507"/>
      <c r="AF23" s="505">
        <v>520500</v>
      </c>
      <c r="AG23" s="506"/>
      <c r="AH23" s="506"/>
      <c r="AI23" s="506"/>
      <c r="AJ23" s="507"/>
    </row>
    <row r="24" spans="1:38" ht="12.75" customHeight="1" x14ac:dyDescent="0.2">
      <c r="A24" s="539" t="s">
        <v>147</v>
      </c>
      <c r="B24" s="540"/>
      <c r="C24" s="540"/>
      <c r="D24" s="540"/>
      <c r="E24" s="540"/>
      <c r="F24" s="540"/>
      <c r="G24" s="540"/>
      <c r="H24" s="540"/>
      <c r="I24" s="540"/>
      <c r="J24" s="540"/>
      <c r="K24" s="540"/>
      <c r="L24" s="540"/>
      <c r="M24" s="540"/>
      <c r="N24" s="540"/>
      <c r="O24" s="540"/>
      <c r="P24" s="540"/>
      <c r="Q24" s="540"/>
      <c r="R24" s="540"/>
      <c r="S24" s="541"/>
      <c r="T24" s="542">
        <v>15</v>
      </c>
      <c r="U24" s="543"/>
      <c r="V24" s="505">
        <v>200000</v>
      </c>
      <c r="W24" s="506"/>
      <c r="X24" s="506"/>
      <c r="Y24" s="506"/>
      <c r="Z24" s="507"/>
      <c r="AA24" s="505">
        <v>105000</v>
      </c>
      <c r="AB24" s="506"/>
      <c r="AC24" s="506"/>
      <c r="AD24" s="506"/>
      <c r="AE24" s="507"/>
      <c r="AF24" s="505">
        <v>105000</v>
      </c>
      <c r="AG24" s="506"/>
      <c r="AH24" s="506"/>
      <c r="AI24" s="506"/>
      <c r="AJ24" s="507"/>
    </row>
    <row r="25" spans="1:38" ht="12.75" customHeight="1" x14ac:dyDescent="0.2">
      <c r="A25" s="558" t="s">
        <v>148</v>
      </c>
      <c r="B25" s="559"/>
      <c r="C25" s="559"/>
      <c r="D25" s="559"/>
      <c r="E25" s="559"/>
      <c r="F25" s="559"/>
      <c r="G25" s="559"/>
      <c r="H25" s="559"/>
      <c r="I25" s="559"/>
      <c r="J25" s="559"/>
      <c r="K25" s="559"/>
      <c r="L25" s="559"/>
      <c r="M25" s="559"/>
      <c r="N25" s="559"/>
      <c r="O25" s="559"/>
      <c r="P25" s="559"/>
      <c r="Q25" s="559"/>
      <c r="R25" s="559"/>
      <c r="S25" s="560"/>
      <c r="T25" s="542">
        <v>16</v>
      </c>
      <c r="U25" s="543"/>
      <c r="V25" s="550"/>
      <c r="W25" s="551"/>
      <c r="X25" s="551"/>
      <c r="Y25" s="551"/>
      <c r="Z25" s="552"/>
      <c r="AA25" s="502"/>
      <c r="AB25" s="503"/>
      <c r="AC25" s="503"/>
      <c r="AD25" s="503"/>
      <c r="AE25" s="504"/>
      <c r="AF25" s="502"/>
      <c r="AG25" s="503"/>
      <c r="AH25" s="503"/>
      <c r="AI25" s="503"/>
      <c r="AJ25" s="504"/>
    </row>
    <row r="26" spans="1:38" ht="12.75" customHeight="1" x14ac:dyDescent="0.2">
      <c r="A26" s="558" t="s">
        <v>149</v>
      </c>
      <c r="B26" s="559"/>
      <c r="C26" s="559"/>
      <c r="D26" s="559"/>
      <c r="E26" s="559"/>
      <c r="F26" s="559"/>
      <c r="G26" s="559"/>
      <c r="H26" s="559"/>
      <c r="I26" s="559"/>
      <c r="J26" s="559"/>
      <c r="K26" s="559"/>
      <c r="L26" s="559"/>
      <c r="M26" s="559"/>
      <c r="N26" s="559"/>
      <c r="O26" s="559"/>
      <c r="P26" s="559"/>
      <c r="Q26" s="559"/>
      <c r="R26" s="559"/>
      <c r="S26" s="560"/>
      <c r="T26" s="542">
        <v>17</v>
      </c>
      <c r="U26" s="543"/>
      <c r="V26" s="550"/>
      <c r="W26" s="551"/>
      <c r="X26" s="551"/>
      <c r="Y26" s="551"/>
      <c r="Z26" s="552"/>
      <c r="AA26" s="502"/>
      <c r="AB26" s="503"/>
      <c r="AC26" s="503"/>
      <c r="AD26" s="503"/>
      <c r="AE26" s="504"/>
      <c r="AF26" s="502"/>
      <c r="AG26" s="503"/>
      <c r="AH26" s="503"/>
      <c r="AI26" s="503"/>
      <c r="AJ26" s="504"/>
    </row>
    <row r="27" spans="1:38" ht="12.75" customHeight="1" x14ac:dyDescent="0.2">
      <c r="A27" s="558" t="s">
        <v>150</v>
      </c>
      <c r="B27" s="559"/>
      <c r="C27" s="559"/>
      <c r="D27" s="559"/>
      <c r="E27" s="559"/>
      <c r="F27" s="559"/>
      <c r="G27" s="559"/>
      <c r="H27" s="559"/>
      <c r="I27" s="559"/>
      <c r="J27" s="559"/>
      <c r="K27" s="559"/>
      <c r="L27" s="559"/>
      <c r="M27" s="559"/>
      <c r="N27" s="559"/>
      <c r="O27" s="559"/>
      <c r="P27" s="559"/>
      <c r="Q27" s="559"/>
      <c r="R27" s="559"/>
      <c r="S27" s="560"/>
      <c r="T27" s="542">
        <v>18</v>
      </c>
      <c r="U27" s="543"/>
      <c r="V27" s="550"/>
      <c r="W27" s="551"/>
      <c r="X27" s="551"/>
      <c r="Y27" s="551"/>
      <c r="Z27" s="552"/>
      <c r="AA27" s="502"/>
      <c r="AB27" s="503"/>
      <c r="AC27" s="503"/>
      <c r="AD27" s="503"/>
      <c r="AE27" s="504"/>
      <c r="AF27" s="502"/>
      <c r="AG27" s="503"/>
      <c r="AH27" s="503"/>
      <c r="AI27" s="503"/>
      <c r="AJ27" s="504"/>
    </row>
    <row r="28" spans="1:38" ht="12.75" customHeight="1" x14ac:dyDescent="0.2">
      <c r="A28" s="561" t="s">
        <v>407</v>
      </c>
      <c r="B28" s="562"/>
      <c r="C28" s="562"/>
      <c r="D28" s="562"/>
      <c r="E28" s="562"/>
      <c r="F28" s="562"/>
      <c r="G28" s="562"/>
      <c r="H28" s="562"/>
      <c r="I28" s="562"/>
      <c r="J28" s="562"/>
      <c r="K28" s="562"/>
      <c r="L28" s="562"/>
      <c r="M28" s="562"/>
      <c r="N28" s="562"/>
      <c r="O28" s="562"/>
      <c r="P28" s="562"/>
      <c r="Q28" s="562"/>
      <c r="R28" s="562"/>
      <c r="S28" s="563"/>
      <c r="T28" s="542">
        <v>19</v>
      </c>
      <c r="U28" s="543"/>
      <c r="V28" s="505">
        <f>29*50000</f>
        <v>1450000</v>
      </c>
      <c r="W28" s="506"/>
      <c r="X28" s="506"/>
      <c r="Y28" s="506"/>
      <c r="Z28" s="507"/>
      <c r="AA28" s="505">
        <f>29*50000</f>
        <v>1450000</v>
      </c>
      <c r="AB28" s="506"/>
      <c r="AC28" s="506"/>
      <c r="AD28" s="506"/>
      <c r="AE28" s="507"/>
      <c r="AF28" s="505">
        <v>910000</v>
      </c>
      <c r="AG28" s="506"/>
      <c r="AH28" s="506"/>
      <c r="AI28" s="506"/>
      <c r="AJ28" s="507"/>
    </row>
    <row r="29" spans="1:38" ht="12.75" customHeight="1" x14ac:dyDescent="0.2">
      <c r="A29" s="564" t="s">
        <v>151</v>
      </c>
      <c r="B29" s="565"/>
      <c r="C29" s="565"/>
      <c r="D29" s="565"/>
      <c r="E29" s="565"/>
      <c r="F29" s="565"/>
      <c r="G29" s="565"/>
      <c r="H29" s="565"/>
      <c r="I29" s="565"/>
      <c r="J29" s="565"/>
      <c r="K29" s="565"/>
      <c r="L29" s="565"/>
      <c r="M29" s="565"/>
      <c r="N29" s="565"/>
      <c r="O29" s="565"/>
      <c r="P29" s="565"/>
      <c r="Q29" s="565"/>
      <c r="R29" s="565"/>
      <c r="S29" s="566"/>
      <c r="T29" s="542">
        <v>20</v>
      </c>
      <c r="U29" s="543"/>
      <c r="V29" s="514">
        <f>SUM(V10:Z28)</f>
        <v>14567720</v>
      </c>
      <c r="W29" s="515"/>
      <c r="X29" s="515"/>
      <c r="Y29" s="515"/>
      <c r="Z29" s="516"/>
      <c r="AA29" s="514">
        <f>SUM(AA10:AE28)</f>
        <v>13218720</v>
      </c>
      <c r="AB29" s="515"/>
      <c r="AC29" s="515"/>
      <c r="AD29" s="515"/>
      <c r="AE29" s="516"/>
      <c r="AF29" s="514">
        <f>SUM(AF10:AJ28)</f>
        <v>7914625</v>
      </c>
      <c r="AG29" s="515"/>
      <c r="AH29" s="515"/>
      <c r="AI29" s="515"/>
      <c r="AJ29" s="516"/>
    </row>
    <row r="30" spans="1:38" ht="12.75" customHeight="1" x14ac:dyDescent="0.2">
      <c r="A30" s="558" t="s">
        <v>152</v>
      </c>
      <c r="B30" s="559"/>
      <c r="C30" s="559"/>
      <c r="D30" s="559"/>
      <c r="E30" s="559"/>
      <c r="F30" s="559"/>
      <c r="G30" s="559"/>
      <c r="H30" s="559"/>
      <c r="I30" s="559"/>
      <c r="J30" s="559"/>
      <c r="K30" s="559"/>
      <c r="L30" s="559"/>
      <c r="M30" s="559"/>
      <c r="N30" s="559"/>
      <c r="O30" s="559"/>
      <c r="P30" s="559"/>
      <c r="Q30" s="559"/>
      <c r="R30" s="559"/>
      <c r="S30" s="560"/>
      <c r="T30" s="542">
        <v>21</v>
      </c>
      <c r="U30" s="543"/>
      <c r="V30" s="550"/>
      <c r="W30" s="551"/>
      <c r="X30" s="551"/>
      <c r="Y30" s="551"/>
      <c r="Z30" s="552"/>
      <c r="AA30" s="502"/>
      <c r="AB30" s="503"/>
      <c r="AC30" s="503"/>
      <c r="AD30" s="503"/>
      <c r="AE30" s="504"/>
      <c r="AF30" s="502"/>
      <c r="AG30" s="503"/>
      <c r="AH30" s="503"/>
      <c r="AI30" s="503"/>
      <c r="AJ30" s="504"/>
    </row>
    <row r="31" spans="1:38" ht="12.75" customHeight="1" x14ac:dyDescent="0.2">
      <c r="A31" s="558" t="s">
        <v>153</v>
      </c>
      <c r="B31" s="559"/>
      <c r="C31" s="559"/>
      <c r="D31" s="559"/>
      <c r="E31" s="559"/>
      <c r="F31" s="559"/>
      <c r="G31" s="559"/>
      <c r="H31" s="559"/>
      <c r="I31" s="559"/>
      <c r="J31" s="559"/>
      <c r="K31" s="559"/>
      <c r="L31" s="559"/>
      <c r="M31" s="559"/>
      <c r="N31" s="559"/>
      <c r="O31" s="559"/>
      <c r="P31" s="559"/>
      <c r="Q31" s="559"/>
      <c r="R31" s="559"/>
      <c r="S31" s="560"/>
      <c r="T31" s="542">
        <v>22</v>
      </c>
      <c r="U31" s="543"/>
      <c r="V31" s="333"/>
      <c r="W31" s="334"/>
      <c r="X31" s="334"/>
      <c r="Y31" s="334"/>
      <c r="Z31" s="335"/>
      <c r="AA31" s="421"/>
      <c r="AB31" s="422"/>
      <c r="AC31" s="422"/>
      <c r="AD31" s="422"/>
      <c r="AE31" s="423"/>
      <c r="AF31" s="421"/>
      <c r="AG31" s="422"/>
      <c r="AH31" s="422"/>
      <c r="AI31" s="422"/>
      <c r="AJ31" s="423"/>
    </row>
    <row r="32" spans="1:38" ht="12.75" customHeight="1" x14ac:dyDescent="0.2">
      <c r="A32" s="558" t="s">
        <v>154</v>
      </c>
      <c r="B32" s="559"/>
      <c r="C32" s="559"/>
      <c r="D32" s="559"/>
      <c r="E32" s="559"/>
      <c r="F32" s="559"/>
      <c r="G32" s="559"/>
      <c r="H32" s="559"/>
      <c r="I32" s="559"/>
      <c r="J32" s="559"/>
      <c r="K32" s="559"/>
      <c r="L32" s="559"/>
      <c r="M32" s="559"/>
      <c r="N32" s="559"/>
      <c r="O32" s="559"/>
      <c r="P32" s="559"/>
      <c r="Q32" s="559"/>
      <c r="R32" s="559"/>
      <c r="S32" s="560"/>
      <c r="T32" s="542">
        <v>23</v>
      </c>
      <c r="U32" s="543"/>
      <c r="V32" s="550"/>
      <c r="W32" s="551"/>
      <c r="X32" s="551"/>
      <c r="Y32" s="551"/>
      <c r="Z32" s="552"/>
      <c r="AA32" s="502"/>
      <c r="AB32" s="503"/>
      <c r="AC32" s="503"/>
      <c r="AD32" s="503"/>
      <c r="AE32" s="504"/>
      <c r="AF32" s="502"/>
      <c r="AG32" s="503"/>
      <c r="AH32" s="503"/>
      <c r="AI32" s="503"/>
      <c r="AJ32" s="504"/>
    </row>
    <row r="33" spans="1:36" ht="12.75" customHeight="1" x14ac:dyDescent="0.2">
      <c r="A33" s="558" t="s">
        <v>155</v>
      </c>
      <c r="B33" s="559"/>
      <c r="C33" s="559"/>
      <c r="D33" s="559"/>
      <c r="E33" s="559"/>
      <c r="F33" s="559"/>
      <c r="G33" s="559"/>
      <c r="H33" s="559"/>
      <c r="I33" s="559"/>
      <c r="J33" s="559"/>
      <c r="K33" s="559"/>
      <c r="L33" s="559"/>
      <c r="M33" s="559"/>
      <c r="N33" s="559"/>
      <c r="O33" s="559"/>
      <c r="P33" s="559"/>
      <c r="Q33" s="559"/>
      <c r="R33" s="559"/>
      <c r="S33" s="560"/>
      <c r="T33" s="542">
        <v>24</v>
      </c>
      <c r="U33" s="543"/>
      <c r="V33" s="550"/>
      <c r="W33" s="551"/>
      <c r="X33" s="551"/>
      <c r="Y33" s="551"/>
      <c r="Z33" s="552"/>
      <c r="AA33" s="502"/>
      <c r="AB33" s="503"/>
      <c r="AC33" s="503"/>
      <c r="AD33" s="503"/>
      <c r="AE33" s="504"/>
      <c r="AF33" s="502"/>
      <c r="AG33" s="503"/>
      <c r="AH33" s="503"/>
      <c r="AI33" s="503"/>
      <c r="AJ33" s="504"/>
    </row>
    <row r="34" spans="1:36" ht="12.75" customHeight="1" x14ac:dyDescent="0.2">
      <c r="A34" s="558" t="s">
        <v>408</v>
      </c>
      <c r="B34" s="559"/>
      <c r="C34" s="559"/>
      <c r="D34" s="559"/>
      <c r="E34" s="559"/>
      <c r="F34" s="559"/>
      <c r="G34" s="559"/>
      <c r="H34" s="559"/>
      <c r="I34" s="559"/>
      <c r="J34" s="559"/>
      <c r="K34" s="559"/>
      <c r="L34" s="559"/>
      <c r="M34" s="559"/>
      <c r="N34" s="559"/>
      <c r="O34" s="559"/>
      <c r="P34" s="559"/>
      <c r="Q34" s="559"/>
      <c r="R34" s="559"/>
      <c r="S34" s="560"/>
      <c r="T34" s="542">
        <v>25</v>
      </c>
      <c r="U34" s="543"/>
      <c r="V34" s="550"/>
      <c r="W34" s="551"/>
      <c r="X34" s="551"/>
      <c r="Y34" s="551"/>
      <c r="Z34" s="552"/>
      <c r="AA34" s="502"/>
      <c r="AB34" s="503"/>
      <c r="AC34" s="503"/>
      <c r="AD34" s="503"/>
      <c r="AE34" s="504"/>
      <c r="AF34" s="502"/>
      <c r="AG34" s="503"/>
      <c r="AH34" s="503"/>
      <c r="AI34" s="503"/>
      <c r="AJ34" s="504"/>
    </row>
    <row r="35" spans="1:36" ht="12.75" customHeight="1" x14ac:dyDescent="0.2">
      <c r="A35" s="558" t="s">
        <v>156</v>
      </c>
      <c r="B35" s="559"/>
      <c r="C35" s="559"/>
      <c r="D35" s="559"/>
      <c r="E35" s="559"/>
      <c r="F35" s="559"/>
      <c r="G35" s="559"/>
      <c r="H35" s="559"/>
      <c r="I35" s="559"/>
      <c r="J35" s="559"/>
      <c r="K35" s="559"/>
      <c r="L35" s="559"/>
      <c r="M35" s="559"/>
      <c r="N35" s="559"/>
      <c r="O35" s="559"/>
      <c r="P35" s="559"/>
      <c r="Q35" s="559"/>
      <c r="R35" s="559"/>
      <c r="S35" s="560"/>
      <c r="T35" s="542">
        <v>26</v>
      </c>
      <c r="U35" s="543"/>
      <c r="V35" s="550"/>
      <c r="W35" s="551"/>
      <c r="X35" s="551"/>
      <c r="Y35" s="551"/>
      <c r="Z35" s="552"/>
      <c r="AA35" s="502"/>
      <c r="AB35" s="503"/>
      <c r="AC35" s="503"/>
      <c r="AD35" s="503"/>
      <c r="AE35" s="504"/>
      <c r="AF35" s="502"/>
      <c r="AG35" s="503"/>
      <c r="AH35" s="503"/>
      <c r="AI35" s="503"/>
      <c r="AJ35" s="504"/>
    </row>
    <row r="36" spans="1:36" ht="12.75" customHeight="1" x14ac:dyDescent="0.2">
      <c r="A36" s="558" t="s">
        <v>157</v>
      </c>
      <c r="B36" s="559"/>
      <c r="C36" s="559"/>
      <c r="D36" s="559"/>
      <c r="E36" s="559"/>
      <c r="F36" s="559"/>
      <c r="G36" s="559"/>
      <c r="H36" s="559"/>
      <c r="I36" s="559"/>
      <c r="J36" s="559"/>
      <c r="K36" s="559"/>
      <c r="L36" s="559"/>
      <c r="M36" s="559"/>
      <c r="N36" s="559"/>
      <c r="O36" s="559"/>
      <c r="P36" s="559"/>
      <c r="Q36" s="559"/>
      <c r="R36" s="559"/>
      <c r="S36" s="560"/>
      <c r="T36" s="542">
        <v>27</v>
      </c>
      <c r="U36" s="543"/>
      <c r="V36" s="505">
        <f>29970+24606+45000+30132+45000</f>
        <v>174708</v>
      </c>
      <c r="W36" s="506"/>
      <c r="X36" s="506"/>
      <c r="Y36" s="506"/>
      <c r="Z36" s="507"/>
      <c r="AA36" s="511">
        <v>174708</v>
      </c>
      <c r="AB36" s="512"/>
      <c r="AC36" s="512"/>
      <c r="AD36" s="512"/>
      <c r="AE36" s="513"/>
      <c r="AF36" s="511"/>
      <c r="AG36" s="512"/>
      <c r="AH36" s="512"/>
      <c r="AI36" s="512"/>
      <c r="AJ36" s="513"/>
    </row>
    <row r="37" spans="1:36" ht="12.75" customHeight="1" x14ac:dyDescent="0.2">
      <c r="A37" s="558" t="s">
        <v>158</v>
      </c>
      <c r="B37" s="559"/>
      <c r="C37" s="559"/>
      <c r="D37" s="559"/>
      <c r="E37" s="559"/>
      <c r="F37" s="559"/>
      <c r="G37" s="559"/>
      <c r="H37" s="559"/>
      <c r="I37" s="559"/>
      <c r="J37" s="559"/>
      <c r="K37" s="559"/>
      <c r="L37" s="559"/>
      <c r="M37" s="559"/>
      <c r="N37" s="559"/>
      <c r="O37" s="559"/>
      <c r="P37" s="559"/>
      <c r="Q37" s="559"/>
      <c r="R37" s="559"/>
      <c r="S37" s="560"/>
      <c r="T37" s="542">
        <v>28</v>
      </c>
      <c r="U37" s="543"/>
      <c r="V37" s="550"/>
      <c r="W37" s="551"/>
      <c r="X37" s="551"/>
      <c r="Y37" s="551"/>
      <c r="Z37" s="552"/>
      <c r="AA37" s="502"/>
      <c r="AB37" s="503"/>
      <c r="AC37" s="503"/>
      <c r="AD37" s="503"/>
      <c r="AE37" s="504"/>
      <c r="AF37" s="502"/>
      <c r="AG37" s="503"/>
      <c r="AH37" s="503"/>
      <c r="AI37" s="503"/>
      <c r="AJ37" s="504"/>
    </row>
    <row r="38" spans="1:36" ht="12.75" customHeight="1" x14ac:dyDescent="0.2">
      <c r="A38" s="558" t="s">
        <v>159</v>
      </c>
      <c r="B38" s="559"/>
      <c r="C38" s="559"/>
      <c r="D38" s="559"/>
      <c r="E38" s="559"/>
      <c r="F38" s="559"/>
      <c r="G38" s="559"/>
      <c r="H38" s="559"/>
      <c r="I38" s="559"/>
      <c r="J38" s="559"/>
      <c r="K38" s="559"/>
      <c r="L38" s="559"/>
      <c r="M38" s="559"/>
      <c r="N38" s="559"/>
      <c r="O38" s="559"/>
      <c r="P38" s="559"/>
      <c r="Q38" s="559"/>
      <c r="R38" s="559"/>
      <c r="S38" s="560"/>
      <c r="T38" s="542">
        <v>29</v>
      </c>
      <c r="U38" s="543"/>
      <c r="V38" s="550"/>
      <c r="W38" s="551"/>
      <c r="X38" s="551"/>
      <c r="Y38" s="551"/>
      <c r="Z38" s="552"/>
      <c r="AA38" s="502"/>
      <c r="AB38" s="503"/>
      <c r="AC38" s="503"/>
      <c r="AD38" s="503"/>
      <c r="AE38" s="504"/>
      <c r="AF38" s="502"/>
      <c r="AG38" s="503"/>
      <c r="AH38" s="503"/>
      <c r="AI38" s="503"/>
      <c r="AJ38" s="504"/>
    </row>
    <row r="39" spans="1:36" ht="12.75" customHeight="1" x14ac:dyDescent="0.2">
      <c r="A39" s="558" t="s">
        <v>160</v>
      </c>
      <c r="B39" s="559"/>
      <c r="C39" s="559"/>
      <c r="D39" s="559"/>
      <c r="E39" s="559"/>
      <c r="F39" s="559"/>
      <c r="G39" s="559"/>
      <c r="H39" s="559"/>
      <c r="I39" s="559"/>
      <c r="J39" s="559"/>
      <c r="K39" s="559"/>
      <c r="L39" s="559"/>
      <c r="M39" s="559"/>
      <c r="N39" s="559"/>
      <c r="O39" s="559"/>
      <c r="P39" s="559"/>
      <c r="Q39" s="559"/>
      <c r="R39" s="559"/>
      <c r="S39" s="560"/>
      <c r="T39" s="542">
        <v>30</v>
      </c>
      <c r="U39" s="543"/>
      <c r="V39" s="550"/>
      <c r="W39" s="551"/>
      <c r="X39" s="551"/>
      <c r="Y39" s="551"/>
      <c r="Z39" s="552"/>
      <c r="AA39" s="502"/>
      <c r="AB39" s="503"/>
      <c r="AC39" s="503"/>
      <c r="AD39" s="503"/>
      <c r="AE39" s="504"/>
      <c r="AF39" s="502"/>
      <c r="AG39" s="503"/>
      <c r="AH39" s="503"/>
      <c r="AI39" s="503"/>
      <c r="AJ39" s="504"/>
    </row>
    <row r="40" spans="1:36" x14ac:dyDescent="0.2">
      <c r="A40" s="558" t="s">
        <v>161</v>
      </c>
      <c r="B40" s="559"/>
      <c r="C40" s="559"/>
      <c r="D40" s="559"/>
      <c r="E40" s="559"/>
      <c r="F40" s="559"/>
      <c r="G40" s="559"/>
      <c r="H40" s="559"/>
      <c r="I40" s="559"/>
      <c r="J40" s="559"/>
      <c r="K40" s="559"/>
      <c r="L40" s="559"/>
      <c r="M40" s="559"/>
      <c r="N40" s="559"/>
      <c r="O40" s="559"/>
      <c r="P40" s="559"/>
      <c r="Q40" s="559"/>
      <c r="R40" s="559"/>
      <c r="S40" s="560"/>
      <c r="T40" s="542">
        <v>31</v>
      </c>
      <c r="U40" s="543"/>
      <c r="V40" s="505">
        <f>2*5800*100</f>
        <v>1160000</v>
      </c>
      <c r="W40" s="506"/>
      <c r="X40" s="506"/>
      <c r="Y40" s="506"/>
      <c r="Z40" s="507"/>
      <c r="AA40" s="511">
        <v>1160000</v>
      </c>
      <c r="AB40" s="512"/>
      <c r="AC40" s="512"/>
      <c r="AD40" s="512"/>
      <c r="AE40" s="513"/>
      <c r="AF40" s="511">
        <v>991800</v>
      </c>
      <c r="AG40" s="512"/>
      <c r="AH40" s="512"/>
      <c r="AI40" s="512"/>
      <c r="AJ40" s="513"/>
    </row>
    <row r="41" spans="1:36" x14ac:dyDescent="0.2">
      <c r="A41" s="570" t="s">
        <v>162</v>
      </c>
      <c r="B41" s="571"/>
      <c r="C41" s="571"/>
      <c r="D41" s="571"/>
      <c r="E41" s="571"/>
      <c r="F41" s="571"/>
      <c r="G41" s="571"/>
      <c r="H41" s="571"/>
      <c r="I41" s="571"/>
      <c r="J41" s="571"/>
      <c r="K41" s="571"/>
      <c r="L41" s="571"/>
      <c r="M41" s="571"/>
      <c r="N41" s="571"/>
      <c r="O41" s="571"/>
      <c r="P41" s="571"/>
      <c r="Q41" s="571"/>
      <c r="R41" s="571"/>
      <c r="S41" s="572"/>
      <c r="T41" s="542">
        <v>32</v>
      </c>
      <c r="U41" s="543"/>
      <c r="V41" s="514">
        <f>SUM(V30:Z40)</f>
        <v>1334708</v>
      </c>
      <c r="W41" s="515"/>
      <c r="X41" s="515"/>
      <c r="Y41" s="515"/>
      <c r="Z41" s="516"/>
      <c r="AA41" s="514">
        <f>SUM(AA30:AE40)</f>
        <v>1334708</v>
      </c>
      <c r="AB41" s="515"/>
      <c r="AC41" s="515"/>
      <c r="AD41" s="515"/>
      <c r="AE41" s="516"/>
      <c r="AF41" s="514">
        <f>SUM(AF30:AJ40)</f>
        <v>991800</v>
      </c>
      <c r="AG41" s="515"/>
      <c r="AH41" s="515"/>
      <c r="AI41" s="515"/>
      <c r="AJ41" s="516"/>
    </row>
    <row r="42" spans="1:36" x14ac:dyDescent="0.2">
      <c r="A42" s="570" t="s">
        <v>163</v>
      </c>
      <c r="B42" s="571"/>
      <c r="C42" s="571"/>
      <c r="D42" s="571"/>
      <c r="E42" s="571"/>
      <c r="F42" s="571"/>
      <c r="G42" s="571"/>
      <c r="H42" s="571"/>
      <c r="I42" s="571"/>
      <c r="J42" s="571"/>
      <c r="K42" s="571"/>
      <c r="L42" s="571"/>
      <c r="M42" s="571"/>
      <c r="N42" s="571"/>
      <c r="O42" s="571"/>
      <c r="P42" s="571"/>
      <c r="Q42" s="571"/>
      <c r="R42" s="571"/>
      <c r="S42" s="572"/>
      <c r="T42" s="542">
        <v>33</v>
      </c>
      <c r="U42" s="543"/>
      <c r="V42" s="514">
        <f>V29+V41</f>
        <v>15902428</v>
      </c>
      <c r="W42" s="515"/>
      <c r="X42" s="515"/>
      <c r="Y42" s="515"/>
      <c r="Z42" s="516"/>
      <c r="AA42" s="514">
        <f>AA29+AA41</f>
        <v>14553428</v>
      </c>
      <c r="AB42" s="515"/>
      <c r="AC42" s="515"/>
      <c r="AD42" s="515"/>
      <c r="AE42" s="516"/>
      <c r="AF42" s="514">
        <f>AF29+AF41</f>
        <v>8906425</v>
      </c>
      <c r="AG42" s="515"/>
      <c r="AH42" s="515"/>
      <c r="AI42" s="515"/>
      <c r="AJ42" s="516"/>
    </row>
    <row r="43" spans="1:36" x14ac:dyDescent="0.2">
      <c r="A43" s="539" t="s">
        <v>164</v>
      </c>
      <c r="B43" s="540"/>
      <c r="C43" s="540"/>
      <c r="D43" s="540"/>
      <c r="E43" s="540"/>
      <c r="F43" s="540"/>
      <c r="G43" s="540"/>
      <c r="H43" s="540"/>
      <c r="I43" s="540"/>
      <c r="J43" s="540"/>
      <c r="K43" s="540"/>
      <c r="L43" s="540"/>
      <c r="M43" s="540"/>
      <c r="N43" s="540"/>
      <c r="O43" s="540"/>
      <c r="P43" s="540"/>
      <c r="Q43" s="540"/>
      <c r="R43" s="540"/>
      <c r="S43" s="541"/>
      <c r="T43" s="542">
        <v>34</v>
      </c>
      <c r="U43" s="543"/>
      <c r="V43" s="567"/>
      <c r="W43" s="568"/>
      <c r="X43" s="568"/>
      <c r="Y43" s="568"/>
      <c r="Z43" s="569"/>
      <c r="AA43" s="511"/>
      <c r="AB43" s="512"/>
      <c r="AC43" s="512"/>
      <c r="AD43" s="512"/>
      <c r="AE43" s="513"/>
      <c r="AF43" s="511"/>
      <c r="AG43" s="512"/>
      <c r="AH43" s="512"/>
      <c r="AI43" s="512"/>
      <c r="AJ43" s="513"/>
    </row>
    <row r="44" spans="1:36" x14ac:dyDescent="0.2">
      <c r="A44" s="539" t="s">
        <v>165</v>
      </c>
      <c r="B44" s="540"/>
      <c r="C44" s="540"/>
      <c r="D44" s="540"/>
      <c r="E44" s="540"/>
      <c r="F44" s="540"/>
      <c r="G44" s="540"/>
      <c r="H44" s="540"/>
      <c r="I44" s="540"/>
      <c r="J44" s="540"/>
      <c r="K44" s="540"/>
      <c r="L44" s="540"/>
      <c r="M44" s="540"/>
      <c r="N44" s="540"/>
      <c r="O44" s="540"/>
      <c r="P44" s="540"/>
      <c r="Q44" s="540"/>
      <c r="R44" s="540"/>
      <c r="S44" s="541"/>
      <c r="T44" s="542">
        <v>35</v>
      </c>
      <c r="U44" s="543"/>
      <c r="V44" s="505">
        <v>367665</v>
      </c>
      <c r="W44" s="506"/>
      <c r="X44" s="506"/>
      <c r="Y44" s="506"/>
      <c r="Z44" s="507"/>
      <c r="AA44" s="505">
        <f>367666+1411000</f>
        <v>1778666</v>
      </c>
      <c r="AB44" s="506"/>
      <c r="AC44" s="506"/>
      <c r="AD44" s="506"/>
      <c r="AE44" s="507"/>
      <c r="AF44" s="505">
        <v>1777365</v>
      </c>
      <c r="AG44" s="506"/>
      <c r="AH44" s="506"/>
      <c r="AI44" s="506"/>
      <c r="AJ44" s="507"/>
    </row>
    <row r="45" spans="1:36" x14ac:dyDescent="0.2">
      <c r="A45" s="570" t="s">
        <v>166</v>
      </c>
      <c r="B45" s="571"/>
      <c r="C45" s="571"/>
      <c r="D45" s="571"/>
      <c r="E45" s="571"/>
      <c r="F45" s="571"/>
      <c r="G45" s="571"/>
      <c r="H45" s="571"/>
      <c r="I45" s="571"/>
      <c r="J45" s="571"/>
      <c r="K45" s="571"/>
      <c r="L45" s="571"/>
      <c r="M45" s="571"/>
      <c r="N45" s="571"/>
      <c r="O45" s="571"/>
      <c r="P45" s="571"/>
      <c r="Q45" s="571"/>
      <c r="R45" s="571"/>
      <c r="S45" s="572"/>
      <c r="T45" s="542">
        <v>36</v>
      </c>
      <c r="U45" s="543"/>
      <c r="V45" s="514">
        <f>SUM(V42+V43+V44)</f>
        <v>16270093</v>
      </c>
      <c r="W45" s="515"/>
      <c r="X45" s="515"/>
      <c r="Y45" s="515"/>
      <c r="Z45" s="516"/>
      <c r="AA45" s="514">
        <f>SUM(AA42+AA43+AA44)</f>
        <v>16332094</v>
      </c>
      <c r="AB45" s="515"/>
      <c r="AC45" s="515"/>
      <c r="AD45" s="515"/>
      <c r="AE45" s="516"/>
      <c r="AF45" s="514">
        <f>SUM(AF42+AF43+AF44)</f>
        <v>10683790</v>
      </c>
      <c r="AG45" s="515"/>
      <c r="AH45" s="515"/>
      <c r="AI45" s="515"/>
      <c r="AJ45" s="516"/>
    </row>
  </sheetData>
  <mergeCells count="184">
    <mergeCell ref="AF45:AJ45"/>
    <mergeCell ref="AF8:AJ9"/>
    <mergeCell ref="A43:S43"/>
    <mergeCell ref="T43:U43"/>
    <mergeCell ref="V43:Z43"/>
    <mergeCell ref="AA43:AE43"/>
    <mergeCell ref="A44:S44"/>
    <mergeCell ref="T44:U44"/>
    <mergeCell ref="V44:Z44"/>
    <mergeCell ref="AA44:AE44"/>
    <mergeCell ref="A45:S45"/>
    <mergeCell ref="T45:U45"/>
    <mergeCell ref="V45:Z45"/>
    <mergeCell ref="AA45:AE45"/>
    <mergeCell ref="A40:S40"/>
    <mergeCell ref="T40:U40"/>
    <mergeCell ref="V40:Z40"/>
    <mergeCell ref="AA40:AE40"/>
    <mergeCell ref="A41:S41"/>
    <mergeCell ref="T41:U41"/>
    <mergeCell ref="V41:Z41"/>
    <mergeCell ref="AA41:AE41"/>
    <mergeCell ref="A42:S42"/>
    <mergeCell ref="T42:U42"/>
    <mergeCell ref="V42:Z42"/>
    <mergeCell ref="AA42:AE42"/>
    <mergeCell ref="A37:S37"/>
    <mergeCell ref="T37:U37"/>
    <mergeCell ref="V37:Z37"/>
    <mergeCell ref="AA37:AE37"/>
    <mergeCell ref="A38:S38"/>
    <mergeCell ref="T38:U38"/>
    <mergeCell ref="V38:Z38"/>
    <mergeCell ref="AA38:AE38"/>
    <mergeCell ref="A39:S39"/>
    <mergeCell ref="T39:U39"/>
    <mergeCell ref="V39:Z39"/>
    <mergeCell ref="AA39:AE39"/>
    <mergeCell ref="A34:S34"/>
    <mergeCell ref="T34:U34"/>
    <mergeCell ref="V34:Z34"/>
    <mergeCell ref="AA34:AE34"/>
    <mergeCell ref="A35:S35"/>
    <mergeCell ref="T35:U35"/>
    <mergeCell ref="V35:Z35"/>
    <mergeCell ref="AA35:AE35"/>
    <mergeCell ref="A36:S36"/>
    <mergeCell ref="T36:U36"/>
    <mergeCell ref="V36:Z36"/>
    <mergeCell ref="AA36:AE36"/>
    <mergeCell ref="A31:S31"/>
    <mergeCell ref="T31:U31"/>
    <mergeCell ref="A32:S32"/>
    <mergeCell ref="T32:U32"/>
    <mergeCell ref="V32:Z32"/>
    <mergeCell ref="AA32:AE32"/>
    <mergeCell ref="A33:S33"/>
    <mergeCell ref="T33:U33"/>
    <mergeCell ref="V33:Z33"/>
    <mergeCell ref="AA33:AE33"/>
    <mergeCell ref="A28:S28"/>
    <mergeCell ref="T28:U28"/>
    <mergeCell ref="V28:Z28"/>
    <mergeCell ref="AA28:AE28"/>
    <mergeCell ref="A29:S29"/>
    <mergeCell ref="T29:U29"/>
    <mergeCell ref="V29:Z29"/>
    <mergeCell ref="AA29:AE29"/>
    <mergeCell ref="A30:S30"/>
    <mergeCell ref="T30:U30"/>
    <mergeCell ref="V30:Z30"/>
    <mergeCell ref="AA30:AE30"/>
    <mergeCell ref="A25:S25"/>
    <mergeCell ref="T25:U25"/>
    <mergeCell ref="V25:Z25"/>
    <mergeCell ref="AA25:AE25"/>
    <mergeCell ref="A26:S26"/>
    <mergeCell ref="T26:U26"/>
    <mergeCell ref="V26:Z26"/>
    <mergeCell ref="AA26:AE26"/>
    <mergeCell ref="A27:S27"/>
    <mergeCell ref="T27:U27"/>
    <mergeCell ref="V27:Z27"/>
    <mergeCell ref="AA27:AE27"/>
    <mergeCell ref="A22:S22"/>
    <mergeCell ref="T22:U22"/>
    <mergeCell ref="V22:Z22"/>
    <mergeCell ref="AA22:AE22"/>
    <mergeCell ref="A23:S23"/>
    <mergeCell ref="T23:U23"/>
    <mergeCell ref="V23:Z23"/>
    <mergeCell ref="AA23:AE23"/>
    <mergeCell ref="A24:S24"/>
    <mergeCell ref="T24:U24"/>
    <mergeCell ref="V24:Z24"/>
    <mergeCell ref="AA24:AE24"/>
    <mergeCell ref="A19:S19"/>
    <mergeCell ref="T19:U19"/>
    <mergeCell ref="V19:Z19"/>
    <mergeCell ref="AA19:AE19"/>
    <mergeCell ref="A20:S20"/>
    <mergeCell ref="T20:U20"/>
    <mergeCell ref="V20:Z20"/>
    <mergeCell ref="AA20:AE20"/>
    <mergeCell ref="A21:S21"/>
    <mergeCell ref="T21:U21"/>
    <mergeCell ref="V21:Z21"/>
    <mergeCell ref="AA21:AE21"/>
    <mergeCell ref="T16:U16"/>
    <mergeCell ref="V16:Z16"/>
    <mergeCell ref="AA16:AE16"/>
    <mergeCell ref="A17:S17"/>
    <mergeCell ref="T17:U17"/>
    <mergeCell ref="V17:Z17"/>
    <mergeCell ref="AA17:AE17"/>
    <mergeCell ref="A18:S18"/>
    <mergeCell ref="T18:U18"/>
    <mergeCell ref="V18:Z18"/>
    <mergeCell ref="AA18:AE18"/>
    <mergeCell ref="A13:S13"/>
    <mergeCell ref="T13:U13"/>
    <mergeCell ref="V13:Z13"/>
    <mergeCell ref="AA13:AE13"/>
    <mergeCell ref="A14:S14"/>
    <mergeCell ref="T14:U14"/>
    <mergeCell ref="V14:Z14"/>
    <mergeCell ref="AA14:AE14"/>
    <mergeCell ref="A15:S15"/>
    <mergeCell ref="T15:U15"/>
    <mergeCell ref="AA15:AE15"/>
    <mergeCell ref="A10:S10"/>
    <mergeCell ref="T10:U10"/>
    <mergeCell ref="V10:Z10"/>
    <mergeCell ref="AA10:AE10"/>
    <mergeCell ref="A11:S11"/>
    <mergeCell ref="T11:U11"/>
    <mergeCell ref="V11:Z11"/>
    <mergeCell ref="AA11:AE11"/>
    <mergeCell ref="A12:S12"/>
    <mergeCell ref="T12:U12"/>
    <mergeCell ref="V12:Z12"/>
    <mergeCell ref="AA12:AE12"/>
    <mergeCell ref="A2:AI2"/>
    <mergeCell ref="A3:AI3"/>
    <mergeCell ref="F4:U4"/>
    <mergeCell ref="A5:AI5"/>
    <mergeCell ref="A8:S8"/>
    <mergeCell ref="T8:U9"/>
    <mergeCell ref="V8:Z9"/>
    <mergeCell ref="AA8:AE9"/>
    <mergeCell ref="AF38:AJ38"/>
    <mergeCell ref="AF26:AJ26"/>
    <mergeCell ref="AF27:AJ27"/>
    <mergeCell ref="AF28:AJ28"/>
    <mergeCell ref="AF29:AJ29"/>
    <mergeCell ref="AF30:AJ30"/>
    <mergeCell ref="AF20:AJ20"/>
    <mergeCell ref="AF21:AJ21"/>
    <mergeCell ref="AF22:AJ22"/>
    <mergeCell ref="AF23:AJ23"/>
    <mergeCell ref="AF24:AJ24"/>
    <mergeCell ref="AF25:AJ25"/>
    <mergeCell ref="AF14:AJ14"/>
    <mergeCell ref="AF15:AJ15"/>
    <mergeCell ref="AF16:AJ16"/>
    <mergeCell ref="AF17:AJ17"/>
    <mergeCell ref="AF18:AJ18"/>
    <mergeCell ref="AF19:AJ19"/>
    <mergeCell ref="AF10:AJ10"/>
    <mergeCell ref="AF11:AJ11"/>
    <mergeCell ref="AF12:AJ12"/>
    <mergeCell ref="AF13:AJ13"/>
    <mergeCell ref="AF39:AJ39"/>
    <mergeCell ref="AF44:AJ44"/>
    <mergeCell ref="AF40:AJ40"/>
    <mergeCell ref="AF41:AJ41"/>
    <mergeCell ref="AF42:AJ42"/>
    <mergeCell ref="AF43:AJ43"/>
    <mergeCell ref="AF32:AJ32"/>
    <mergeCell ref="AF33:AJ33"/>
    <mergeCell ref="AF34:AJ34"/>
    <mergeCell ref="AF35:AJ35"/>
    <mergeCell ref="AF36:AJ36"/>
    <mergeCell ref="AF37:AJ37"/>
  </mergeCells>
  <phoneticPr fontId="12" type="noConversion"/>
  <pageMargins left="0.75" right="0.17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"/>
  <sheetViews>
    <sheetView workbookViewId="0">
      <selection activeCell="Y40" sqref="Y40:AC42"/>
    </sheetView>
  </sheetViews>
  <sheetFormatPr defaultRowHeight="12.75" x14ac:dyDescent="0.2"/>
  <cols>
    <col min="1" max="24" width="3.42578125" customWidth="1"/>
    <col min="25" max="29" width="3.28515625" customWidth="1"/>
    <col min="30" max="34" width="3.28515625" style="104" customWidth="1"/>
  </cols>
  <sheetData>
    <row r="1" spans="1:34" ht="15.75" x14ac:dyDescent="0.25">
      <c r="A1" s="517" t="s">
        <v>427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517"/>
      <c r="AA1" s="517"/>
      <c r="AB1" s="517"/>
      <c r="AC1" s="517"/>
      <c r="AD1" s="517"/>
      <c r="AE1" s="517"/>
      <c r="AF1" s="517"/>
      <c r="AG1" s="517"/>
      <c r="AH1" s="517"/>
    </row>
    <row r="2" spans="1:34" ht="15.75" x14ac:dyDescent="0.25">
      <c r="A2" s="517"/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517"/>
      <c r="Q2" s="517"/>
      <c r="R2" s="517"/>
      <c r="S2" s="517"/>
      <c r="T2" s="517"/>
      <c r="U2" s="517"/>
      <c r="V2" s="517"/>
      <c r="W2" s="517"/>
      <c r="X2" s="517"/>
      <c r="Y2" s="517"/>
      <c r="Z2" s="517"/>
      <c r="AA2" s="517"/>
      <c r="AB2" s="517"/>
      <c r="AC2" s="517"/>
      <c r="AD2" s="517"/>
      <c r="AE2" s="517"/>
      <c r="AF2" s="517"/>
      <c r="AG2" s="517"/>
      <c r="AH2" s="517"/>
    </row>
    <row r="3" spans="1:34" ht="15.75" x14ac:dyDescent="0.25">
      <c r="A3" s="517" t="s">
        <v>0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447"/>
      <c r="T3" s="447"/>
      <c r="U3" s="447"/>
      <c r="V3" s="447"/>
      <c r="W3" s="447"/>
      <c r="X3" s="447"/>
      <c r="Y3" s="447"/>
      <c r="Z3" s="447"/>
      <c r="AA3" s="447"/>
      <c r="AB3" s="447"/>
      <c r="AC3" s="447"/>
      <c r="AD3" s="447"/>
      <c r="AE3" s="447"/>
      <c r="AF3" s="447"/>
      <c r="AG3" s="447"/>
      <c r="AH3" s="447"/>
    </row>
    <row r="4" spans="1:34" ht="15.75" x14ac:dyDescent="0.2">
      <c r="A4" s="519" t="s">
        <v>167</v>
      </c>
      <c r="B4" s="519"/>
      <c r="C4" s="519"/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519"/>
      <c r="W4" s="519"/>
      <c r="X4" s="519"/>
      <c r="Y4" s="519"/>
      <c r="Z4" s="519"/>
      <c r="AA4" s="519"/>
      <c r="AB4" s="519"/>
      <c r="AC4" s="519"/>
      <c r="AD4" s="519"/>
      <c r="AE4" s="519"/>
      <c r="AF4" s="519"/>
      <c r="AG4" s="519"/>
      <c r="AH4" s="519"/>
    </row>
    <row r="5" spans="1:34" ht="15.75" x14ac:dyDescent="0.2">
      <c r="A5" s="337"/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418"/>
      <c r="AE5" s="418"/>
      <c r="AF5" s="418"/>
      <c r="AG5" s="418"/>
      <c r="AH5" s="418"/>
    </row>
    <row r="6" spans="1:34" x14ac:dyDescent="0.2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 t="s">
        <v>289</v>
      </c>
      <c r="V6" s="89"/>
      <c r="W6" s="89"/>
      <c r="X6" s="89"/>
      <c r="Y6" s="89"/>
      <c r="Z6" s="89"/>
      <c r="AA6" s="89"/>
      <c r="AB6" s="89"/>
      <c r="AC6" s="89"/>
      <c r="AD6" s="419"/>
      <c r="AE6" s="419"/>
      <c r="AF6" s="419"/>
      <c r="AG6" s="419"/>
      <c r="AH6" s="419"/>
    </row>
    <row r="7" spans="1:34" ht="12.75" customHeight="1" x14ac:dyDescent="0.2">
      <c r="A7" s="520" t="s">
        <v>4</v>
      </c>
      <c r="B7" s="521"/>
      <c r="C7" s="521"/>
      <c r="D7" s="521"/>
      <c r="E7" s="521"/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2"/>
      <c r="T7" s="520" t="s">
        <v>134</v>
      </c>
      <c r="U7" s="521"/>
      <c r="V7" s="521"/>
      <c r="W7" s="521"/>
      <c r="X7" s="522"/>
      <c r="Y7" s="520" t="s">
        <v>201</v>
      </c>
      <c r="Z7" s="521"/>
      <c r="AA7" s="521"/>
      <c r="AB7" s="521"/>
      <c r="AC7" s="522"/>
      <c r="AD7" s="594"/>
      <c r="AE7" s="595"/>
      <c r="AF7" s="595"/>
      <c r="AG7" s="595"/>
      <c r="AH7" s="596"/>
    </row>
    <row r="8" spans="1:34" x14ac:dyDescent="0.2">
      <c r="A8" s="90"/>
      <c r="B8" s="91"/>
      <c r="C8" s="91"/>
      <c r="D8" s="91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1"/>
      <c r="S8" s="93"/>
      <c r="T8" s="527"/>
      <c r="U8" s="528"/>
      <c r="V8" s="528"/>
      <c r="W8" s="528"/>
      <c r="X8" s="529"/>
      <c r="Y8" s="527"/>
      <c r="Z8" s="528"/>
      <c r="AA8" s="528"/>
      <c r="AB8" s="528"/>
      <c r="AC8" s="529"/>
      <c r="AD8" s="597"/>
      <c r="AE8" s="598"/>
      <c r="AF8" s="598"/>
      <c r="AG8" s="598"/>
      <c r="AH8" s="599"/>
    </row>
    <row r="9" spans="1:34" ht="12.75" customHeight="1" x14ac:dyDescent="0.2">
      <c r="A9" s="583" t="s">
        <v>168</v>
      </c>
      <c r="B9" s="584"/>
      <c r="C9" s="584"/>
      <c r="D9" s="584"/>
      <c r="E9" s="584"/>
      <c r="F9" s="584"/>
      <c r="G9" s="584"/>
      <c r="H9" s="584"/>
      <c r="I9" s="584"/>
      <c r="J9" s="584"/>
      <c r="K9" s="584"/>
      <c r="L9" s="584"/>
      <c r="M9" s="584"/>
      <c r="N9" s="584"/>
      <c r="O9" s="584"/>
      <c r="P9" s="584"/>
      <c r="Q9" s="584"/>
      <c r="R9" s="584"/>
      <c r="S9" s="585"/>
      <c r="T9" s="550"/>
      <c r="U9" s="551"/>
      <c r="V9" s="551"/>
      <c r="W9" s="551"/>
      <c r="X9" s="552"/>
      <c r="Y9" s="550"/>
      <c r="Z9" s="551"/>
      <c r="AA9" s="551"/>
      <c r="AB9" s="551"/>
      <c r="AC9" s="552"/>
      <c r="AD9" s="502"/>
      <c r="AE9" s="503"/>
      <c r="AF9" s="503"/>
      <c r="AG9" s="503"/>
      <c r="AH9" s="504"/>
    </row>
    <row r="10" spans="1:34" ht="12.75" customHeight="1" x14ac:dyDescent="0.2">
      <c r="A10" s="539" t="s">
        <v>415</v>
      </c>
      <c r="B10" s="540"/>
      <c r="C10" s="540"/>
      <c r="D10" s="540"/>
      <c r="E10" s="540"/>
      <c r="F10" s="540"/>
      <c r="G10" s="540"/>
      <c r="H10" s="540"/>
      <c r="I10" s="540"/>
      <c r="J10" s="540"/>
      <c r="K10" s="540"/>
      <c r="L10" s="540"/>
      <c r="M10" s="540"/>
      <c r="N10" s="540"/>
      <c r="O10" s="540"/>
      <c r="P10" s="540"/>
      <c r="Q10" s="540"/>
      <c r="R10" s="540"/>
      <c r="S10" s="541"/>
      <c r="T10" s="550">
        <f>681748+601388</f>
        <v>1283136</v>
      </c>
      <c r="U10" s="551"/>
      <c r="V10" s="551"/>
      <c r="W10" s="551"/>
      <c r="X10" s="552"/>
      <c r="Y10" s="550">
        <f>681748+601388</f>
        <v>1283136</v>
      </c>
      <c r="Z10" s="551"/>
      <c r="AA10" s="551"/>
      <c r="AB10" s="551"/>
      <c r="AC10" s="552"/>
      <c r="AD10" s="502">
        <v>1283136</v>
      </c>
      <c r="AE10" s="503"/>
      <c r="AF10" s="503"/>
      <c r="AG10" s="503"/>
      <c r="AH10" s="504"/>
    </row>
    <row r="11" spans="1:34" x14ac:dyDescent="0.2">
      <c r="A11" s="539" t="s">
        <v>416</v>
      </c>
      <c r="B11" s="540"/>
      <c r="C11" s="540"/>
      <c r="D11" s="540"/>
      <c r="E11" s="540"/>
      <c r="F11" s="540"/>
      <c r="G11" s="540"/>
      <c r="H11" s="540"/>
      <c r="I11" s="540"/>
      <c r="J11" s="540"/>
      <c r="K11" s="540"/>
      <c r="L11" s="540"/>
      <c r="M11" s="540"/>
      <c r="N11" s="540"/>
      <c r="O11" s="540"/>
      <c r="P11" s="540"/>
      <c r="Q11" s="540"/>
      <c r="R11" s="540"/>
      <c r="S11" s="541"/>
      <c r="T11" s="550">
        <f>(714018+101915)*2</f>
        <v>1631866</v>
      </c>
      <c r="U11" s="551"/>
      <c r="V11" s="551"/>
      <c r="W11" s="551"/>
      <c r="X11" s="552"/>
      <c r="Y11" s="550">
        <f>(714018+101915)*2</f>
        <v>1631866</v>
      </c>
      <c r="Z11" s="551"/>
      <c r="AA11" s="551"/>
      <c r="AB11" s="551"/>
      <c r="AC11" s="552"/>
      <c r="AD11" s="502">
        <v>1219543</v>
      </c>
      <c r="AE11" s="503"/>
      <c r="AF11" s="503"/>
      <c r="AG11" s="503"/>
      <c r="AH11" s="504"/>
    </row>
    <row r="12" spans="1:34" x14ac:dyDescent="0.2">
      <c r="A12" s="580" t="s">
        <v>169</v>
      </c>
      <c r="B12" s="581"/>
      <c r="C12" s="581"/>
      <c r="D12" s="581"/>
      <c r="E12" s="581"/>
      <c r="F12" s="581"/>
      <c r="G12" s="581"/>
      <c r="H12" s="581"/>
      <c r="I12" s="581"/>
      <c r="J12" s="581"/>
      <c r="K12" s="581"/>
      <c r="L12" s="581"/>
      <c r="M12" s="581"/>
      <c r="N12" s="581"/>
      <c r="O12" s="581"/>
      <c r="P12" s="581"/>
      <c r="Q12" s="581"/>
      <c r="R12" s="581"/>
      <c r="S12" s="582"/>
      <c r="T12" s="550">
        <f>3746000+117000*12+196473</f>
        <v>5346473</v>
      </c>
      <c r="U12" s="551"/>
      <c r="V12" s="551"/>
      <c r="W12" s="551"/>
      <c r="X12" s="552"/>
      <c r="Y12" s="505">
        <v>5347000</v>
      </c>
      <c r="Z12" s="506"/>
      <c r="AA12" s="506"/>
      <c r="AB12" s="506"/>
      <c r="AC12" s="507"/>
      <c r="AD12" s="502">
        <v>5346473</v>
      </c>
      <c r="AE12" s="503"/>
      <c r="AF12" s="503"/>
      <c r="AG12" s="503"/>
      <c r="AH12" s="504"/>
    </row>
    <row r="13" spans="1:34" x14ac:dyDescent="0.2">
      <c r="A13" s="577" t="s">
        <v>170</v>
      </c>
      <c r="B13" s="578"/>
      <c r="C13" s="578"/>
      <c r="D13" s="578"/>
      <c r="E13" s="578"/>
      <c r="F13" s="578"/>
      <c r="G13" s="578"/>
      <c r="H13" s="578"/>
      <c r="I13" s="578"/>
      <c r="J13" s="578"/>
      <c r="K13" s="578"/>
      <c r="L13" s="578"/>
      <c r="M13" s="578"/>
      <c r="N13" s="578"/>
      <c r="O13" s="578"/>
      <c r="P13" s="578"/>
      <c r="Q13" s="578"/>
      <c r="R13" s="578"/>
      <c r="S13" s="579"/>
      <c r="T13" s="550">
        <v>224000</v>
      </c>
      <c r="U13" s="551"/>
      <c r="V13" s="551"/>
      <c r="W13" s="551"/>
      <c r="X13" s="552"/>
      <c r="Y13" s="550">
        <v>224000</v>
      </c>
      <c r="Z13" s="551"/>
      <c r="AA13" s="551"/>
      <c r="AB13" s="551"/>
      <c r="AC13" s="552"/>
      <c r="AD13" s="502">
        <f>122577*2</f>
        <v>245154</v>
      </c>
      <c r="AE13" s="503"/>
      <c r="AF13" s="503"/>
      <c r="AG13" s="503"/>
      <c r="AH13" s="504"/>
    </row>
    <row r="14" spans="1:34" ht="12.75" customHeight="1" x14ac:dyDescent="0.2">
      <c r="A14" s="561" t="s">
        <v>179</v>
      </c>
      <c r="B14" s="562"/>
      <c r="C14" s="562"/>
      <c r="D14" s="562"/>
      <c r="E14" s="562"/>
      <c r="F14" s="562"/>
      <c r="G14" s="562"/>
      <c r="H14" s="562"/>
      <c r="I14" s="562"/>
      <c r="J14" s="562"/>
      <c r="K14" s="562"/>
      <c r="L14" s="562"/>
      <c r="M14" s="562"/>
      <c r="N14" s="562"/>
      <c r="O14" s="562"/>
      <c r="P14" s="562"/>
      <c r="Q14" s="562"/>
      <c r="R14" s="562"/>
      <c r="S14" s="563"/>
      <c r="T14" s="550">
        <v>60000</v>
      </c>
      <c r="U14" s="551"/>
      <c r="V14" s="551"/>
      <c r="W14" s="551"/>
      <c r="X14" s="552"/>
      <c r="Y14" s="550">
        <v>60000</v>
      </c>
      <c r="Z14" s="551"/>
      <c r="AA14" s="551"/>
      <c r="AB14" s="551"/>
      <c r="AC14" s="552"/>
      <c r="AD14" s="502">
        <v>60000</v>
      </c>
      <c r="AE14" s="503"/>
      <c r="AF14" s="503"/>
      <c r="AG14" s="503"/>
      <c r="AH14" s="504"/>
    </row>
    <row r="15" spans="1:34" ht="12.75" customHeight="1" x14ac:dyDescent="0.2">
      <c r="A15" s="558" t="s">
        <v>417</v>
      </c>
      <c r="B15" s="559"/>
      <c r="C15" s="559"/>
      <c r="D15" s="559"/>
      <c r="E15" s="559"/>
      <c r="F15" s="559"/>
      <c r="G15" s="559"/>
      <c r="H15" s="559"/>
      <c r="I15" s="559"/>
      <c r="J15" s="559"/>
      <c r="K15" s="559"/>
      <c r="L15" s="559"/>
      <c r="M15" s="559"/>
      <c r="N15" s="559"/>
      <c r="O15" s="559"/>
      <c r="P15" s="559"/>
      <c r="Q15" s="559"/>
      <c r="R15" s="559"/>
      <c r="S15" s="560"/>
      <c r="T15" s="550"/>
      <c r="U15" s="551"/>
      <c r="V15" s="551"/>
      <c r="W15" s="551"/>
      <c r="X15" s="552"/>
      <c r="Y15" s="550">
        <v>150000</v>
      </c>
      <c r="Z15" s="551"/>
      <c r="AA15" s="551"/>
      <c r="AB15" s="551"/>
      <c r="AC15" s="552"/>
      <c r="AD15" s="502">
        <v>150000</v>
      </c>
      <c r="AE15" s="503"/>
      <c r="AF15" s="503"/>
      <c r="AG15" s="503"/>
      <c r="AH15" s="504"/>
    </row>
    <row r="16" spans="1:34" ht="12.75" customHeight="1" x14ac:dyDescent="0.2">
      <c r="A16" s="558" t="s">
        <v>181</v>
      </c>
      <c r="B16" s="559"/>
      <c r="C16" s="559"/>
      <c r="D16" s="559"/>
      <c r="E16" s="559"/>
      <c r="F16" s="559"/>
      <c r="G16" s="559"/>
      <c r="H16" s="559"/>
      <c r="I16" s="559"/>
      <c r="J16" s="559"/>
      <c r="K16" s="559"/>
      <c r="L16" s="559"/>
      <c r="M16" s="559"/>
      <c r="N16" s="559"/>
      <c r="O16" s="559"/>
      <c r="P16" s="559"/>
      <c r="Q16" s="559"/>
      <c r="R16" s="559"/>
      <c r="S16" s="560"/>
      <c r="T16" s="550">
        <v>400000</v>
      </c>
      <c r="U16" s="551"/>
      <c r="V16" s="551"/>
      <c r="W16" s="551"/>
      <c r="X16" s="552"/>
      <c r="Y16" s="505">
        <v>400000</v>
      </c>
      <c r="Z16" s="506"/>
      <c r="AA16" s="506"/>
      <c r="AB16" s="506"/>
      <c r="AC16" s="507"/>
      <c r="AD16" s="502">
        <v>387500</v>
      </c>
      <c r="AE16" s="503"/>
      <c r="AF16" s="503"/>
      <c r="AG16" s="503"/>
      <c r="AH16" s="504"/>
    </row>
    <row r="17" spans="1:34" x14ac:dyDescent="0.2">
      <c r="A17" s="570" t="s">
        <v>171</v>
      </c>
      <c r="B17" s="571"/>
      <c r="C17" s="571"/>
      <c r="D17" s="571"/>
      <c r="E17" s="571"/>
      <c r="F17" s="571"/>
      <c r="G17" s="571"/>
      <c r="H17" s="571"/>
      <c r="I17" s="571"/>
      <c r="J17" s="571"/>
      <c r="K17" s="571"/>
      <c r="L17" s="571"/>
      <c r="M17" s="571"/>
      <c r="N17" s="571"/>
      <c r="O17" s="571"/>
      <c r="P17" s="571"/>
      <c r="Q17" s="571"/>
      <c r="R17" s="571"/>
      <c r="S17" s="572"/>
      <c r="T17" s="574">
        <f>SUM(T10:X13)</f>
        <v>8485475</v>
      </c>
      <c r="U17" s="575"/>
      <c r="V17" s="575"/>
      <c r="W17" s="575"/>
      <c r="X17" s="576"/>
      <c r="Y17" s="574">
        <f>SUM(Y10:AC16)</f>
        <v>9096002</v>
      </c>
      <c r="Z17" s="575"/>
      <c r="AA17" s="575"/>
      <c r="AB17" s="575"/>
      <c r="AC17" s="576"/>
      <c r="AD17" s="574">
        <f>SUM(AD10:AH16)</f>
        <v>8691806</v>
      </c>
      <c r="AE17" s="575"/>
      <c r="AF17" s="575"/>
      <c r="AG17" s="575"/>
      <c r="AH17" s="576"/>
    </row>
    <row r="18" spans="1:34" ht="12.75" customHeight="1" x14ac:dyDescent="0.2">
      <c r="A18" s="586"/>
      <c r="B18" s="587"/>
      <c r="C18" s="587"/>
      <c r="D18" s="587"/>
      <c r="E18" s="587"/>
      <c r="F18" s="587"/>
      <c r="G18" s="587"/>
      <c r="H18" s="587"/>
      <c r="I18" s="587"/>
      <c r="J18" s="587"/>
      <c r="K18" s="587"/>
      <c r="L18" s="587"/>
      <c r="M18" s="587"/>
      <c r="N18" s="587"/>
      <c r="O18" s="587"/>
      <c r="P18" s="587"/>
      <c r="Q18" s="587"/>
      <c r="R18" s="587"/>
      <c r="S18" s="588"/>
      <c r="T18" s="589"/>
      <c r="U18" s="590"/>
      <c r="V18" s="590"/>
      <c r="W18" s="590"/>
      <c r="X18" s="591"/>
      <c r="Y18" s="338"/>
      <c r="Z18" s="338"/>
      <c r="AA18" s="338"/>
      <c r="AB18" s="338"/>
      <c r="AC18" s="338"/>
      <c r="AD18" s="600"/>
      <c r="AE18" s="601"/>
      <c r="AF18" s="601"/>
      <c r="AG18" s="601"/>
      <c r="AH18" s="602"/>
    </row>
    <row r="19" spans="1:34" x14ac:dyDescent="0.2">
      <c r="A19" s="583" t="s">
        <v>172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584"/>
      <c r="S19" s="585"/>
      <c r="T19" s="550"/>
      <c r="U19" s="551"/>
      <c r="V19" s="551"/>
      <c r="W19" s="551"/>
      <c r="X19" s="552"/>
      <c r="Y19" s="334"/>
      <c r="Z19" s="334"/>
      <c r="AA19" s="334"/>
      <c r="AB19" s="334"/>
      <c r="AC19" s="334"/>
      <c r="AD19" s="502"/>
      <c r="AE19" s="503"/>
      <c r="AF19" s="503"/>
      <c r="AG19" s="503"/>
      <c r="AH19" s="504"/>
    </row>
    <row r="20" spans="1:34" x14ac:dyDescent="0.2">
      <c r="A20" s="561" t="s">
        <v>173</v>
      </c>
      <c r="B20" s="562"/>
      <c r="C20" s="562"/>
      <c r="D20" s="562"/>
      <c r="E20" s="562"/>
      <c r="F20" s="562"/>
      <c r="G20" s="562"/>
      <c r="H20" s="562"/>
      <c r="I20" s="562"/>
      <c r="J20" s="562"/>
      <c r="K20" s="562"/>
      <c r="L20" s="562"/>
      <c r="M20" s="562"/>
      <c r="N20" s="562"/>
      <c r="O20" s="562"/>
      <c r="P20" s="562"/>
      <c r="Q20" s="562"/>
      <c r="R20" s="562"/>
      <c r="S20" s="563"/>
      <c r="T20" s="550">
        <v>10000</v>
      </c>
      <c r="U20" s="551"/>
      <c r="V20" s="551"/>
      <c r="W20" s="551"/>
      <c r="X20" s="552"/>
      <c r="Y20" s="550">
        <v>10000</v>
      </c>
      <c r="Z20" s="551"/>
      <c r="AA20" s="551"/>
      <c r="AB20" s="551"/>
      <c r="AC20" s="552"/>
      <c r="AD20" s="502"/>
      <c r="AE20" s="503"/>
      <c r="AF20" s="503"/>
      <c r="AG20" s="503"/>
      <c r="AH20" s="504"/>
    </row>
    <row r="21" spans="1:34" x14ac:dyDescent="0.2">
      <c r="A21" s="561" t="s">
        <v>174</v>
      </c>
      <c r="B21" s="592"/>
      <c r="C21" s="592"/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3"/>
      <c r="T21" s="550">
        <v>10000</v>
      </c>
      <c r="U21" s="551"/>
      <c r="V21" s="551"/>
      <c r="W21" s="551"/>
      <c r="X21" s="552"/>
      <c r="Y21" s="550">
        <v>10000</v>
      </c>
      <c r="Z21" s="551"/>
      <c r="AA21" s="551"/>
      <c r="AB21" s="551"/>
      <c r="AC21" s="552"/>
      <c r="AD21" s="502"/>
      <c r="AE21" s="503"/>
      <c r="AF21" s="503"/>
      <c r="AG21" s="503"/>
      <c r="AH21" s="504"/>
    </row>
    <row r="22" spans="1:34" x14ac:dyDescent="0.2">
      <c r="A22" s="561" t="s">
        <v>428</v>
      </c>
      <c r="B22" s="592"/>
      <c r="C22" s="592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3"/>
      <c r="T22" s="550"/>
      <c r="U22" s="551"/>
      <c r="V22" s="551"/>
      <c r="W22" s="551"/>
      <c r="X22" s="552"/>
      <c r="Y22" s="550">
        <v>20000</v>
      </c>
      <c r="Z22" s="551"/>
      <c r="AA22" s="551"/>
      <c r="AB22" s="551"/>
      <c r="AC22" s="552"/>
      <c r="AD22" s="502">
        <v>20000</v>
      </c>
      <c r="AE22" s="503"/>
      <c r="AF22" s="503"/>
      <c r="AG22" s="503"/>
      <c r="AH22" s="504"/>
    </row>
    <row r="23" spans="1:34" x14ac:dyDescent="0.2">
      <c r="A23" s="561" t="s">
        <v>429</v>
      </c>
      <c r="B23" s="592"/>
      <c r="C23" s="592"/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3"/>
      <c r="T23" s="550"/>
      <c r="U23" s="551"/>
      <c r="V23" s="551"/>
      <c r="W23" s="551"/>
      <c r="X23" s="552"/>
      <c r="Y23" s="550">
        <v>150000</v>
      </c>
      <c r="Z23" s="551"/>
      <c r="AA23" s="551"/>
      <c r="AB23" s="551"/>
      <c r="AC23" s="552"/>
      <c r="AD23" s="502">
        <v>150000</v>
      </c>
      <c r="AE23" s="503"/>
      <c r="AF23" s="503"/>
      <c r="AG23" s="503"/>
      <c r="AH23" s="504"/>
    </row>
    <row r="24" spans="1:34" x14ac:dyDescent="0.2">
      <c r="A24" s="561" t="s">
        <v>175</v>
      </c>
      <c r="B24" s="592"/>
      <c r="C24" s="592"/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3"/>
      <c r="T24" s="550">
        <v>50000</v>
      </c>
      <c r="U24" s="551"/>
      <c r="V24" s="551"/>
      <c r="W24" s="551"/>
      <c r="X24" s="552"/>
      <c r="Y24" s="550">
        <v>50000</v>
      </c>
      <c r="Z24" s="551"/>
      <c r="AA24" s="551"/>
      <c r="AB24" s="551"/>
      <c r="AC24" s="552"/>
      <c r="AD24" s="502">
        <v>50000</v>
      </c>
      <c r="AE24" s="503"/>
      <c r="AF24" s="503"/>
      <c r="AG24" s="503"/>
      <c r="AH24" s="504"/>
    </row>
    <row r="25" spans="1:34" x14ac:dyDescent="0.2">
      <c r="A25" s="561" t="s">
        <v>176</v>
      </c>
      <c r="B25" s="592"/>
      <c r="C25" s="592"/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3"/>
      <c r="T25" s="550">
        <v>500000</v>
      </c>
      <c r="U25" s="551"/>
      <c r="V25" s="551"/>
      <c r="W25" s="551"/>
      <c r="X25" s="552"/>
      <c r="Y25" s="550">
        <v>500000</v>
      </c>
      <c r="Z25" s="551"/>
      <c r="AA25" s="551"/>
      <c r="AB25" s="551"/>
      <c r="AC25" s="552"/>
      <c r="AD25" s="502">
        <v>500000</v>
      </c>
      <c r="AE25" s="503"/>
      <c r="AF25" s="503"/>
      <c r="AG25" s="503"/>
      <c r="AH25" s="504"/>
    </row>
    <row r="26" spans="1:34" x14ac:dyDescent="0.2">
      <c r="A26" s="561" t="s">
        <v>177</v>
      </c>
      <c r="B26" s="562"/>
      <c r="C26" s="562"/>
      <c r="D26" s="562"/>
      <c r="E26" s="562"/>
      <c r="F26" s="562"/>
      <c r="G26" s="562"/>
      <c r="H26" s="562"/>
      <c r="I26" s="562"/>
      <c r="J26" s="562"/>
      <c r="K26" s="562"/>
      <c r="L26" s="562"/>
      <c r="M26" s="562"/>
      <c r="N26" s="562"/>
      <c r="O26" s="562"/>
      <c r="P26" s="562"/>
      <c r="Q26" s="562"/>
      <c r="R26" s="562"/>
      <c r="S26" s="563"/>
      <c r="T26" s="550">
        <f>4371000-2411490-260000-100000</f>
        <v>1599510</v>
      </c>
      <c r="U26" s="551"/>
      <c r="V26" s="551"/>
      <c r="W26" s="551"/>
      <c r="X26" s="552"/>
      <c r="Y26" s="550">
        <f>4371000-2411490-260000-100000</f>
        <v>1599510</v>
      </c>
      <c r="Z26" s="551"/>
      <c r="AA26" s="551"/>
      <c r="AB26" s="551"/>
      <c r="AC26" s="552"/>
      <c r="AD26" s="502">
        <v>1601050</v>
      </c>
      <c r="AE26" s="503"/>
      <c r="AF26" s="503"/>
      <c r="AG26" s="503"/>
      <c r="AH26" s="504"/>
    </row>
    <row r="27" spans="1:34" x14ac:dyDescent="0.2">
      <c r="A27" s="561" t="s">
        <v>418</v>
      </c>
      <c r="B27" s="562"/>
      <c r="C27" s="562"/>
      <c r="D27" s="562"/>
      <c r="E27" s="562"/>
      <c r="F27" s="562"/>
      <c r="G27" s="562"/>
      <c r="H27" s="562"/>
      <c r="I27" s="562"/>
      <c r="J27" s="562"/>
      <c r="K27" s="562"/>
      <c r="L27" s="562"/>
      <c r="M27" s="562"/>
      <c r="N27" s="562"/>
      <c r="O27" s="562"/>
      <c r="P27" s="562"/>
      <c r="Q27" s="562"/>
      <c r="R27" s="562"/>
      <c r="S27" s="563"/>
      <c r="T27" s="550">
        <f>61000*1.27*11+61000*1.27*2</f>
        <v>1007110</v>
      </c>
      <c r="U27" s="551"/>
      <c r="V27" s="551"/>
      <c r="W27" s="551"/>
      <c r="X27" s="552"/>
      <c r="Y27" s="550">
        <f>61000*1.27*11+61000*1.27*2</f>
        <v>1007110</v>
      </c>
      <c r="Z27" s="551"/>
      <c r="AA27" s="551"/>
      <c r="AB27" s="551"/>
      <c r="AC27" s="552"/>
      <c r="AD27" s="502">
        <v>840000</v>
      </c>
      <c r="AE27" s="503"/>
      <c r="AF27" s="503"/>
      <c r="AG27" s="503"/>
      <c r="AH27" s="504"/>
    </row>
    <row r="28" spans="1:34" x14ac:dyDescent="0.2">
      <c r="A28" s="561" t="s">
        <v>178</v>
      </c>
      <c r="B28" s="562"/>
      <c r="C28" s="562"/>
      <c r="D28" s="562"/>
      <c r="E28" s="562"/>
      <c r="F28" s="562"/>
      <c r="G28" s="562"/>
      <c r="H28" s="562"/>
      <c r="I28" s="562"/>
      <c r="J28" s="562"/>
      <c r="K28" s="562"/>
      <c r="L28" s="562"/>
      <c r="M28" s="562"/>
      <c r="N28" s="562"/>
      <c r="O28" s="562"/>
      <c r="P28" s="562"/>
      <c r="Q28" s="562"/>
      <c r="R28" s="562"/>
      <c r="S28" s="563"/>
      <c r="T28" s="550">
        <v>50000</v>
      </c>
      <c r="U28" s="551"/>
      <c r="V28" s="551"/>
      <c r="W28" s="551"/>
      <c r="X28" s="552"/>
      <c r="Y28" s="550">
        <v>50000</v>
      </c>
      <c r="Z28" s="551"/>
      <c r="AA28" s="551"/>
      <c r="AB28" s="551"/>
      <c r="AC28" s="552"/>
      <c r="AD28" s="502">
        <v>50000</v>
      </c>
      <c r="AE28" s="503"/>
      <c r="AF28" s="503"/>
      <c r="AG28" s="503"/>
      <c r="AH28" s="504"/>
    </row>
    <row r="29" spans="1:34" x14ac:dyDescent="0.2">
      <c r="A29" s="561" t="s">
        <v>180</v>
      </c>
      <c r="B29" s="562"/>
      <c r="C29" s="562"/>
      <c r="D29" s="562"/>
      <c r="E29" s="562"/>
      <c r="F29" s="562"/>
      <c r="G29" s="562"/>
      <c r="H29" s="562"/>
      <c r="I29" s="562"/>
      <c r="J29" s="562"/>
      <c r="K29" s="562"/>
      <c r="L29" s="562"/>
      <c r="M29" s="562"/>
      <c r="N29" s="562"/>
      <c r="O29" s="562"/>
      <c r="P29" s="562"/>
      <c r="Q29" s="562"/>
      <c r="R29" s="562"/>
      <c r="S29" s="563"/>
      <c r="T29" s="550">
        <f>9200*12</f>
        <v>110400</v>
      </c>
      <c r="U29" s="551"/>
      <c r="V29" s="551"/>
      <c r="W29" s="551"/>
      <c r="X29" s="552"/>
      <c r="Y29" s="550">
        <f>9200*12</f>
        <v>110400</v>
      </c>
      <c r="Z29" s="551"/>
      <c r="AA29" s="551"/>
      <c r="AB29" s="551"/>
      <c r="AC29" s="552"/>
      <c r="AD29" s="502">
        <v>110400</v>
      </c>
      <c r="AE29" s="503"/>
      <c r="AF29" s="503"/>
      <c r="AG29" s="503"/>
      <c r="AH29" s="504"/>
    </row>
    <row r="30" spans="1:34" x14ac:dyDescent="0.2">
      <c r="A30" s="561" t="s">
        <v>419</v>
      </c>
      <c r="B30" s="562"/>
      <c r="C30" s="562"/>
      <c r="D30" s="562"/>
      <c r="E30" s="562"/>
      <c r="F30" s="562"/>
      <c r="G30" s="562"/>
      <c r="H30" s="562"/>
      <c r="I30" s="562"/>
      <c r="J30" s="562"/>
      <c r="K30" s="562"/>
      <c r="L30" s="562"/>
      <c r="M30" s="562"/>
      <c r="N30" s="562"/>
      <c r="O30" s="562"/>
      <c r="P30" s="562"/>
      <c r="Q30" s="562"/>
      <c r="R30" s="562"/>
      <c r="S30" s="563"/>
      <c r="T30" s="333"/>
      <c r="U30" s="334"/>
      <c r="V30" s="334"/>
      <c r="W30" s="334"/>
      <c r="X30" s="335"/>
      <c r="Y30" s="550">
        <v>8096000</v>
      </c>
      <c r="Z30" s="551"/>
      <c r="AA30" s="551"/>
      <c r="AB30" s="551"/>
      <c r="AC30" s="552"/>
      <c r="AD30" s="502">
        <v>8096000</v>
      </c>
      <c r="AE30" s="503"/>
      <c r="AF30" s="503"/>
      <c r="AG30" s="503"/>
      <c r="AH30" s="504"/>
    </row>
    <row r="31" spans="1:34" x14ac:dyDescent="0.2">
      <c r="A31" s="561" t="s">
        <v>420</v>
      </c>
      <c r="B31" s="562"/>
      <c r="C31" s="562"/>
      <c r="D31" s="562"/>
      <c r="E31" s="562"/>
      <c r="F31" s="562"/>
      <c r="G31" s="562"/>
      <c r="H31" s="562"/>
      <c r="I31" s="562"/>
      <c r="J31" s="562"/>
      <c r="K31" s="562"/>
      <c r="L31" s="562"/>
      <c r="M31" s="562"/>
      <c r="N31" s="562"/>
      <c r="O31" s="562"/>
      <c r="P31" s="562"/>
      <c r="Q31" s="562"/>
      <c r="R31" s="562"/>
      <c r="S31" s="563"/>
      <c r="T31" s="333"/>
      <c r="U31" s="334"/>
      <c r="V31" s="334"/>
      <c r="W31" s="334"/>
      <c r="X31" s="335"/>
      <c r="Y31" s="550">
        <v>150000</v>
      </c>
      <c r="Z31" s="551"/>
      <c r="AA31" s="551"/>
      <c r="AB31" s="551"/>
      <c r="AC31" s="552"/>
      <c r="AD31" s="502">
        <v>150000</v>
      </c>
      <c r="AE31" s="503"/>
      <c r="AF31" s="503"/>
      <c r="AG31" s="503"/>
      <c r="AH31" s="504"/>
    </row>
    <row r="32" spans="1:34" x14ac:dyDescent="0.2">
      <c r="A32" s="570" t="s">
        <v>182</v>
      </c>
      <c r="B32" s="571"/>
      <c r="C32" s="571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1"/>
      <c r="S32" s="572"/>
      <c r="T32" s="574">
        <f>SUM(T20:X29)</f>
        <v>3337020</v>
      </c>
      <c r="U32" s="575"/>
      <c r="V32" s="575"/>
      <c r="W32" s="575"/>
      <c r="X32" s="576"/>
      <c r="Y32" s="574">
        <f>SUM(Y20:AC31)</f>
        <v>11753020</v>
      </c>
      <c r="Z32" s="575"/>
      <c r="AA32" s="575"/>
      <c r="AB32" s="575"/>
      <c r="AC32" s="576"/>
      <c r="AD32" s="574">
        <f>SUM(AD20:AH31)</f>
        <v>11567450</v>
      </c>
      <c r="AE32" s="575"/>
      <c r="AF32" s="575"/>
      <c r="AG32" s="575"/>
      <c r="AH32" s="576"/>
    </row>
    <row r="33" spans="1:34" x14ac:dyDescent="0.2">
      <c r="A33" s="570" t="s">
        <v>421</v>
      </c>
      <c r="B33" s="571"/>
      <c r="C33" s="571"/>
      <c r="D33" s="571"/>
      <c r="E33" s="571"/>
      <c r="F33" s="571"/>
      <c r="G33" s="571"/>
      <c r="H33" s="571"/>
      <c r="I33" s="571"/>
      <c r="J33" s="571"/>
      <c r="K33" s="571"/>
      <c r="L33" s="571"/>
      <c r="M33" s="571"/>
      <c r="N33" s="571"/>
      <c r="O33" s="571"/>
      <c r="P33" s="571"/>
      <c r="Q33" s="571"/>
      <c r="R33" s="571"/>
      <c r="S33" s="572"/>
      <c r="T33" s="574">
        <f>+T32+T17</f>
        <v>11822495</v>
      </c>
      <c r="U33" s="575"/>
      <c r="V33" s="575"/>
      <c r="W33" s="575"/>
      <c r="X33" s="576"/>
      <c r="Y33" s="574">
        <f>+Y32+Y17</f>
        <v>20849022</v>
      </c>
      <c r="Z33" s="575"/>
      <c r="AA33" s="575"/>
      <c r="AB33" s="575"/>
      <c r="AC33" s="576"/>
      <c r="AD33" s="574">
        <f>+AD32+AD17</f>
        <v>20259256</v>
      </c>
      <c r="AE33" s="575"/>
      <c r="AF33" s="575"/>
      <c r="AG33" s="575"/>
      <c r="AH33" s="576"/>
    </row>
    <row r="34" spans="1:34" ht="12.75" customHeight="1" x14ac:dyDescent="0.2">
      <c r="A34" s="539" t="s">
        <v>422</v>
      </c>
      <c r="B34" s="540"/>
      <c r="C34" s="540"/>
      <c r="D34" s="540"/>
      <c r="E34" s="540"/>
      <c r="F34" s="540"/>
      <c r="G34" s="540"/>
      <c r="H34" s="540"/>
      <c r="I34" s="540"/>
      <c r="J34" s="540"/>
      <c r="K34" s="540"/>
      <c r="L34" s="540"/>
      <c r="M34" s="540"/>
      <c r="N34" s="540"/>
      <c r="O34" s="540"/>
      <c r="P34" s="540"/>
      <c r="Q34" s="540"/>
      <c r="R34" s="540"/>
      <c r="S34" s="541"/>
      <c r="T34" s="550">
        <f>2411490+961000</f>
        <v>3372490</v>
      </c>
      <c r="U34" s="551"/>
      <c r="V34" s="551"/>
      <c r="W34" s="551"/>
      <c r="X34" s="552"/>
      <c r="Y34" s="550">
        <f>2411490+961000</f>
        <v>3372490</v>
      </c>
      <c r="Z34" s="551"/>
      <c r="AA34" s="551"/>
      <c r="AB34" s="551"/>
      <c r="AC34" s="552"/>
      <c r="AD34" s="502">
        <v>3332088</v>
      </c>
      <c r="AE34" s="503"/>
      <c r="AF34" s="503"/>
      <c r="AG34" s="503"/>
      <c r="AH34" s="504"/>
    </row>
    <row r="35" spans="1:34" ht="12.75" customHeight="1" x14ac:dyDescent="0.2">
      <c r="A35" s="539" t="s">
        <v>423</v>
      </c>
      <c r="B35" s="540"/>
      <c r="C35" s="540"/>
      <c r="D35" s="540"/>
      <c r="E35" s="540"/>
      <c r="F35" s="540"/>
      <c r="G35" s="540"/>
      <c r="H35" s="540"/>
      <c r="I35" s="540"/>
      <c r="J35" s="540"/>
      <c r="K35" s="540"/>
      <c r="L35" s="540"/>
      <c r="M35" s="540"/>
      <c r="N35" s="540"/>
      <c r="O35" s="540"/>
      <c r="P35" s="540"/>
      <c r="Q35" s="540"/>
      <c r="R35" s="540"/>
      <c r="S35" s="541"/>
      <c r="T35" s="550">
        <f>(730000+390000+370000)/2-245000</f>
        <v>500000</v>
      </c>
      <c r="U35" s="551"/>
      <c r="V35" s="551"/>
      <c r="W35" s="551"/>
      <c r="X35" s="552"/>
      <c r="Y35" s="550">
        <f>(730000+390000+370000)/2-245000</f>
        <v>500000</v>
      </c>
      <c r="Z35" s="551"/>
      <c r="AA35" s="551"/>
      <c r="AB35" s="551"/>
      <c r="AC35" s="552"/>
      <c r="AD35" s="502">
        <v>500000</v>
      </c>
      <c r="AE35" s="503"/>
      <c r="AF35" s="503"/>
      <c r="AG35" s="503"/>
      <c r="AH35" s="504"/>
    </row>
    <row r="36" spans="1:34" ht="12.75" customHeight="1" x14ac:dyDescent="0.2">
      <c r="A36" s="561" t="s">
        <v>424</v>
      </c>
      <c r="B36" s="592"/>
      <c r="C36" s="592"/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3"/>
      <c r="T36" s="333"/>
      <c r="U36" s="334"/>
      <c r="V36" s="334"/>
      <c r="W36" s="334"/>
      <c r="X36" s="335"/>
      <c r="Y36" s="550">
        <f>(730000+390000+370000)/2-245000</f>
        <v>500000</v>
      </c>
      <c r="Z36" s="551"/>
      <c r="AA36" s="551"/>
      <c r="AB36" s="551"/>
      <c r="AC36" s="552"/>
      <c r="AD36" s="502"/>
      <c r="AE36" s="503"/>
      <c r="AF36" s="503"/>
      <c r="AG36" s="503"/>
      <c r="AH36" s="504"/>
    </row>
    <row r="37" spans="1:34" ht="12.75" customHeight="1" x14ac:dyDescent="0.2">
      <c r="A37" s="561" t="s">
        <v>425</v>
      </c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3"/>
      <c r="T37" s="333"/>
      <c r="U37" s="334"/>
      <c r="V37" s="334"/>
      <c r="W37" s="334"/>
      <c r="X37" s="335"/>
      <c r="Y37" s="550">
        <v>12957000</v>
      </c>
      <c r="Z37" s="551"/>
      <c r="AA37" s="551"/>
      <c r="AB37" s="551"/>
      <c r="AC37" s="552"/>
      <c r="AD37" s="502">
        <v>12956000</v>
      </c>
      <c r="AE37" s="503"/>
      <c r="AF37" s="503"/>
      <c r="AG37" s="503"/>
      <c r="AH37" s="504"/>
    </row>
    <row r="38" spans="1:34" ht="12.75" customHeight="1" x14ac:dyDescent="0.2">
      <c r="A38" s="570" t="s">
        <v>426</v>
      </c>
      <c r="B38" s="571"/>
      <c r="C38" s="571"/>
      <c r="D38" s="571"/>
      <c r="E38" s="571"/>
      <c r="F38" s="571"/>
      <c r="G38" s="571"/>
      <c r="H38" s="571"/>
      <c r="I38" s="571"/>
      <c r="J38" s="571"/>
      <c r="K38" s="571"/>
      <c r="L38" s="571"/>
      <c r="M38" s="571"/>
      <c r="N38" s="571"/>
      <c r="O38" s="571"/>
      <c r="P38" s="571"/>
      <c r="Q38" s="571"/>
      <c r="R38" s="571"/>
      <c r="S38" s="572"/>
      <c r="T38" s="574">
        <f>+T34+T35</f>
        <v>3872490</v>
      </c>
      <c r="U38" s="575"/>
      <c r="V38" s="575"/>
      <c r="W38" s="575"/>
      <c r="X38" s="576"/>
      <c r="Y38" s="574">
        <f>+Y34+Y35+Y37+Y36</f>
        <v>17329490</v>
      </c>
      <c r="Z38" s="575"/>
      <c r="AA38" s="575"/>
      <c r="AB38" s="575"/>
      <c r="AC38" s="576"/>
      <c r="AD38" s="574">
        <f>+AD34+AD35+AD37+AD36</f>
        <v>16788088</v>
      </c>
      <c r="AE38" s="575"/>
      <c r="AF38" s="575"/>
      <c r="AG38" s="575"/>
      <c r="AH38" s="576"/>
    </row>
    <row r="39" spans="1:34" x14ac:dyDescent="0.2">
      <c r="A39" s="570" t="s">
        <v>183</v>
      </c>
      <c r="B39" s="571"/>
      <c r="C39" s="571"/>
      <c r="D39" s="571"/>
      <c r="E39" s="571"/>
      <c r="F39" s="571"/>
      <c r="G39" s="571"/>
      <c r="H39" s="571"/>
      <c r="I39" s="571"/>
      <c r="J39" s="571"/>
      <c r="K39" s="571"/>
      <c r="L39" s="571"/>
      <c r="M39" s="571"/>
      <c r="N39" s="571"/>
      <c r="O39" s="571"/>
      <c r="P39" s="571"/>
      <c r="Q39" s="571"/>
      <c r="R39" s="571"/>
      <c r="S39" s="572"/>
      <c r="T39" s="574">
        <f>SUM(T38+T16)</f>
        <v>4272490</v>
      </c>
      <c r="U39" s="575"/>
      <c r="V39" s="575"/>
      <c r="W39" s="575"/>
      <c r="X39" s="576"/>
      <c r="Y39" s="574">
        <f>SUM(Y38+Y16)</f>
        <v>17729490</v>
      </c>
      <c r="Z39" s="575"/>
      <c r="AA39" s="575"/>
      <c r="AB39" s="575"/>
      <c r="AC39" s="576"/>
      <c r="AD39" s="603">
        <f>SUM(AD38+AD16)</f>
        <v>17175588</v>
      </c>
      <c r="AE39" s="604"/>
      <c r="AF39" s="604"/>
      <c r="AG39" s="604"/>
      <c r="AH39" s="605"/>
    </row>
    <row r="40" spans="1:34" x14ac:dyDescent="0.2">
      <c r="A40" s="561" t="s">
        <v>191</v>
      </c>
      <c r="B40" s="562"/>
      <c r="C40" s="562"/>
      <c r="D40" s="562"/>
      <c r="E40" s="562"/>
      <c r="F40" s="562"/>
      <c r="G40" s="562"/>
      <c r="H40" s="562"/>
      <c r="I40" s="562"/>
      <c r="J40" s="562"/>
      <c r="K40" s="562"/>
      <c r="L40" s="562"/>
      <c r="M40" s="562"/>
      <c r="N40" s="562"/>
      <c r="O40" s="562"/>
      <c r="P40" s="562"/>
      <c r="Q40" s="562"/>
      <c r="R40" s="562"/>
      <c r="S40" s="563"/>
      <c r="T40" s="550"/>
      <c r="U40" s="551"/>
      <c r="V40" s="551"/>
      <c r="W40" s="551"/>
      <c r="X40" s="552"/>
      <c r="Y40" s="550"/>
      <c r="Z40" s="551"/>
      <c r="AA40" s="551"/>
      <c r="AB40" s="551"/>
      <c r="AC40" s="552"/>
      <c r="AD40" s="502"/>
      <c r="AE40" s="503"/>
      <c r="AF40" s="503"/>
      <c r="AG40" s="503"/>
      <c r="AH40" s="504"/>
    </row>
    <row r="41" spans="1:34" x14ac:dyDescent="0.2">
      <c r="A41" s="539" t="s">
        <v>203</v>
      </c>
      <c r="B41" s="540"/>
      <c r="C41" s="540"/>
      <c r="D41" s="540"/>
      <c r="E41" s="540"/>
      <c r="F41" s="540"/>
      <c r="G41" s="540"/>
      <c r="H41" s="540"/>
      <c r="I41" s="540"/>
      <c r="J41" s="540"/>
      <c r="K41" s="540"/>
      <c r="L41" s="540"/>
      <c r="M41" s="540"/>
      <c r="N41" s="540"/>
      <c r="O41" s="540"/>
      <c r="P41" s="540"/>
      <c r="Q41" s="540"/>
      <c r="R41" s="540"/>
      <c r="S41" s="541"/>
      <c r="T41" s="573"/>
      <c r="U41" s="573"/>
      <c r="V41" s="573"/>
      <c r="W41" s="573"/>
      <c r="X41" s="573"/>
      <c r="Y41" s="550"/>
      <c r="Z41" s="551"/>
      <c r="AA41" s="551"/>
      <c r="AB41" s="551"/>
      <c r="AC41" s="552"/>
      <c r="AD41" s="502"/>
      <c r="AE41" s="503"/>
      <c r="AF41" s="503"/>
      <c r="AG41" s="503"/>
      <c r="AH41" s="504"/>
    </row>
    <row r="42" spans="1:34" x14ac:dyDescent="0.2">
      <c r="A42" s="539" t="s">
        <v>202</v>
      </c>
      <c r="B42" s="540"/>
      <c r="C42" s="540"/>
      <c r="D42" s="540"/>
      <c r="E42" s="540"/>
      <c r="F42" s="540"/>
      <c r="G42" s="540"/>
      <c r="H42" s="540"/>
      <c r="I42" s="540"/>
      <c r="J42" s="540"/>
      <c r="K42" s="540"/>
      <c r="L42" s="540"/>
      <c r="M42" s="540"/>
      <c r="N42" s="540"/>
      <c r="O42" s="540"/>
      <c r="P42" s="540"/>
      <c r="Q42" s="540"/>
      <c r="R42" s="540"/>
      <c r="S42" s="541"/>
      <c r="T42" s="573"/>
      <c r="U42" s="573"/>
      <c r="V42" s="573"/>
      <c r="W42" s="573"/>
      <c r="X42" s="573"/>
      <c r="Y42" s="574"/>
      <c r="Z42" s="575"/>
      <c r="AA42" s="575"/>
      <c r="AB42" s="575"/>
      <c r="AC42" s="576"/>
      <c r="AD42" s="603">
        <f>SUM(AD40:AH41)</f>
        <v>0</v>
      </c>
      <c r="AE42" s="604"/>
      <c r="AF42" s="604"/>
      <c r="AG42" s="604"/>
      <c r="AH42" s="605"/>
    </row>
  </sheetData>
  <mergeCells count="138">
    <mergeCell ref="AD30:AH30"/>
    <mergeCell ref="AD22:AH22"/>
    <mergeCell ref="AD23:AH23"/>
    <mergeCell ref="AD37:AH37"/>
    <mergeCell ref="AD42:AH42"/>
    <mergeCell ref="AD38:AH38"/>
    <mergeCell ref="AD39:AH39"/>
    <mergeCell ref="AD40:AH40"/>
    <mergeCell ref="AD41:AH41"/>
    <mergeCell ref="AD31:AH31"/>
    <mergeCell ref="AD32:AH32"/>
    <mergeCell ref="AD33:AH33"/>
    <mergeCell ref="AD34:AH34"/>
    <mergeCell ref="AD35:AH35"/>
    <mergeCell ref="AD36:AH36"/>
    <mergeCell ref="AD26:AH26"/>
    <mergeCell ref="AD27:AH27"/>
    <mergeCell ref="AD28:AH28"/>
    <mergeCell ref="AD29:AH29"/>
    <mergeCell ref="AD25:AH25"/>
    <mergeCell ref="AD24:AH24"/>
    <mergeCell ref="Y15:AC15"/>
    <mergeCell ref="Y7:AC8"/>
    <mergeCell ref="Y9:AC9"/>
    <mergeCell ref="Y10:AC10"/>
    <mergeCell ref="Y11:AC11"/>
    <mergeCell ref="Y12:AC12"/>
    <mergeCell ref="Y13:AC13"/>
    <mergeCell ref="Y14:AC14"/>
    <mergeCell ref="AD14:AH14"/>
    <mergeCell ref="AD15:AH15"/>
    <mergeCell ref="AD7:AH8"/>
    <mergeCell ref="AD9:AH9"/>
    <mergeCell ref="AD10:AH10"/>
    <mergeCell ref="AD11:AH11"/>
    <mergeCell ref="AD12:AH12"/>
    <mergeCell ref="AD13:AH13"/>
    <mergeCell ref="AD19:AH19"/>
    <mergeCell ref="AD20:AH20"/>
    <mergeCell ref="AD21:AH21"/>
    <mergeCell ref="AD16:AH16"/>
    <mergeCell ref="AD17:AH17"/>
    <mergeCell ref="AD18:AH18"/>
    <mergeCell ref="A27:S27"/>
    <mergeCell ref="T27:X27"/>
    <mergeCell ref="A28:S28"/>
    <mergeCell ref="T28:X28"/>
    <mergeCell ref="A29:S29"/>
    <mergeCell ref="T29:X29"/>
    <mergeCell ref="A21:S21"/>
    <mergeCell ref="T21:X21"/>
    <mergeCell ref="Y16:AC16"/>
    <mergeCell ref="A22:S22"/>
    <mergeCell ref="A23:S23"/>
    <mergeCell ref="T22:X22"/>
    <mergeCell ref="T23:X23"/>
    <mergeCell ref="A20:S20"/>
    <mergeCell ref="T20:X20"/>
    <mergeCell ref="A26:S26"/>
    <mergeCell ref="T26:X26"/>
    <mergeCell ref="A24:S24"/>
    <mergeCell ref="T24:X24"/>
    <mergeCell ref="A25:S25"/>
    <mergeCell ref="T25:X25"/>
    <mergeCell ref="Y22:AC22"/>
    <mergeCell ref="Y23:AC23"/>
    <mergeCell ref="Y38:AC38"/>
    <mergeCell ref="Y39:AC39"/>
    <mergeCell ref="Y29:AC29"/>
    <mergeCell ref="Y30:AC30"/>
    <mergeCell ref="Y31:AC31"/>
    <mergeCell ref="Y32:AC32"/>
    <mergeCell ref="Y33:AC33"/>
    <mergeCell ref="Y17:AC17"/>
    <mergeCell ref="Y35:AC35"/>
    <mergeCell ref="Y36:AC36"/>
    <mergeCell ref="Y20:AC20"/>
    <mergeCell ref="Y37:AC37"/>
    <mergeCell ref="Y34:AC34"/>
    <mergeCell ref="Y21:AC21"/>
    <mergeCell ref="Y24:AC24"/>
    <mergeCell ref="Y25:AC25"/>
    <mergeCell ref="Y26:AC26"/>
    <mergeCell ref="Y27:AC27"/>
    <mergeCell ref="Y28:AC28"/>
    <mergeCell ref="A39:S39"/>
    <mergeCell ref="T39:X39"/>
    <mergeCell ref="A38:S38"/>
    <mergeCell ref="T38:X38"/>
    <mergeCell ref="A30:S30"/>
    <mergeCell ref="A31:S31"/>
    <mergeCell ref="A32:S32"/>
    <mergeCell ref="T32:X32"/>
    <mergeCell ref="A35:S35"/>
    <mergeCell ref="T35:X35"/>
    <mergeCell ref="A36:S36"/>
    <mergeCell ref="A37:S37"/>
    <mergeCell ref="A33:S33"/>
    <mergeCell ref="T33:X33"/>
    <mergeCell ref="A34:S34"/>
    <mergeCell ref="T34:X34"/>
    <mergeCell ref="T9:X9"/>
    <mergeCell ref="A14:S14"/>
    <mergeCell ref="T14:X14"/>
    <mergeCell ref="A15:S15"/>
    <mergeCell ref="T15:X15"/>
    <mergeCell ref="A19:S19"/>
    <mergeCell ref="T19:X19"/>
    <mergeCell ref="A18:S18"/>
    <mergeCell ref="T18:X18"/>
    <mergeCell ref="A17:S17"/>
    <mergeCell ref="T17:X17"/>
    <mergeCell ref="A16:S16"/>
    <mergeCell ref="T16:X16"/>
    <mergeCell ref="A7:S7"/>
    <mergeCell ref="T7:X8"/>
    <mergeCell ref="A1:AH1"/>
    <mergeCell ref="A2:AH2"/>
    <mergeCell ref="A3:AH3"/>
    <mergeCell ref="A4:AH4"/>
    <mergeCell ref="A42:S42"/>
    <mergeCell ref="T42:X42"/>
    <mergeCell ref="Y42:AC42"/>
    <mergeCell ref="A40:S40"/>
    <mergeCell ref="T40:X40"/>
    <mergeCell ref="Y40:AC40"/>
    <mergeCell ref="A41:S41"/>
    <mergeCell ref="Y41:AC41"/>
    <mergeCell ref="T41:X41"/>
    <mergeCell ref="A13:S13"/>
    <mergeCell ref="A12:S12"/>
    <mergeCell ref="T12:X12"/>
    <mergeCell ref="T13:X13"/>
    <mergeCell ref="A10:S10"/>
    <mergeCell ref="T10:X10"/>
    <mergeCell ref="A11:S11"/>
    <mergeCell ref="T11:X11"/>
    <mergeCell ref="A9:S9"/>
  </mergeCells>
  <phoneticPr fontId="12" type="noConversion"/>
  <pageMargins left="0.17" right="0.17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G19" sqref="G19"/>
    </sheetView>
  </sheetViews>
  <sheetFormatPr defaultRowHeight="12.75" x14ac:dyDescent="0.2"/>
  <cols>
    <col min="2" max="2" width="52.140625" customWidth="1"/>
    <col min="3" max="3" width="12" customWidth="1"/>
    <col min="4" max="4" width="12.28515625" customWidth="1"/>
  </cols>
  <sheetData>
    <row r="1" spans="1:4" ht="18" x14ac:dyDescent="0.2">
      <c r="B1" s="606" t="s">
        <v>410</v>
      </c>
      <c r="C1" s="607"/>
    </row>
    <row r="2" spans="1:4" x14ac:dyDescent="0.2">
      <c r="B2" s="231"/>
      <c r="C2" s="231"/>
    </row>
    <row r="3" spans="1:4" ht="18" x14ac:dyDescent="0.2">
      <c r="B3" s="606" t="s">
        <v>0</v>
      </c>
      <c r="C3" s="607"/>
    </row>
    <row r="4" spans="1:4" ht="18" customHeight="1" x14ac:dyDescent="0.2">
      <c r="A4" s="230"/>
      <c r="B4" s="606" t="s">
        <v>267</v>
      </c>
      <c r="C4" s="607"/>
      <c r="D4" s="231"/>
    </row>
    <row r="5" spans="1:4" ht="15.75" thickBot="1" x14ac:dyDescent="0.25">
      <c r="A5" s="232"/>
      <c r="B5" s="233"/>
      <c r="C5" s="233"/>
      <c r="D5" s="234" t="s">
        <v>289</v>
      </c>
    </row>
    <row r="6" spans="1:4" ht="48.75" thickBot="1" x14ac:dyDescent="0.25">
      <c r="A6" s="235" t="s">
        <v>3</v>
      </c>
      <c r="B6" s="236" t="s">
        <v>268</v>
      </c>
      <c r="C6" s="236" t="s">
        <v>269</v>
      </c>
      <c r="D6" s="237" t="s">
        <v>270</v>
      </c>
    </row>
    <row r="7" spans="1:4" ht="13.5" thickBot="1" x14ac:dyDescent="0.25">
      <c r="A7" s="238">
        <v>1</v>
      </c>
      <c r="B7" s="239">
        <v>2</v>
      </c>
      <c r="C7" s="239">
        <v>3</v>
      </c>
      <c r="D7" s="240">
        <v>4</v>
      </c>
    </row>
    <row r="8" spans="1:4" x14ac:dyDescent="0.2">
      <c r="A8" s="241" t="s">
        <v>38</v>
      </c>
      <c r="B8" s="242" t="s">
        <v>271</v>
      </c>
      <c r="C8" s="243"/>
      <c r="D8" s="244"/>
    </row>
    <row r="9" spans="1:4" x14ac:dyDescent="0.2">
      <c r="A9" s="245" t="s">
        <v>40</v>
      </c>
      <c r="B9" s="246" t="s">
        <v>272</v>
      </c>
      <c r="C9" s="247"/>
      <c r="D9" s="248"/>
    </row>
    <row r="10" spans="1:4" x14ac:dyDescent="0.2">
      <c r="A10" s="245" t="s">
        <v>48</v>
      </c>
      <c r="B10" s="246" t="s">
        <v>273</v>
      </c>
      <c r="C10" s="247"/>
      <c r="D10" s="248"/>
    </row>
    <row r="11" spans="1:4" x14ac:dyDescent="0.2">
      <c r="A11" s="245" t="s">
        <v>9</v>
      </c>
      <c r="B11" s="246" t="s">
        <v>274</v>
      </c>
      <c r="C11" s="247"/>
      <c r="D11" s="248"/>
    </row>
    <row r="12" spans="1:4" x14ac:dyDescent="0.2">
      <c r="A12" s="245" t="s">
        <v>11</v>
      </c>
      <c r="B12" s="246" t="s">
        <v>275</v>
      </c>
      <c r="C12" s="247"/>
      <c r="D12" s="248"/>
    </row>
    <row r="13" spans="1:4" x14ac:dyDescent="0.2">
      <c r="A13" s="245" t="s">
        <v>24</v>
      </c>
      <c r="B13" s="246" t="s">
        <v>276</v>
      </c>
      <c r="C13" s="247"/>
      <c r="D13" s="248"/>
    </row>
    <row r="14" spans="1:4" x14ac:dyDescent="0.2">
      <c r="A14" s="245" t="s">
        <v>26</v>
      </c>
      <c r="B14" s="249" t="s">
        <v>277</v>
      </c>
      <c r="C14" s="247"/>
      <c r="D14" s="248"/>
    </row>
    <row r="15" spans="1:4" x14ac:dyDescent="0.2">
      <c r="A15" s="245" t="s">
        <v>28</v>
      </c>
      <c r="B15" s="249" t="s">
        <v>278</v>
      </c>
      <c r="C15" s="247"/>
      <c r="D15" s="248"/>
    </row>
    <row r="16" spans="1:4" x14ac:dyDescent="0.2">
      <c r="A16" s="245" t="s">
        <v>121</v>
      </c>
      <c r="B16" s="249" t="s">
        <v>279</v>
      </c>
      <c r="C16" s="247">
        <f>552000+409500+138000+175500</f>
        <v>1275000</v>
      </c>
      <c r="D16" s="248">
        <f>552000+409500</f>
        <v>961500</v>
      </c>
    </row>
    <row r="17" spans="1:4" x14ac:dyDescent="0.2">
      <c r="A17" s="245" t="s">
        <v>122</v>
      </c>
      <c r="B17" s="249" t="s">
        <v>280</v>
      </c>
      <c r="C17" s="247"/>
      <c r="D17" s="248"/>
    </row>
    <row r="18" spans="1:4" x14ac:dyDescent="0.2">
      <c r="A18" s="245" t="s">
        <v>123</v>
      </c>
      <c r="B18" s="249" t="s">
        <v>281</v>
      </c>
      <c r="C18" s="247"/>
      <c r="D18" s="248"/>
    </row>
    <row r="19" spans="1:4" ht="22.5" x14ac:dyDescent="0.2">
      <c r="A19" s="245" t="s">
        <v>229</v>
      </c>
      <c r="B19" s="249" t="s">
        <v>282</v>
      </c>
      <c r="C19" s="247"/>
      <c r="D19" s="248"/>
    </row>
    <row r="20" spans="1:4" x14ac:dyDescent="0.2">
      <c r="A20" s="245" t="s">
        <v>231</v>
      </c>
      <c r="B20" s="246" t="s">
        <v>283</v>
      </c>
      <c r="C20" s="247"/>
      <c r="D20" s="248"/>
    </row>
    <row r="21" spans="1:4" x14ac:dyDescent="0.2">
      <c r="A21" s="245" t="s">
        <v>233</v>
      </c>
      <c r="B21" s="246" t="s">
        <v>284</v>
      </c>
      <c r="C21" s="247"/>
      <c r="D21" s="248"/>
    </row>
    <row r="22" spans="1:4" x14ac:dyDescent="0.2">
      <c r="A22" s="245" t="s">
        <v>235</v>
      </c>
      <c r="B22" s="246" t="s">
        <v>285</v>
      </c>
      <c r="C22" s="247"/>
      <c r="D22" s="248"/>
    </row>
    <row r="23" spans="1:4" x14ac:dyDescent="0.2">
      <c r="A23" s="245" t="s">
        <v>236</v>
      </c>
      <c r="B23" s="246" t="s">
        <v>286</v>
      </c>
      <c r="C23" s="247"/>
      <c r="D23" s="248"/>
    </row>
    <row r="24" spans="1:4" x14ac:dyDescent="0.2">
      <c r="A24" s="245" t="s">
        <v>238</v>
      </c>
      <c r="B24" s="246" t="s">
        <v>287</v>
      </c>
      <c r="C24" s="247"/>
      <c r="D24" s="248"/>
    </row>
    <row r="25" spans="1:4" ht="13.5" thickBot="1" x14ac:dyDescent="0.25">
      <c r="A25" s="245" t="s">
        <v>239</v>
      </c>
      <c r="B25" s="250"/>
      <c r="C25" s="251"/>
      <c r="D25" s="248"/>
    </row>
    <row r="26" spans="1:4" ht="13.5" thickBot="1" x14ac:dyDescent="0.25">
      <c r="A26" s="252" t="s">
        <v>241</v>
      </c>
      <c r="B26" s="253" t="s">
        <v>288</v>
      </c>
      <c r="C26" s="254">
        <f>SUM(C8:C25)</f>
        <v>1275000</v>
      </c>
      <c r="D26" s="255">
        <f>SUM(D8:D25)</f>
        <v>961500</v>
      </c>
    </row>
  </sheetData>
  <mergeCells count="3">
    <mergeCell ref="B4:C4"/>
    <mergeCell ref="B1:C1"/>
    <mergeCell ref="B3:C3"/>
  </mergeCells>
  <phoneticPr fontId="1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6"/>
  <sheetViews>
    <sheetView workbookViewId="0">
      <selection activeCell="B4" sqref="B4"/>
    </sheetView>
  </sheetViews>
  <sheetFormatPr defaultRowHeight="12.75" x14ac:dyDescent="0.2"/>
  <cols>
    <col min="1" max="1" width="3.42578125" bestFit="1" customWidth="1"/>
    <col min="2" max="2" width="42.5703125" customWidth="1"/>
    <col min="3" max="3" width="19.85546875" customWidth="1"/>
  </cols>
  <sheetData>
    <row r="3" spans="1:7" ht="20.25" x14ac:dyDescent="0.3">
      <c r="B3" s="292" t="s">
        <v>411</v>
      </c>
      <c r="C3" s="273"/>
    </row>
    <row r="4" spans="1:7" ht="15.75" x14ac:dyDescent="0.25">
      <c r="B4" s="166" t="s">
        <v>0</v>
      </c>
      <c r="C4" s="274"/>
    </row>
    <row r="5" spans="1:7" x14ac:dyDescent="0.2">
      <c r="B5" s="118"/>
    </row>
    <row r="6" spans="1:7" x14ac:dyDescent="0.2">
      <c r="B6" s="118" t="s">
        <v>346</v>
      </c>
    </row>
    <row r="8" spans="1:7" x14ac:dyDescent="0.2">
      <c r="A8" s="14" t="s">
        <v>347</v>
      </c>
      <c r="B8" s="291" t="s">
        <v>4</v>
      </c>
      <c r="C8" s="291" t="s">
        <v>217</v>
      </c>
      <c r="E8" t="s">
        <v>349</v>
      </c>
      <c r="G8" t="s">
        <v>215</v>
      </c>
    </row>
    <row r="9" spans="1:7" x14ac:dyDescent="0.2">
      <c r="A9" s="14">
        <v>1</v>
      </c>
      <c r="B9" s="14" t="s">
        <v>350</v>
      </c>
      <c r="C9" s="291">
        <v>500</v>
      </c>
    </row>
    <row r="10" spans="1:7" x14ac:dyDescent="0.2">
      <c r="A10" s="14">
        <v>2</v>
      </c>
      <c r="B10" s="14" t="s">
        <v>351</v>
      </c>
      <c r="C10" s="291">
        <v>3800</v>
      </c>
    </row>
    <row r="11" spans="1:7" x14ac:dyDescent="0.2">
      <c r="A11" s="14">
        <v>3</v>
      </c>
      <c r="B11" s="14" t="s">
        <v>352</v>
      </c>
      <c r="C11" s="291">
        <v>10</v>
      </c>
    </row>
    <row r="12" spans="1:7" x14ac:dyDescent="0.2">
      <c r="A12" s="14">
        <v>4</v>
      </c>
      <c r="B12" s="14"/>
      <c r="C12" s="291"/>
    </row>
    <row r="13" spans="1:7" x14ac:dyDescent="0.2">
      <c r="A13" s="14">
        <v>5</v>
      </c>
      <c r="B13" s="14"/>
      <c r="C13" s="291"/>
    </row>
    <row r="14" spans="1:7" x14ac:dyDescent="0.2">
      <c r="A14" s="14">
        <v>6</v>
      </c>
      <c r="B14" s="14"/>
      <c r="C14" s="291"/>
    </row>
    <row r="15" spans="1:7" x14ac:dyDescent="0.2">
      <c r="A15" s="14">
        <v>7</v>
      </c>
      <c r="B15" s="14"/>
      <c r="C15" s="14"/>
    </row>
    <row r="16" spans="1:7" x14ac:dyDescent="0.2">
      <c r="A16" s="14"/>
      <c r="B16" s="14" t="s">
        <v>348</v>
      </c>
      <c r="C16" s="291">
        <v>4310</v>
      </c>
    </row>
  </sheetData>
  <phoneticPr fontId="1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2" sqref="B2"/>
    </sheetView>
  </sheetViews>
  <sheetFormatPr defaultRowHeight="12.75" x14ac:dyDescent="0.2"/>
  <cols>
    <col min="1" max="1" width="7.42578125" customWidth="1"/>
    <col min="2" max="2" width="29.42578125" customWidth="1"/>
    <col min="3" max="6" width="11.5703125" customWidth="1"/>
  </cols>
  <sheetData>
    <row r="1" spans="1:6" ht="20.25" x14ac:dyDescent="0.3">
      <c r="B1" s="273" t="s">
        <v>411</v>
      </c>
    </row>
    <row r="2" spans="1:6" ht="15.75" x14ac:dyDescent="0.25">
      <c r="B2" s="274" t="s">
        <v>0</v>
      </c>
    </row>
    <row r="4" spans="1:6" ht="20.25" x14ac:dyDescent="0.3">
      <c r="B4" s="273" t="s">
        <v>340</v>
      </c>
    </row>
    <row r="7" spans="1:6" x14ac:dyDescent="0.2">
      <c r="A7" t="s">
        <v>341</v>
      </c>
      <c r="B7" t="s">
        <v>342</v>
      </c>
      <c r="E7" t="s">
        <v>189</v>
      </c>
      <c r="F7" s="256" t="s">
        <v>215</v>
      </c>
    </row>
    <row r="8" spans="1:6" ht="13.5" thickBot="1" x14ac:dyDescent="0.25"/>
    <row r="9" spans="1:6" x14ac:dyDescent="0.2">
      <c r="A9" s="614" t="s">
        <v>250</v>
      </c>
      <c r="B9" s="616" t="s">
        <v>251</v>
      </c>
      <c r="C9" s="608" t="s">
        <v>252</v>
      </c>
      <c r="D9" s="608" t="s">
        <v>343</v>
      </c>
      <c r="E9" s="608" t="s">
        <v>345</v>
      </c>
      <c r="F9" s="610" t="s">
        <v>344</v>
      </c>
    </row>
    <row r="10" spans="1:6" x14ac:dyDescent="0.2">
      <c r="A10" s="615"/>
      <c r="B10" s="617"/>
      <c r="C10" s="617"/>
      <c r="D10" s="617"/>
      <c r="E10" s="609"/>
      <c r="F10" s="611"/>
    </row>
    <row r="11" spans="1:6" x14ac:dyDescent="0.2">
      <c r="A11" s="197">
        <v>1</v>
      </c>
      <c r="B11" s="275">
        <v>2</v>
      </c>
      <c r="C11" s="275">
        <v>3</v>
      </c>
      <c r="D11" s="275">
        <v>4</v>
      </c>
      <c r="E11" s="275">
        <v>5</v>
      </c>
      <c r="F11" s="276">
        <v>6</v>
      </c>
    </row>
    <row r="12" spans="1:6" ht="15.75" x14ac:dyDescent="0.2">
      <c r="A12" s="197" t="s">
        <v>38</v>
      </c>
      <c r="B12" s="277"/>
      <c r="C12" s="278"/>
      <c r="D12" s="278"/>
      <c r="E12" s="279"/>
      <c r="F12" s="280"/>
    </row>
    <row r="13" spans="1:6" x14ac:dyDescent="0.2">
      <c r="A13" s="197" t="s">
        <v>40</v>
      </c>
      <c r="B13" s="281"/>
      <c r="C13" s="199"/>
      <c r="D13" s="199"/>
      <c r="E13" s="202"/>
      <c r="F13" s="282">
        <f>SUM(E13:E13)</f>
        <v>0</v>
      </c>
    </row>
    <row r="14" spans="1:6" x14ac:dyDescent="0.2">
      <c r="A14" s="197" t="s">
        <v>48</v>
      </c>
      <c r="B14" s="281"/>
      <c r="C14" s="199"/>
      <c r="D14" s="199"/>
      <c r="E14" s="202"/>
      <c r="F14" s="282">
        <f>SUM(E14:E14)</f>
        <v>0</v>
      </c>
    </row>
    <row r="15" spans="1:6" x14ac:dyDescent="0.2">
      <c r="A15" s="197" t="s">
        <v>9</v>
      </c>
      <c r="B15" s="283"/>
      <c r="C15" s="284"/>
      <c r="D15" s="284"/>
      <c r="E15" s="285"/>
      <c r="F15" s="282"/>
    </row>
    <row r="16" spans="1:6" x14ac:dyDescent="0.2">
      <c r="A16" s="197" t="s">
        <v>11</v>
      </c>
      <c r="B16" s="281"/>
      <c r="C16" s="207"/>
      <c r="D16" s="207"/>
      <c r="E16" s="202"/>
      <c r="F16" s="282">
        <f t="shared" ref="F16:F23" si="0">SUM(E16:E16)</f>
        <v>0</v>
      </c>
    </row>
    <row r="17" spans="1:6" x14ac:dyDescent="0.2">
      <c r="A17" s="197" t="s">
        <v>24</v>
      </c>
      <c r="B17" s="281"/>
      <c r="C17" s="199"/>
      <c r="D17" s="199"/>
      <c r="E17" s="202"/>
      <c r="F17" s="282">
        <f t="shared" si="0"/>
        <v>0</v>
      </c>
    </row>
    <row r="18" spans="1:6" x14ac:dyDescent="0.2">
      <c r="A18" s="197" t="s">
        <v>26</v>
      </c>
      <c r="B18" s="283"/>
      <c r="C18" s="284"/>
      <c r="D18" s="284"/>
      <c r="E18" s="285">
        <f>SUM(E19:E19)</f>
        <v>0</v>
      </c>
      <c r="F18" s="282">
        <f t="shared" si="0"/>
        <v>0</v>
      </c>
    </row>
    <row r="19" spans="1:6" ht="15.75" x14ac:dyDescent="0.2">
      <c r="A19" s="197" t="s">
        <v>28</v>
      </c>
      <c r="B19" s="286"/>
      <c r="C19" s="199"/>
      <c r="D19" s="199"/>
      <c r="E19" s="202"/>
      <c r="F19" s="282">
        <f t="shared" si="0"/>
        <v>0</v>
      </c>
    </row>
    <row r="20" spans="1:6" x14ac:dyDescent="0.2">
      <c r="A20" s="197" t="s">
        <v>121</v>
      </c>
      <c r="B20" s="283"/>
      <c r="C20" s="284"/>
      <c r="D20" s="284"/>
      <c r="E20" s="285">
        <f>SUM(E21:E21)</f>
        <v>0</v>
      </c>
      <c r="F20" s="282">
        <f t="shared" si="0"/>
        <v>0</v>
      </c>
    </row>
    <row r="21" spans="1:6" ht="15.75" x14ac:dyDescent="0.2">
      <c r="A21" s="197" t="s">
        <v>122</v>
      </c>
      <c r="B21" s="286"/>
      <c r="C21" s="199"/>
      <c r="D21" s="199"/>
      <c r="E21" s="202">
        <v>0</v>
      </c>
      <c r="F21" s="282">
        <f t="shared" si="0"/>
        <v>0</v>
      </c>
    </row>
    <row r="22" spans="1:6" x14ac:dyDescent="0.2">
      <c r="A22" s="197" t="s">
        <v>123</v>
      </c>
      <c r="B22" s="287" t="s">
        <v>264</v>
      </c>
      <c r="C22" s="284"/>
      <c r="D22" s="284"/>
      <c r="E22" s="202">
        <f>SUM(E23:E23)</f>
        <v>0</v>
      </c>
      <c r="F22" s="282">
        <f t="shared" si="0"/>
        <v>0</v>
      </c>
    </row>
    <row r="23" spans="1:6" x14ac:dyDescent="0.2">
      <c r="A23" s="197" t="s">
        <v>229</v>
      </c>
      <c r="B23" s="281"/>
      <c r="C23" s="199"/>
      <c r="D23" s="199"/>
      <c r="E23" s="202"/>
      <c r="F23" s="282">
        <f t="shared" si="0"/>
        <v>0</v>
      </c>
    </row>
    <row r="24" spans="1:6" ht="13.5" thickBot="1" x14ac:dyDescent="0.25">
      <c r="A24" s="612" t="s">
        <v>265</v>
      </c>
      <c r="B24" s="613"/>
      <c r="C24" s="288"/>
      <c r="D24" s="288"/>
      <c r="E24" s="289">
        <f>E12+E15+E18+E20+E22</f>
        <v>0</v>
      </c>
      <c r="F24" s="290">
        <f>SUM(F12:F23)</f>
        <v>0</v>
      </c>
    </row>
  </sheetData>
  <mergeCells count="7">
    <mergeCell ref="E9:E10"/>
    <mergeCell ref="F9:F10"/>
    <mergeCell ref="A24:B24"/>
    <mergeCell ref="A9:A10"/>
    <mergeCell ref="B9:B10"/>
    <mergeCell ref="C9:C10"/>
    <mergeCell ref="D9:D10"/>
  </mergeCells>
  <phoneticPr fontId="1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workbookViewId="0">
      <selection activeCell="G6" sqref="G6"/>
    </sheetView>
  </sheetViews>
  <sheetFormatPr defaultRowHeight="12.75" x14ac:dyDescent="0.2"/>
  <cols>
    <col min="1" max="1" width="4.140625" bestFit="1" customWidth="1"/>
    <col min="2" max="2" width="42.5703125" bestFit="1" customWidth="1"/>
    <col min="3" max="3" width="16.28515625" bestFit="1" customWidth="1"/>
    <col min="4" max="5" width="16.28515625" customWidth="1"/>
    <col min="6" max="6" width="0.5703125" customWidth="1"/>
    <col min="7" max="7" width="0.42578125" hidden="1" customWidth="1"/>
    <col min="9" max="9" width="19" bestFit="1" customWidth="1"/>
  </cols>
  <sheetData>
    <row r="1" spans="1:7" x14ac:dyDescent="0.2">
      <c r="G1" s="104"/>
    </row>
    <row r="2" spans="1:7" ht="15.75" x14ac:dyDescent="0.25">
      <c r="B2" s="166" t="s">
        <v>390</v>
      </c>
      <c r="G2" s="104"/>
    </row>
    <row r="3" spans="1:7" ht="15.75" x14ac:dyDescent="0.25">
      <c r="A3" s="266"/>
      <c r="B3" s="166" t="s">
        <v>0</v>
      </c>
      <c r="E3" t="s">
        <v>361</v>
      </c>
      <c r="G3" s="104"/>
    </row>
    <row r="4" spans="1:7" ht="16.5" thickBot="1" x14ac:dyDescent="0.3">
      <c r="A4" s="267"/>
      <c r="B4" s="268" t="s">
        <v>297</v>
      </c>
      <c r="C4" s="269"/>
      <c r="D4" s="269"/>
      <c r="E4" s="269"/>
      <c r="F4" s="269"/>
      <c r="G4" s="104"/>
    </row>
    <row r="5" spans="1:7" ht="15" x14ac:dyDescent="0.25">
      <c r="A5" s="309"/>
      <c r="B5" s="310"/>
      <c r="C5" s="317">
        <v>2014</v>
      </c>
      <c r="D5" s="317">
        <v>2015</v>
      </c>
      <c r="E5" s="303"/>
      <c r="F5" s="303">
        <v>2015</v>
      </c>
      <c r="G5" s="298">
        <v>2014</v>
      </c>
    </row>
    <row r="6" spans="1:7" ht="14.25" x14ac:dyDescent="0.2">
      <c r="A6" s="311"/>
      <c r="B6" s="271" t="s">
        <v>298</v>
      </c>
      <c r="C6" s="173">
        <f>+C7+C11+C44+C71</f>
        <v>2326586</v>
      </c>
      <c r="D6" s="173">
        <f>+D7+D11+D44+D71</f>
        <v>2226087</v>
      </c>
      <c r="E6" s="296"/>
      <c r="F6" s="296"/>
      <c r="G6" s="298">
        <f>+G7+G11+G44+G71</f>
        <v>2326586405</v>
      </c>
    </row>
    <row r="7" spans="1:7" ht="14.25" x14ac:dyDescent="0.2">
      <c r="A7" s="311" t="s">
        <v>22</v>
      </c>
      <c r="B7" s="271" t="s">
        <v>299</v>
      </c>
      <c r="C7" s="312">
        <f>SUM(C8:C10)</f>
        <v>681</v>
      </c>
      <c r="D7" s="312">
        <f>SUM(D8:D10)</f>
        <v>76</v>
      </c>
      <c r="E7" s="304"/>
      <c r="F7" s="304"/>
      <c r="G7" s="299">
        <f>SUM(G8:G10)</f>
        <v>681372</v>
      </c>
    </row>
    <row r="8" spans="1:7" ht="15" x14ac:dyDescent="0.25">
      <c r="A8" s="313"/>
      <c r="B8" s="270" t="s">
        <v>300</v>
      </c>
      <c r="C8" s="173">
        <v>681</v>
      </c>
      <c r="D8" s="173">
        <v>76</v>
      </c>
      <c r="E8" s="296"/>
      <c r="F8" s="296">
        <f>75935</f>
        <v>75935</v>
      </c>
      <c r="G8" s="298">
        <f>405666+275706</f>
        <v>681372</v>
      </c>
    </row>
    <row r="9" spans="1:7" ht="15" x14ac:dyDescent="0.25">
      <c r="A9" s="313"/>
      <c r="B9" s="270" t="s">
        <v>301</v>
      </c>
      <c r="C9" s="173"/>
      <c r="D9" s="173"/>
      <c r="E9" s="296"/>
      <c r="F9" s="296"/>
      <c r="G9" s="298"/>
    </row>
    <row r="10" spans="1:7" ht="15" x14ac:dyDescent="0.25">
      <c r="A10" s="313"/>
      <c r="B10" s="270" t="s">
        <v>302</v>
      </c>
      <c r="C10" s="173"/>
      <c r="D10" s="173"/>
      <c r="E10" s="296"/>
      <c r="F10" s="296"/>
      <c r="G10" s="298"/>
    </row>
    <row r="11" spans="1:7" ht="14.25" x14ac:dyDescent="0.2">
      <c r="A11" s="311" t="s">
        <v>30</v>
      </c>
      <c r="B11" s="271" t="s">
        <v>303</v>
      </c>
      <c r="C11" s="312">
        <f>+C12+C16+C20+C28</f>
        <v>2321595</v>
      </c>
      <c r="D11" s="312">
        <f>+D12+D16+D20+D28</f>
        <v>2221701</v>
      </c>
      <c r="E11" s="304"/>
      <c r="F11" s="304"/>
      <c r="G11" s="300">
        <f>+G12+G16+G20+G28</f>
        <v>2321595033</v>
      </c>
    </row>
    <row r="12" spans="1:7" ht="15" x14ac:dyDescent="0.25">
      <c r="A12" s="313" t="s">
        <v>38</v>
      </c>
      <c r="B12" s="270" t="s">
        <v>304</v>
      </c>
      <c r="C12" s="173">
        <f>SUM(C13:C15)</f>
        <v>2098823</v>
      </c>
      <c r="D12" s="173">
        <f>SUM(D13:D15)</f>
        <v>2003833</v>
      </c>
      <c r="E12" s="296"/>
      <c r="F12" s="296"/>
      <c r="G12" s="298">
        <f>SUM(G13:G15)</f>
        <v>2098823042</v>
      </c>
    </row>
    <row r="13" spans="1:7" ht="15" x14ac:dyDescent="0.25">
      <c r="A13" s="313"/>
      <c r="B13" s="270" t="s">
        <v>305</v>
      </c>
      <c r="C13" s="173">
        <v>246423</v>
      </c>
      <c r="D13" s="173">
        <v>193520</v>
      </c>
      <c r="E13" s="296"/>
      <c r="F13" s="296">
        <f>50000+1382003+2544076+10509000+102787808+17484130+1042687+30765206+4283441+6440446+16230818</f>
        <v>193519615</v>
      </c>
      <c r="G13" s="301">
        <f>50000+1920787+328000+20918000+144019882+17538085+1080080+33022980+4381176+6595102+16568959</f>
        <v>246423051</v>
      </c>
    </row>
    <row r="14" spans="1:7" ht="15" x14ac:dyDescent="0.25">
      <c r="A14" s="313"/>
      <c r="B14" s="270" t="s">
        <v>306</v>
      </c>
      <c r="C14" s="173">
        <v>1338819</v>
      </c>
      <c r="D14" s="173">
        <v>1303743</v>
      </c>
      <c r="E14" s="296"/>
      <c r="F14" s="296">
        <f>161208836+2772000+3542982+1669073+272789121+25546333+46743909+10364100+177478400+3840+61255428+14400+540354823</f>
        <v>1303743245</v>
      </c>
      <c r="G14" s="298">
        <f>161208836+2772000+3639759+1669073+285586556+26193232+48092929+10364100+177478400+3920+63255734+14700+558539479</f>
        <v>1338818718</v>
      </c>
    </row>
    <row r="15" spans="1:7" ht="15" x14ac:dyDescent="0.25">
      <c r="A15" s="313"/>
      <c r="B15" s="270" t="s">
        <v>307</v>
      </c>
      <c r="C15" s="173">
        <v>513581</v>
      </c>
      <c r="D15" s="173">
        <v>506570</v>
      </c>
      <c r="E15" s="296"/>
      <c r="F15" s="296">
        <f>831613+43261400+2488000+21044516+7873697+5436580+24000+87000+2477441+2023360+434891+25497933+166601100+2587500+43625554+180758938+1516727</f>
        <v>506570250</v>
      </c>
      <c r="G15" s="302">
        <f>851995+42836400+2488000+21044516+8152951+5575107+24000+87000+1332142+2070425+445396+26138734+166601100+2587500+44591800+187183515+1570692</f>
        <v>513581273</v>
      </c>
    </row>
    <row r="16" spans="1:7" ht="15" x14ac:dyDescent="0.25">
      <c r="A16" s="313" t="s">
        <v>40</v>
      </c>
      <c r="B16" s="270" t="s">
        <v>308</v>
      </c>
      <c r="C16" s="312">
        <f>SUM(C17:C19)</f>
        <v>5587</v>
      </c>
      <c r="D16" s="312">
        <f>SUM(D17:D19)</f>
        <v>3202</v>
      </c>
      <c r="E16" s="304"/>
      <c r="F16" s="304"/>
      <c r="G16" s="299">
        <f>SUM(G17:G19)</f>
        <v>5587418</v>
      </c>
    </row>
    <row r="17" spans="1:7" ht="15" x14ac:dyDescent="0.25">
      <c r="A17" s="313"/>
      <c r="B17" s="270" t="s">
        <v>305</v>
      </c>
      <c r="C17" s="173"/>
      <c r="D17" s="173"/>
      <c r="E17" s="296"/>
      <c r="F17" s="296"/>
      <c r="G17" s="301"/>
    </row>
    <row r="18" spans="1:7" ht="15" x14ac:dyDescent="0.25">
      <c r="A18" s="313"/>
      <c r="B18" s="270" t="s">
        <v>306</v>
      </c>
      <c r="C18" s="173"/>
      <c r="D18" s="173"/>
      <c r="E18" s="296"/>
      <c r="F18" s="296"/>
      <c r="G18" s="298"/>
    </row>
    <row r="19" spans="1:7" ht="15" x14ac:dyDescent="0.25">
      <c r="A19" s="313"/>
      <c r="B19" s="270" t="s">
        <v>307</v>
      </c>
      <c r="C19" s="173">
        <v>5587</v>
      </c>
      <c r="D19" s="173">
        <v>3202</v>
      </c>
      <c r="E19" s="296"/>
      <c r="F19" s="296">
        <f>1782524+1419165</f>
        <v>3201689</v>
      </c>
      <c r="G19" s="302">
        <f>2332072+2075884+78092+1101370</f>
        <v>5587418</v>
      </c>
    </row>
    <row r="20" spans="1:7" ht="15" x14ac:dyDescent="0.25">
      <c r="A20" s="313" t="s">
        <v>48</v>
      </c>
      <c r="B20" s="270" t="s">
        <v>309</v>
      </c>
      <c r="C20" s="312">
        <f>SUM(C21:C23)</f>
        <v>10925</v>
      </c>
      <c r="D20" s="312">
        <f>SUM(D21:D23)</f>
        <v>9341</v>
      </c>
      <c r="E20" s="304"/>
      <c r="F20" s="304"/>
      <c r="G20" s="299">
        <f>SUM(G21:G23)</f>
        <v>10925000</v>
      </c>
    </row>
    <row r="21" spans="1:7" ht="15" x14ac:dyDescent="0.25">
      <c r="A21" s="313"/>
      <c r="B21" s="270" t="s">
        <v>305</v>
      </c>
      <c r="C21" s="173">
        <v>10925</v>
      </c>
      <c r="D21" s="173">
        <v>8540</v>
      </c>
      <c r="E21" s="296"/>
      <c r="F21" s="296">
        <f>754587+7785663</f>
        <v>8540250</v>
      </c>
      <c r="G21" s="301">
        <f>9916663+1008337</f>
        <v>10925000</v>
      </c>
    </row>
    <row r="22" spans="1:7" ht="15" x14ac:dyDescent="0.25">
      <c r="A22" s="313"/>
      <c r="B22" s="270" t="s">
        <v>306</v>
      </c>
      <c r="C22" s="173"/>
      <c r="D22" s="173"/>
      <c r="E22" s="296"/>
      <c r="F22" s="296"/>
      <c r="G22" s="298"/>
    </row>
    <row r="23" spans="1:7" ht="15" x14ac:dyDescent="0.25">
      <c r="A23" s="313"/>
      <c r="B23" s="270" t="s">
        <v>307</v>
      </c>
      <c r="C23" s="173"/>
      <c r="D23" s="173">
        <v>801</v>
      </c>
      <c r="E23" s="296"/>
      <c r="F23" s="296">
        <v>801370</v>
      </c>
      <c r="G23" s="298"/>
    </row>
    <row r="24" spans="1:7" ht="15" x14ac:dyDescent="0.25">
      <c r="A24" s="313" t="s">
        <v>9</v>
      </c>
      <c r="B24" s="270" t="s">
        <v>310</v>
      </c>
      <c r="C24" s="173"/>
      <c r="D24" s="173"/>
      <c r="E24" s="296"/>
      <c r="F24" s="296"/>
      <c r="G24" s="298"/>
    </row>
    <row r="25" spans="1:7" ht="15" x14ac:dyDescent="0.25">
      <c r="A25" s="313"/>
      <c r="B25" s="270" t="s">
        <v>300</v>
      </c>
      <c r="C25" s="173"/>
      <c r="D25" s="173"/>
      <c r="E25" s="296"/>
      <c r="F25" s="296"/>
      <c r="G25" s="298"/>
    </row>
    <row r="26" spans="1:7" ht="15" x14ac:dyDescent="0.25">
      <c r="A26" s="313"/>
      <c r="B26" s="270" t="s">
        <v>301</v>
      </c>
      <c r="C26" s="173"/>
      <c r="D26" s="173"/>
      <c r="E26" s="296"/>
      <c r="F26" s="296"/>
      <c r="G26" s="298"/>
    </row>
    <row r="27" spans="1:7" ht="15" x14ac:dyDescent="0.25">
      <c r="A27" s="313"/>
      <c r="B27" s="270" t="s">
        <v>302</v>
      </c>
      <c r="C27" s="173"/>
      <c r="D27" s="173"/>
      <c r="E27" s="296"/>
      <c r="F27" s="296"/>
      <c r="G27" s="302"/>
    </row>
    <row r="28" spans="1:7" ht="15" x14ac:dyDescent="0.25">
      <c r="A28" s="313" t="s">
        <v>11</v>
      </c>
      <c r="B28" s="270" t="s">
        <v>311</v>
      </c>
      <c r="C28" s="312">
        <f>SUM(C29:C31)</f>
        <v>206260</v>
      </c>
      <c r="D28" s="312">
        <f>SUM(D29:D31)</f>
        <v>205325</v>
      </c>
      <c r="E28" s="304"/>
      <c r="F28" s="304"/>
      <c r="G28" s="299">
        <f>SUM(G29:G31)</f>
        <v>206259573</v>
      </c>
    </row>
    <row r="29" spans="1:7" ht="15" x14ac:dyDescent="0.25">
      <c r="A29" s="313"/>
      <c r="B29" s="270" t="s">
        <v>300</v>
      </c>
      <c r="C29" s="173">
        <v>206260</v>
      </c>
      <c r="D29" s="173">
        <v>205325</v>
      </c>
      <c r="E29" s="296"/>
      <c r="F29" s="296">
        <f>204624776+385950+314685</f>
        <v>205325411</v>
      </c>
      <c r="G29" s="301">
        <f>204624776+1510797+124000</f>
        <v>206259573</v>
      </c>
    </row>
    <row r="30" spans="1:7" ht="15" x14ac:dyDescent="0.25">
      <c r="A30" s="313"/>
      <c r="B30" s="270" t="s">
        <v>301</v>
      </c>
      <c r="C30" s="173"/>
      <c r="D30" s="173"/>
      <c r="E30" s="296"/>
      <c r="F30" s="296"/>
      <c r="G30" s="298"/>
    </row>
    <row r="31" spans="1:7" ht="15" x14ac:dyDescent="0.25">
      <c r="A31" s="313"/>
      <c r="B31" s="270" t="s">
        <v>302</v>
      </c>
      <c r="C31" s="173"/>
      <c r="D31" s="173"/>
      <c r="E31" s="296"/>
      <c r="F31" s="296"/>
      <c r="G31" s="298"/>
    </row>
    <row r="32" spans="1:7" ht="15" x14ac:dyDescent="0.25">
      <c r="A32" s="313" t="s">
        <v>24</v>
      </c>
      <c r="B32" s="270" t="s">
        <v>312</v>
      </c>
      <c r="C32" s="173"/>
      <c r="D32" s="173"/>
      <c r="E32" s="296"/>
      <c r="F32" s="296"/>
      <c r="G32" s="298"/>
    </row>
    <row r="33" spans="1:7" ht="15" x14ac:dyDescent="0.25">
      <c r="A33" s="313"/>
      <c r="B33" s="270" t="s">
        <v>300</v>
      </c>
      <c r="C33" s="173"/>
      <c r="D33" s="173"/>
      <c r="E33" s="296"/>
      <c r="F33" s="296"/>
      <c r="G33" s="298"/>
    </row>
    <row r="34" spans="1:7" ht="15" x14ac:dyDescent="0.25">
      <c r="A34" s="313"/>
      <c r="B34" s="270" t="s">
        <v>301</v>
      </c>
      <c r="C34" s="173"/>
      <c r="D34" s="173"/>
      <c r="E34" s="296"/>
      <c r="F34" s="296"/>
      <c r="G34" s="298"/>
    </row>
    <row r="35" spans="1:7" ht="15" x14ac:dyDescent="0.25">
      <c r="A35" s="313"/>
      <c r="B35" s="270" t="s">
        <v>302</v>
      </c>
      <c r="C35" s="173"/>
      <c r="D35" s="173"/>
      <c r="E35" s="296"/>
      <c r="F35" s="296"/>
      <c r="G35" s="298"/>
    </row>
    <row r="36" spans="1:7" ht="15" x14ac:dyDescent="0.25">
      <c r="A36" s="313" t="s">
        <v>26</v>
      </c>
      <c r="B36" s="270" t="s">
        <v>313</v>
      </c>
      <c r="C36" s="173"/>
      <c r="D36" s="173"/>
      <c r="E36" s="296"/>
      <c r="F36" s="296"/>
      <c r="G36" s="298"/>
    </row>
    <row r="37" spans="1:7" ht="15" x14ac:dyDescent="0.25">
      <c r="A37" s="313"/>
      <c r="B37" s="270" t="s">
        <v>300</v>
      </c>
      <c r="C37" s="173"/>
      <c r="D37" s="173"/>
      <c r="E37" s="296"/>
      <c r="F37" s="296"/>
      <c r="G37" s="298"/>
    </row>
    <row r="38" spans="1:7" ht="15" x14ac:dyDescent="0.25">
      <c r="A38" s="313"/>
      <c r="B38" s="270" t="s">
        <v>301</v>
      </c>
      <c r="C38" s="173"/>
      <c r="D38" s="173"/>
      <c r="E38" s="296"/>
      <c r="F38" s="296"/>
      <c r="G38" s="298"/>
    </row>
    <row r="39" spans="1:7" ht="15" x14ac:dyDescent="0.25">
      <c r="A39" s="313"/>
      <c r="B39" s="270" t="s">
        <v>302</v>
      </c>
      <c r="C39" s="173"/>
      <c r="D39" s="173"/>
      <c r="E39" s="296"/>
      <c r="F39" s="296"/>
      <c r="G39" s="298"/>
    </row>
    <row r="40" spans="1:7" ht="15" x14ac:dyDescent="0.25">
      <c r="A40" s="313" t="s">
        <v>28</v>
      </c>
      <c r="B40" s="270" t="s">
        <v>314</v>
      </c>
      <c r="C40" s="173"/>
      <c r="D40" s="173"/>
      <c r="E40" s="296"/>
      <c r="F40" s="296"/>
      <c r="G40" s="298"/>
    </row>
    <row r="41" spans="1:7" ht="15" x14ac:dyDescent="0.25">
      <c r="A41" s="313"/>
      <c r="B41" s="270" t="s">
        <v>300</v>
      </c>
      <c r="C41" s="173"/>
      <c r="D41" s="173"/>
      <c r="E41" s="296"/>
      <c r="F41" s="296"/>
      <c r="G41" s="298"/>
    </row>
    <row r="42" spans="1:7" ht="15" x14ac:dyDescent="0.25">
      <c r="A42" s="313"/>
      <c r="B42" s="270" t="s">
        <v>301</v>
      </c>
      <c r="C42" s="173"/>
      <c r="D42" s="173"/>
      <c r="E42" s="296"/>
      <c r="F42" s="296"/>
      <c r="G42" s="298"/>
    </row>
    <row r="43" spans="1:7" ht="15" x14ac:dyDescent="0.25">
      <c r="A43" s="313"/>
      <c r="B43" s="270" t="s">
        <v>302</v>
      </c>
      <c r="C43" s="173"/>
      <c r="D43" s="173"/>
      <c r="E43" s="296"/>
      <c r="F43" s="296"/>
      <c r="G43" s="298"/>
    </row>
    <row r="44" spans="1:7" ht="14.25" x14ac:dyDescent="0.2">
      <c r="A44" s="311" t="s">
        <v>32</v>
      </c>
      <c r="B44" s="271" t="s">
        <v>315</v>
      </c>
      <c r="C44" s="312">
        <f>+C45+C55</f>
        <v>4310</v>
      </c>
      <c r="D44" s="312">
        <f>+D45+D55</f>
        <v>4310</v>
      </c>
      <c r="E44" s="304"/>
      <c r="F44" s="304"/>
      <c r="G44" s="299">
        <f>+G45+G55</f>
        <v>4310000</v>
      </c>
    </row>
    <row r="45" spans="1:7" ht="15" x14ac:dyDescent="0.25">
      <c r="A45" s="313" t="s">
        <v>38</v>
      </c>
      <c r="B45" s="270" t="s">
        <v>316</v>
      </c>
      <c r="C45" s="173">
        <f>SUM(C46:C48)</f>
        <v>4310</v>
      </c>
      <c r="D45" s="173">
        <f>SUM(D46:D48)</f>
        <v>4310</v>
      </c>
      <c r="E45" s="296"/>
      <c r="F45" s="296"/>
      <c r="G45" s="298">
        <f>SUM(G46:G48)</f>
        <v>4310000</v>
      </c>
    </row>
    <row r="46" spans="1:7" ht="15" x14ac:dyDescent="0.25">
      <c r="A46" s="313"/>
      <c r="B46" s="270" t="s">
        <v>305</v>
      </c>
      <c r="C46" s="173"/>
      <c r="D46" s="173"/>
      <c r="E46" s="296"/>
      <c r="F46" s="296"/>
      <c r="G46" s="298"/>
    </row>
    <row r="47" spans="1:7" ht="15" x14ac:dyDescent="0.25">
      <c r="A47" s="313"/>
      <c r="B47" s="270" t="s">
        <v>306</v>
      </c>
      <c r="C47" s="173"/>
      <c r="D47" s="173"/>
      <c r="E47" s="296"/>
      <c r="F47" s="296"/>
      <c r="G47" s="298"/>
    </row>
    <row r="48" spans="1:7" ht="15" x14ac:dyDescent="0.25">
      <c r="A48" s="313"/>
      <c r="B48" s="270" t="s">
        <v>307</v>
      </c>
      <c r="C48" s="173">
        <v>4310</v>
      </c>
      <c r="D48" s="173">
        <v>4310</v>
      </c>
      <c r="E48" s="296"/>
      <c r="F48" s="296">
        <f>10000+4300000</f>
        <v>4310000</v>
      </c>
      <c r="G48" s="298">
        <f>10000+4300000</f>
        <v>4310000</v>
      </c>
    </row>
    <row r="49" spans="1:9" ht="15" x14ac:dyDescent="0.25">
      <c r="A49" s="313"/>
      <c r="B49" s="270"/>
      <c r="C49" s="173"/>
      <c r="D49" s="173"/>
      <c r="E49" s="296"/>
      <c r="F49" s="296"/>
      <c r="G49" s="298"/>
    </row>
    <row r="50" spans="1:9" ht="15" x14ac:dyDescent="0.25">
      <c r="A50" s="313"/>
      <c r="B50" s="270"/>
      <c r="C50" s="173"/>
      <c r="D50" s="173"/>
      <c r="E50" s="296"/>
      <c r="F50" s="296">
        <f>SUM(F8:F49)</f>
        <v>2226087765</v>
      </c>
      <c r="G50" s="298"/>
      <c r="I50" s="104">
        <f>689807553+208680916+126458747+754587+1200791628-405666</f>
        <v>2226087765</v>
      </c>
    </row>
    <row r="51" spans="1:9" ht="15" x14ac:dyDescent="0.25">
      <c r="A51" s="313" t="s">
        <v>40</v>
      </c>
      <c r="B51" s="270" t="s">
        <v>317</v>
      </c>
      <c r="C51" s="173"/>
      <c r="D51" s="173"/>
      <c r="E51" s="296"/>
      <c r="F51" s="296"/>
      <c r="G51" s="298"/>
      <c r="I51" s="104"/>
    </row>
    <row r="52" spans="1:9" ht="15" x14ac:dyDescent="0.25">
      <c r="A52" s="313"/>
      <c r="B52" s="270" t="s">
        <v>300</v>
      </c>
      <c r="C52" s="173"/>
      <c r="D52" s="173"/>
      <c r="E52" s="296"/>
      <c r="F52" s="296"/>
      <c r="G52" s="298"/>
      <c r="I52" s="115"/>
    </row>
    <row r="53" spans="1:9" ht="15" x14ac:dyDescent="0.25">
      <c r="A53" s="313"/>
      <c r="B53" s="270" t="s">
        <v>301</v>
      </c>
      <c r="C53" s="173"/>
      <c r="D53" s="173"/>
      <c r="E53" s="296"/>
      <c r="F53" s="296"/>
      <c r="G53" s="298"/>
    </row>
    <row r="54" spans="1:9" ht="15" x14ac:dyDescent="0.25">
      <c r="A54" s="313"/>
      <c r="B54" s="270" t="s">
        <v>302</v>
      </c>
      <c r="C54" s="173"/>
      <c r="D54" s="173"/>
      <c r="E54" s="296"/>
      <c r="F54" s="296"/>
      <c r="G54" s="298"/>
    </row>
    <row r="55" spans="1:9" ht="15" x14ac:dyDescent="0.25">
      <c r="A55" s="313" t="s">
        <v>48</v>
      </c>
      <c r="B55" s="270" t="s">
        <v>318</v>
      </c>
      <c r="C55" s="173">
        <f>+C58</f>
        <v>0</v>
      </c>
      <c r="D55" s="173">
        <f>+D58</f>
        <v>0</v>
      </c>
      <c r="E55" s="296"/>
      <c r="F55" s="296"/>
      <c r="G55" s="298">
        <f>+G58</f>
        <v>0</v>
      </c>
    </row>
    <row r="56" spans="1:9" ht="15" x14ac:dyDescent="0.25">
      <c r="A56" s="313"/>
      <c r="B56" s="270" t="s">
        <v>300</v>
      </c>
      <c r="C56" s="173"/>
      <c r="D56" s="173"/>
      <c r="E56" s="296"/>
      <c r="F56" s="296"/>
      <c r="G56" s="298"/>
    </row>
    <row r="57" spans="1:9" ht="15" x14ac:dyDescent="0.25">
      <c r="A57" s="313"/>
      <c r="B57" s="270" t="s">
        <v>301</v>
      </c>
      <c r="C57" s="173"/>
      <c r="D57" s="173"/>
      <c r="E57" s="296"/>
      <c r="F57" s="296"/>
      <c r="G57" s="298"/>
    </row>
    <row r="58" spans="1:9" ht="15" x14ac:dyDescent="0.25">
      <c r="A58" s="313"/>
      <c r="B58" s="270" t="s">
        <v>302</v>
      </c>
      <c r="C58" s="173"/>
      <c r="D58" s="173"/>
      <c r="E58" s="296"/>
      <c r="F58" s="296"/>
      <c r="G58" s="298"/>
    </row>
    <row r="59" spans="1:9" ht="15" x14ac:dyDescent="0.25">
      <c r="A59" s="313" t="s">
        <v>9</v>
      </c>
      <c r="B59" s="270" t="s">
        <v>319</v>
      </c>
      <c r="C59" s="173"/>
      <c r="D59" s="173"/>
      <c r="E59" s="296"/>
      <c r="F59" s="296"/>
      <c r="G59" s="298"/>
    </row>
    <row r="60" spans="1:9" ht="15" x14ac:dyDescent="0.25">
      <c r="A60" s="313"/>
      <c r="B60" s="270" t="s">
        <v>300</v>
      </c>
      <c r="C60" s="173"/>
      <c r="D60" s="173"/>
      <c r="E60" s="296"/>
      <c r="F60" s="296"/>
      <c r="G60" s="298"/>
    </row>
    <row r="61" spans="1:9" ht="15" x14ac:dyDescent="0.25">
      <c r="A61" s="313"/>
      <c r="B61" s="270" t="s">
        <v>301</v>
      </c>
      <c r="C61" s="173"/>
      <c r="D61" s="173"/>
      <c r="E61" s="296"/>
      <c r="F61" s="296"/>
      <c r="G61" s="298"/>
    </row>
    <row r="62" spans="1:9" ht="15" x14ac:dyDescent="0.25">
      <c r="A62" s="313"/>
      <c r="B62" s="270" t="s">
        <v>302</v>
      </c>
      <c r="C62" s="173"/>
      <c r="D62" s="173"/>
      <c r="E62" s="296"/>
      <c r="F62" s="296"/>
      <c r="G62" s="298"/>
    </row>
    <row r="63" spans="1:9" ht="15" x14ac:dyDescent="0.25">
      <c r="A63" s="313" t="s">
        <v>11</v>
      </c>
      <c r="B63" s="270" t="s">
        <v>320</v>
      </c>
      <c r="C63" s="173"/>
      <c r="D63" s="173"/>
      <c r="E63" s="296"/>
      <c r="F63" s="296"/>
      <c r="G63" s="298"/>
    </row>
    <row r="64" spans="1:9" ht="15" x14ac:dyDescent="0.25">
      <c r="A64" s="313"/>
      <c r="B64" s="270" t="s">
        <v>300</v>
      </c>
      <c r="C64" s="173"/>
      <c r="D64" s="173"/>
      <c r="E64" s="296"/>
      <c r="F64" s="296"/>
      <c r="G64" s="298"/>
    </row>
    <row r="65" spans="1:7" ht="15" x14ac:dyDescent="0.25">
      <c r="A65" s="313"/>
      <c r="B65" s="270" t="s">
        <v>301</v>
      </c>
      <c r="C65" s="173"/>
      <c r="D65" s="173"/>
      <c r="E65" s="296"/>
      <c r="F65" s="296"/>
      <c r="G65" s="298"/>
    </row>
    <row r="66" spans="1:7" ht="15" x14ac:dyDescent="0.25">
      <c r="A66" s="313"/>
      <c r="B66" s="270" t="s">
        <v>302</v>
      </c>
      <c r="C66" s="173"/>
      <c r="D66" s="173"/>
      <c r="E66" s="296"/>
      <c r="F66" s="296"/>
      <c r="G66" s="298"/>
    </row>
    <row r="67" spans="1:7" ht="15" x14ac:dyDescent="0.25">
      <c r="A67" s="313" t="s">
        <v>24</v>
      </c>
      <c r="B67" s="270" t="s">
        <v>321</v>
      </c>
      <c r="C67" s="173"/>
      <c r="D67" s="173"/>
      <c r="E67" s="296"/>
      <c r="F67" s="296"/>
      <c r="G67" s="298"/>
    </row>
    <row r="68" spans="1:7" ht="15" x14ac:dyDescent="0.25">
      <c r="A68" s="313"/>
      <c r="B68" s="270" t="s">
        <v>300</v>
      </c>
      <c r="C68" s="173"/>
      <c r="D68" s="173"/>
      <c r="E68" s="296"/>
      <c r="F68" s="296"/>
      <c r="G68" s="298"/>
    </row>
    <row r="69" spans="1:7" ht="15" x14ac:dyDescent="0.25">
      <c r="A69" s="313"/>
      <c r="B69" s="270" t="s">
        <v>301</v>
      </c>
      <c r="C69" s="173"/>
      <c r="D69" s="173"/>
      <c r="E69" s="296"/>
      <c r="F69" s="296"/>
      <c r="G69" s="298"/>
    </row>
    <row r="70" spans="1:7" ht="15" x14ac:dyDescent="0.25">
      <c r="A70" s="313"/>
      <c r="B70" s="270" t="s">
        <v>302</v>
      </c>
      <c r="C70" s="173"/>
      <c r="D70" s="173"/>
      <c r="E70" s="296"/>
      <c r="F70" s="296"/>
      <c r="G70" s="298"/>
    </row>
    <row r="71" spans="1:7" ht="42.75" x14ac:dyDescent="0.2">
      <c r="A71" s="311" t="s">
        <v>33</v>
      </c>
      <c r="B71" s="272" t="s">
        <v>322</v>
      </c>
      <c r="C71" s="173">
        <f>SUM(C72:C74)</f>
        <v>0</v>
      </c>
      <c r="D71" s="173">
        <f>SUM(D72:D74)</f>
        <v>0</v>
      </c>
      <c r="E71" s="296"/>
      <c r="F71" s="296"/>
      <c r="G71" s="298">
        <f>SUM(G72:G74)</f>
        <v>0</v>
      </c>
    </row>
    <row r="72" spans="1:7" ht="15" x14ac:dyDescent="0.25">
      <c r="A72" s="313"/>
      <c r="B72" s="270" t="s">
        <v>305</v>
      </c>
      <c r="C72" s="173"/>
      <c r="D72" s="173"/>
      <c r="E72" s="296"/>
      <c r="F72" s="296"/>
      <c r="G72" s="298"/>
    </row>
    <row r="73" spans="1:7" ht="15" x14ac:dyDescent="0.25">
      <c r="A73" s="313"/>
      <c r="B73" s="270" t="s">
        <v>306</v>
      </c>
      <c r="C73" s="173"/>
      <c r="D73" s="173"/>
      <c r="E73" s="296"/>
      <c r="F73" s="296"/>
      <c r="G73" s="298"/>
    </row>
    <row r="74" spans="1:7" ht="15" x14ac:dyDescent="0.25">
      <c r="A74" s="313"/>
      <c r="B74" s="270" t="s">
        <v>307</v>
      </c>
      <c r="C74" s="173"/>
      <c r="D74" s="173"/>
      <c r="E74" s="296"/>
      <c r="F74" s="296"/>
      <c r="G74" s="298"/>
    </row>
    <row r="75" spans="1:7" ht="15" x14ac:dyDescent="0.25">
      <c r="A75" s="313"/>
      <c r="B75" s="271" t="s">
        <v>323</v>
      </c>
      <c r="C75" s="173">
        <f>+C76+C80+C84+C88+C92</f>
        <v>66857</v>
      </c>
      <c r="D75" s="173">
        <f>+D76+D80+D84+D88+D92</f>
        <v>59222</v>
      </c>
      <c r="E75" s="296"/>
      <c r="F75" s="296"/>
      <c r="G75" s="298">
        <f>+G76+G80+G84+G88+G92</f>
        <v>23096</v>
      </c>
    </row>
    <row r="76" spans="1:7" ht="14.25" x14ac:dyDescent="0.2">
      <c r="A76" s="311" t="s">
        <v>22</v>
      </c>
      <c r="B76" s="271" t="s">
        <v>324</v>
      </c>
      <c r="C76" s="173"/>
      <c r="D76" s="173"/>
      <c r="E76" s="296"/>
      <c r="F76" s="296"/>
      <c r="G76" s="298"/>
    </row>
    <row r="77" spans="1:7" ht="15" x14ac:dyDescent="0.25">
      <c r="A77" s="313"/>
      <c r="B77" s="270" t="s">
        <v>300</v>
      </c>
      <c r="C77" s="173"/>
      <c r="D77" s="173"/>
      <c r="E77" s="296"/>
      <c r="F77" s="296"/>
      <c r="G77" s="298"/>
    </row>
    <row r="78" spans="1:7" ht="15" x14ac:dyDescent="0.25">
      <c r="A78" s="313"/>
      <c r="B78" s="270" t="s">
        <v>301</v>
      </c>
      <c r="C78" s="173"/>
      <c r="D78" s="173"/>
      <c r="E78" s="296"/>
      <c r="F78" s="296"/>
      <c r="G78" s="298"/>
    </row>
    <row r="79" spans="1:7" ht="15" x14ac:dyDescent="0.25">
      <c r="A79" s="313"/>
      <c r="B79" s="270" t="s">
        <v>302</v>
      </c>
      <c r="C79" s="173"/>
      <c r="D79" s="173"/>
      <c r="E79" s="296"/>
      <c r="F79" s="296"/>
      <c r="G79" s="298"/>
    </row>
    <row r="80" spans="1:7" ht="14.25" x14ac:dyDescent="0.2">
      <c r="A80" s="311" t="s">
        <v>30</v>
      </c>
      <c r="B80" s="271" t="s">
        <v>325</v>
      </c>
      <c r="C80" s="173">
        <f>+C83</f>
        <v>43761</v>
      </c>
      <c r="D80" s="173">
        <f>+D83</f>
        <v>23286</v>
      </c>
      <c r="E80" s="296"/>
      <c r="F80" s="296"/>
      <c r="G80" s="298">
        <f>+G83</f>
        <v>0</v>
      </c>
    </row>
    <row r="81" spans="1:7" ht="15" x14ac:dyDescent="0.25">
      <c r="A81" s="313"/>
      <c r="B81" s="270" t="s">
        <v>300</v>
      </c>
      <c r="C81" s="173"/>
      <c r="D81" s="173"/>
      <c r="E81" s="296"/>
      <c r="F81" s="296"/>
      <c r="G81" s="298"/>
    </row>
    <row r="82" spans="1:7" ht="15" x14ac:dyDescent="0.25">
      <c r="A82" s="313"/>
      <c r="B82" s="270" t="s">
        <v>301</v>
      </c>
      <c r="C82" s="173"/>
      <c r="D82" s="173"/>
      <c r="E82" s="296"/>
      <c r="F82" s="296"/>
      <c r="G82" s="298"/>
    </row>
    <row r="83" spans="1:7" ht="15" x14ac:dyDescent="0.25">
      <c r="A83" s="313"/>
      <c r="B83" s="270" t="s">
        <v>302</v>
      </c>
      <c r="C83" s="173">
        <v>43761</v>
      </c>
      <c r="D83" s="173">
        <v>23286</v>
      </c>
      <c r="E83" s="296"/>
      <c r="F83" s="296"/>
      <c r="G83" s="298"/>
    </row>
    <row r="84" spans="1:7" ht="14.25" x14ac:dyDescent="0.2">
      <c r="A84" s="311" t="s">
        <v>32</v>
      </c>
      <c r="B84" s="271" t="s">
        <v>326</v>
      </c>
      <c r="C84" s="173"/>
      <c r="D84" s="173"/>
      <c r="E84" s="296"/>
      <c r="F84" s="296"/>
      <c r="G84" s="298"/>
    </row>
    <row r="85" spans="1:7" ht="15" x14ac:dyDescent="0.25">
      <c r="A85" s="313"/>
      <c r="B85" s="270" t="s">
        <v>300</v>
      </c>
      <c r="C85" s="173"/>
      <c r="D85" s="173"/>
      <c r="E85" s="296"/>
      <c r="F85" s="296"/>
      <c r="G85" s="298"/>
    </row>
    <row r="86" spans="1:7" ht="15" x14ac:dyDescent="0.25">
      <c r="A86" s="313"/>
      <c r="B86" s="270" t="s">
        <v>301</v>
      </c>
      <c r="C86" s="173"/>
      <c r="D86" s="173"/>
      <c r="E86" s="296"/>
      <c r="F86" s="296"/>
      <c r="G86" s="298"/>
    </row>
    <row r="87" spans="1:7" ht="15" x14ac:dyDescent="0.25">
      <c r="A87" s="313"/>
      <c r="B87" s="270" t="s">
        <v>302</v>
      </c>
      <c r="C87" s="173"/>
      <c r="D87" s="173"/>
      <c r="E87" s="296"/>
      <c r="F87" s="296"/>
      <c r="G87" s="298"/>
    </row>
    <row r="88" spans="1:7" ht="14.25" x14ac:dyDescent="0.2">
      <c r="A88" s="311" t="s">
        <v>33</v>
      </c>
      <c r="B88" s="271" t="s">
        <v>327</v>
      </c>
      <c r="C88" s="173">
        <f>+C91</f>
        <v>23096</v>
      </c>
      <c r="D88" s="173">
        <f>+D91</f>
        <v>35936</v>
      </c>
      <c r="E88" s="296"/>
      <c r="F88" s="296"/>
      <c r="G88" s="298">
        <f>+G91</f>
        <v>23096</v>
      </c>
    </row>
    <row r="89" spans="1:7" ht="15" x14ac:dyDescent="0.25">
      <c r="A89" s="313"/>
      <c r="B89" s="270" t="s">
        <v>300</v>
      </c>
      <c r="C89" s="173"/>
      <c r="D89" s="173"/>
      <c r="E89" s="296"/>
      <c r="F89" s="296"/>
      <c r="G89" s="298"/>
    </row>
    <row r="90" spans="1:7" ht="15" x14ac:dyDescent="0.25">
      <c r="A90" s="313"/>
      <c r="B90" s="270" t="s">
        <v>301</v>
      </c>
      <c r="C90" s="173"/>
      <c r="D90" s="173"/>
      <c r="E90" s="296"/>
      <c r="F90" s="296"/>
      <c r="G90" s="298"/>
    </row>
    <row r="91" spans="1:7" ht="15" x14ac:dyDescent="0.25">
      <c r="A91" s="313"/>
      <c r="B91" s="270" t="s">
        <v>302</v>
      </c>
      <c r="C91" s="173">
        <v>23096</v>
      </c>
      <c r="D91" s="173">
        <v>35936</v>
      </c>
      <c r="E91" s="296"/>
      <c r="F91" s="296"/>
      <c r="G91" s="298">
        <v>23096</v>
      </c>
    </row>
    <row r="92" spans="1:7" ht="14.25" x14ac:dyDescent="0.2">
      <c r="A92" s="311" t="s">
        <v>34</v>
      </c>
      <c r="B92" s="271" t="s">
        <v>328</v>
      </c>
      <c r="C92" s="173">
        <f>+C95</f>
        <v>0</v>
      </c>
      <c r="D92" s="173">
        <f>+D95</f>
        <v>0</v>
      </c>
      <c r="E92" s="296"/>
      <c r="F92" s="296"/>
      <c r="G92" s="298">
        <f>+G95</f>
        <v>0</v>
      </c>
    </row>
    <row r="93" spans="1:7" ht="15" x14ac:dyDescent="0.25">
      <c r="A93" s="313"/>
      <c r="B93" s="270" t="s">
        <v>300</v>
      </c>
      <c r="C93" s="173"/>
      <c r="D93" s="173"/>
      <c r="E93" s="296"/>
      <c r="F93" s="296"/>
      <c r="G93" s="298"/>
    </row>
    <row r="94" spans="1:7" ht="15" x14ac:dyDescent="0.25">
      <c r="A94" s="313"/>
      <c r="B94" s="270" t="s">
        <v>301</v>
      </c>
      <c r="C94" s="173"/>
      <c r="D94" s="173"/>
      <c r="E94" s="296"/>
      <c r="F94" s="296"/>
      <c r="G94" s="298"/>
    </row>
    <row r="95" spans="1:7" ht="15" x14ac:dyDescent="0.25">
      <c r="A95" s="313"/>
      <c r="B95" s="270" t="s">
        <v>302</v>
      </c>
      <c r="C95" s="173"/>
      <c r="D95" s="173"/>
      <c r="E95" s="296"/>
      <c r="F95" s="296"/>
      <c r="G95" s="298"/>
    </row>
    <row r="96" spans="1:7" ht="15" x14ac:dyDescent="0.25">
      <c r="A96" s="313"/>
      <c r="B96" s="270" t="s">
        <v>357</v>
      </c>
      <c r="C96" s="173">
        <v>321</v>
      </c>
      <c r="D96" s="173">
        <v>44</v>
      </c>
      <c r="E96" s="296"/>
      <c r="F96" s="296"/>
      <c r="G96" s="298"/>
    </row>
    <row r="97" spans="1:7" ht="15" x14ac:dyDescent="0.25">
      <c r="A97" s="313"/>
      <c r="B97" s="271" t="s">
        <v>329</v>
      </c>
      <c r="C97" s="312">
        <f>+C75+C6+C96</f>
        <v>2393764</v>
      </c>
      <c r="D97" s="312">
        <f>+D75+D6+D96</f>
        <v>2285353</v>
      </c>
      <c r="E97" s="304"/>
      <c r="F97" s="304"/>
      <c r="G97" s="299">
        <f>+G75+G6</f>
        <v>2326609501</v>
      </c>
    </row>
    <row r="98" spans="1:7" ht="15" x14ac:dyDescent="0.25">
      <c r="A98" s="313"/>
      <c r="B98" s="271" t="s">
        <v>330</v>
      </c>
      <c r="C98" s="173"/>
      <c r="D98" s="173"/>
      <c r="E98" s="296"/>
      <c r="F98" s="296"/>
      <c r="G98" s="298"/>
    </row>
    <row r="99" spans="1:7" ht="14.25" x14ac:dyDescent="0.2">
      <c r="A99" s="311" t="s">
        <v>22</v>
      </c>
      <c r="B99" s="271" t="s">
        <v>331</v>
      </c>
      <c r="C99" s="312">
        <f>SUM(C102:C107)</f>
        <v>2352148</v>
      </c>
      <c r="D99" s="312">
        <f>SUM(D102:D107)</f>
        <v>2261767</v>
      </c>
      <c r="E99" s="304"/>
      <c r="F99" s="304"/>
      <c r="G99" s="299">
        <f>SUM(G100:G101)</f>
        <v>0</v>
      </c>
    </row>
    <row r="100" spans="1:7" ht="14.25" x14ac:dyDescent="0.2">
      <c r="A100" s="311"/>
      <c r="B100" s="271" t="s">
        <v>353</v>
      </c>
      <c r="C100" s="312"/>
      <c r="D100" s="312"/>
      <c r="E100" s="304"/>
      <c r="F100" s="304"/>
      <c r="G100" s="299"/>
    </row>
    <row r="101" spans="1:7" ht="14.25" x14ac:dyDescent="0.2">
      <c r="A101" s="311"/>
      <c r="B101" s="271" t="s">
        <v>354</v>
      </c>
      <c r="C101" s="312"/>
      <c r="D101" s="312"/>
      <c r="E101" s="304"/>
      <c r="F101" s="304"/>
      <c r="G101" s="299"/>
    </row>
    <row r="102" spans="1:7" ht="15" x14ac:dyDescent="0.25">
      <c r="A102" s="313"/>
      <c r="B102" s="270" t="s">
        <v>332</v>
      </c>
      <c r="C102" s="173">
        <v>2411853</v>
      </c>
      <c r="D102" s="173">
        <v>2411853</v>
      </c>
      <c r="E102" s="296"/>
      <c r="F102" s="296"/>
      <c r="G102" s="298"/>
    </row>
    <row r="103" spans="1:7" ht="15" x14ac:dyDescent="0.25">
      <c r="A103" s="313"/>
      <c r="B103" s="270" t="s">
        <v>430</v>
      </c>
      <c r="C103" s="173"/>
      <c r="D103" s="173">
        <v>-47591</v>
      </c>
      <c r="E103" s="296"/>
      <c r="F103" s="296"/>
      <c r="G103" s="298"/>
    </row>
    <row r="104" spans="1:7" ht="15" x14ac:dyDescent="0.25">
      <c r="A104" s="313"/>
      <c r="B104" s="14" t="s">
        <v>358</v>
      </c>
      <c r="C104" s="173">
        <v>24445</v>
      </c>
      <c r="D104" s="173">
        <v>24445</v>
      </c>
      <c r="E104" s="296"/>
      <c r="F104" s="296"/>
      <c r="G104" s="298"/>
    </row>
    <row r="105" spans="1:7" ht="15" x14ac:dyDescent="0.25">
      <c r="A105" s="313"/>
      <c r="B105" s="14" t="s">
        <v>359</v>
      </c>
      <c r="C105" s="173">
        <v>-481409</v>
      </c>
      <c r="D105" s="173">
        <v>-510112</v>
      </c>
      <c r="E105" s="296"/>
      <c r="F105" s="296"/>
      <c r="G105" s="298"/>
    </row>
    <row r="106" spans="1:7" ht="15" x14ac:dyDescent="0.25">
      <c r="A106" s="313"/>
      <c r="B106" s="14" t="s">
        <v>360</v>
      </c>
      <c r="C106" s="173">
        <v>425962</v>
      </c>
      <c r="D106" s="173">
        <v>425962</v>
      </c>
      <c r="E106" s="296"/>
      <c r="F106" s="296"/>
      <c r="G106" s="298"/>
    </row>
    <row r="107" spans="1:7" ht="15" x14ac:dyDescent="0.25">
      <c r="A107" s="313"/>
      <c r="B107" s="14" t="s">
        <v>333</v>
      </c>
      <c r="C107" s="173">
        <v>-28703</v>
      </c>
      <c r="D107" s="173">
        <v>-42790</v>
      </c>
      <c r="E107" s="296"/>
      <c r="F107" s="296"/>
      <c r="G107" s="298"/>
    </row>
    <row r="108" spans="1:7" ht="15" x14ac:dyDescent="0.25">
      <c r="A108" s="313"/>
      <c r="B108" s="271" t="s">
        <v>334</v>
      </c>
      <c r="C108" s="173"/>
      <c r="D108" s="173"/>
      <c r="E108" s="296"/>
      <c r="F108" s="296"/>
      <c r="G108" s="298"/>
    </row>
    <row r="109" spans="1:7" ht="14.25" x14ac:dyDescent="0.2">
      <c r="A109" s="311" t="s">
        <v>22</v>
      </c>
      <c r="B109" s="271" t="s">
        <v>355</v>
      </c>
      <c r="C109" s="173">
        <f>SUM(C110:C112)</f>
        <v>0</v>
      </c>
      <c r="D109" s="173">
        <f>SUM(D110:D112)</f>
        <v>0</v>
      </c>
      <c r="E109" s="296"/>
      <c r="F109" s="296"/>
      <c r="G109" s="298">
        <f>SUM(G110:G112)</f>
        <v>0</v>
      </c>
    </row>
    <row r="110" spans="1:7" ht="15" x14ac:dyDescent="0.25">
      <c r="A110" s="313"/>
      <c r="B110" s="270" t="s">
        <v>300</v>
      </c>
      <c r="C110" s="173"/>
      <c r="D110" s="173"/>
      <c r="E110" s="296"/>
      <c r="F110" s="296"/>
      <c r="G110" s="298"/>
    </row>
    <row r="111" spans="1:7" ht="15" x14ac:dyDescent="0.25">
      <c r="A111" s="313"/>
      <c r="B111" s="270" t="s">
        <v>301</v>
      </c>
      <c r="C111" s="173"/>
      <c r="D111" s="173"/>
      <c r="E111" s="296"/>
      <c r="F111" s="296"/>
      <c r="G111" s="298"/>
    </row>
    <row r="112" spans="1:7" ht="15" x14ac:dyDescent="0.25">
      <c r="A112" s="313"/>
      <c r="B112" s="270" t="s">
        <v>302</v>
      </c>
      <c r="C112" s="173"/>
      <c r="D112" s="173"/>
      <c r="E112" s="296"/>
      <c r="F112" s="296"/>
      <c r="G112" s="298"/>
    </row>
    <row r="113" spans="1:7" ht="14.25" x14ac:dyDescent="0.2">
      <c r="A113" s="311" t="s">
        <v>30</v>
      </c>
      <c r="B113" s="271" t="s">
        <v>356</v>
      </c>
      <c r="C113" s="173"/>
      <c r="D113" s="173"/>
      <c r="E113" s="296"/>
      <c r="F113" s="296"/>
      <c r="G113" s="298"/>
    </row>
    <row r="114" spans="1:7" ht="15" x14ac:dyDescent="0.25">
      <c r="A114" s="313"/>
      <c r="B114" s="270" t="s">
        <v>300</v>
      </c>
      <c r="C114" s="173"/>
      <c r="D114" s="173"/>
      <c r="E114" s="296"/>
      <c r="F114" s="296"/>
      <c r="G114" s="298"/>
    </row>
    <row r="115" spans="1:7" ht="15" x14ac:dyDescent="0.25">
      <c r="A115" s="313"/>
      <c r="B115" s="270" t="s">
        <v>301</v>
      </c>
      <c r="C115" s="173"/>
      <c r="D115" s="173"/>
      <c r="E115" s="296"/>
      <c r="F115" s="296"/>
      <c r="G115" s="298"/>
    </row>
    <row r="116" spans="1:7" ht="15" x14ac:dyDescent="0.25">
      <c r="A116" s="313"/>
      <c r="B116" s="270" t="s">
        <v>302</v>
      </c>
      <c r="C116" s="173"/>
      <c r="D116" s="173"/>
      <c r="E116" s="296"/>
      <c r="F116" s="296"/>
      <c r="G116" s="298"/>
    </row>
    <row r="117" spans="1:7" ht="15" x14ac:dyDescent="0.25">
      <c r="A117" s="313"/>
      <c r="B117" s="271" t="s">
        <v>335</v>
      </c>
      <c r="C117" s="173">
        <f>+C118+C122+C126</f>
        <v>41616</v>
      </c>
      <c r="D117" s="173">
        <f>+D118+D122+D126</f>
        <v>23586</v>
      </c>
      <c r="E117" s="296"/>
      <c r="F117" s="296"/>
      <c r="G117" s="298">
        <f>+G118+G122+G126</f>
        <v>0</v>
      </c>
    </row>
    <row r="118" spans="1:7" ht="14.25" x14ac:dyDescent="0.2">
      <c r="A118" s="311" t="s">
        <v>22</v>
      </c>
      <c r="B118" s="271" t="s">
        <v>336</v>
      </c>
      <c r="C118" s="173"/>
      <c r="D118" s="173"/>
      <c r="E118" s="296"/>
      <c r="F118" s="296"/>
      <c r="G118" s="298"/>
    </row>
    <row r="119" spans="1:7" ht="15" x14ac:dyDescent="0.25">
      <c r="A119" s="313"/>
      <c r="B119" s="270" t="s">
        <v>300</v>
      </c>
      <c r="C119" s="173"/>
      <c r="D119" s="173"/>
      <c r="E119" s="296"/>
      <c r="F119" s="296"/>
      <c r="G119" s="298"/>
    </row>
    <row r="120" spans="1:7" ht="15" x14ac:dyDescent="0.25">
      <c r="A120" s="313"/>
      <c r="B120" s="270" t="s">
        <v>301</v>
      </c>
      <c r="C120" s="173"/>
      <c r="D120" s="173"/>
      <c r="E120" s="296"/>
      <c r="F120" s="296"/>
      <c r="G120" s="298"/>
    </row>
    <row r="121" spans="1:7" ht="15" x14ac:dyDescent="0.25">
      <c r="A121" s="313"/>
      <c r="B121" s="270" t="s">
        <v>302</v>
      </c>
      <c r="C121" s="173"/>
      <c r="D121" s="173"/>
      <c r="E121" s="296"/>
      <c r="F121" s="296"/>
      <c r="G121" s="298"/>
    </row>
    <row r="122" spans="1:7" ht="14.25" x14ac:dyDescent="0.2">
      <c r="A122" s="311" t="s">
        <v>30</v>
      </c>
      <c r="B122" s="271" t="s">
        <v>337</v>
      </c>
      <c r="C122" s="173">
        <f>+C125</f>
        <v>38481</v>
      </c>
      <c r="D122" s="173">
        <f>+D125</f>
        <v>12148</v>
      </c>
      <c r="E122" s="296"/>
      <c r="F122" s="296"/>
      <c r="G122" s="298">
        <f>+G125</f>
        <v>0</v>
      </c>
    </row>
    <row r="123" spans="1:7" ht="15" x14ac:dyDescent="0.25">
      <c r="A123" s="313"/>
      <c r="B123" s="270" t="s">
        <v>300</v>
      </c>
      <c r="C123" s="173"/>
      <c r="D123" s="173"/>
      <c r="E123" s="296"/>
      <c r="F123" s="296"/>
      <c r="G123" s="298"/>
    </row>
    <row r="124" spans="1:7" ht="15" x14ac:dyDescent="0.25">
      <c r="A124" s="313"/>
      <c r="B124" s="270" t="s">
        <v>301</v>
      </c>
      <c r="C124" s="173"/>
      <c r="D124" s="173"/>
      <c r="E124" s="296"/>
      <c r="F124" s="296"/>
      <c r="G124" s="298"/>
    </row>
    <row r="125" spans="1:7" ht="15" x14ac:dyDescent="0.25">
      <c r="A125" s="313"/>
      <c r="B125" s="270" t="s">
        <v>302</v>
      </c>
      <c r="C125" s="173">
        <v>38481</v>
      </c>
      <c r="D125" s="173">
        <v>12148</v>
      </c>
      <c r="E125" s="296"/>
      <c r="F125" s="296"/>
      <c r="G125" s="298"/>
    </row>
    <row r="126" spans="1:7" ht="14.25" x14ac:dyDescent="0.2">
      <c r="A126" s="311" t="s">
        <v>32</v>
      </c>
      <c r="B126" s="271" t="s">
        <v>338</v>
      </c>
      <c r="C126" s="173">
        <v>3135</v>
      </c>
      <c r="D126" s="173">
        <v>11438</v>
      </c>
      <c r="E126" s="296"/>
      <c r="F126" s="296"/>
      <c r="G126" s="298"/>
    </row>
    <row r="127" spans="1:7" ht="15" thickBot="1" x14ac:dyDescent="0.25">
      <c r="A127" s="314"/>
      <c r="B127" s="315" t="s">
        <v>339</v>
      </c>
      <c r="C127" s="316">
        <f>+C99+C109+C117</f>
        <v>2393764</v>
      </c>
      <c r="D127" s="316">
        <f>+D99+D109+D117</f>
        <v>2285353</v>
      </c>
      <c r="E127" s="304"/>
      <c r="F127" s="304"/>
      <c r="G127" s="299">
        <f>+G99+G109+G117</f>
        <v>0</v>
      </c>
    </row>
    <row r="128" spans="1:7" ht="14.25" x14ac:dyDescent="0.2">
      <c r="A128" s="305"/>
      <c r="B128" s="306"/>
      <c r="C128" s="307">
        <f>+C97-C127</f>
        <v>0</v>
      </c>
      <c r="D128" s="308"/>
      <c r="E128" s="296"/>
      <c r="F128" s="296"/>
      <c r="G128" s="302">
        <f>+G97-G127</f>
        <v>2326609501</v>
      </c>
    </row>
    <row r="129" spans="1:7" ht="15" x14ac:dyDescent="0.25">
      <c r="A129" s="294"/>
      <c r="B129" s="295"/>
      <c r="C129" s="296"/>
      <c r="D129" s="296"/>
      <c r="E129" s="296"/>
      <c r="F129" s="296"/>
      <c r="G129" s="296"/>
    </row>
    <row r="130" spans="1:7" ht="15" x14ac:dyDescent="0.25">
      <c r="A130" s="294"/>
      <c r="B130" s="295"/>
      <c r="C130" s="296"/>
      <c r="D130" s="296"/>
      <c r="E130" s="296"/>
      <c r="F130" s="296"/>
      <c r="G130" s="296"/>
    </row>
    <row r="131" spans="1:7" ht="15" x14ac:dyDescent="0.25">
      <c r="A131" s="294"/>
      <c r="B131" s="295"/>
      <c r="C131" s="296"/>
      <c r="D131" s="296"/>
      <c r="E131" s="296"/>
      <c r="F131" s="296"/>
      <c r="G131" s="296"/>
    </row>
    <row r="132" spans="1:7" ht="15" x14ac:dyDescent="0.25">
      <c r="A132" s="294"/>
      <c r="B132" s="295"/>
      <c r="C132" s="296"/>
      <c r="D132" s="296"/>
      <c r="E132" s="296"/>
      <c r="F132" s="296"/>
      <c r="G132" s="296"/>
    </row>
    <row r="133" spans="1:7" ht="15" x14ac:dyDescent="0.25">
      <c r="A133" s="294"/>
      <c r="B133" s="295"/>
      <c r="C133" s="296"/>
      <c r="D133" s="296"/>
      <c r="E133" s="296"/>
      <c r="F133" s="296"/>
      <c r="G133" s="296"/>
    </row>
    <row r="134" spans="1:7" ht="15" x14ac:dyDescent="0.25">
      <c r="A134" s="294"/>
      <c r="B134" s="295"/>
      <c r="C134" s="296"/>
      <c r="D134" s="296"/>
      <c r="E134" s="296"/>
      <c r="F134" s="296"/>
      <c r="G134" s="296"/>
    </row>
    <row r="135" spans="1:7" ht="15" x14ac:dyDescent="0.25">
      <c r="A135" s="294"/>
      <c r="B135" s="295"/>
      <c r="C135" s="296"/>
      <c r="D135" s="296"/>
      <c r="E135" s="296"/>
      <c r="F135" s="296"/>
      <c r="G135" s="296"/>
    </row>
    <row r="136" spans="1:7" ht="15" x14ac:dyDescent="0.25">
      <c r="A136" s="294"/>
      <c r="B136" s="295"/>
      <c r="C136" s="296"/>
      <c r="D136" s="296"/>
      <c r="E136" s="296"/>
      <c r="F136" s="296"/>
      <c r="G136" s="296"/>
    </row>
    <row r="137" spans="1:7" ht="14.25" x14ac:dyDescent="0.2">
      <c r="A137" s="294"/>
      <c r="B137" s="297"/>
      <c r="C137" s="296"/>
      <c r="D137" s="296"/>
      <c r="E137" s="296"/>
      <c r="F137" s="296"/>
      <c r="G137" s="296"/>
    </row>
    <row r="138" spans="1:7" ht="15" x14ac:dyDescent="0.25">
      <c r="A138" s="294"/>
      <c r="B138" s="295"/>
      <c r="C138" s="296"/>
      <c r="D138" s="296"/>
      <c r="E138" s="296"/>
      <c r="F138" s="296"/>
      <c r="G138" s="296"/>
    </row>
  </sheetData>
  <phoneticPr fontId="12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B2" sqref="B2"/>
    </sheetView>
  </sheetViews>
  <sheetFormatPr defaultRowHeight="12.75" x14ac:dyDescent="0.2"/>
  <cols>
    <col min="1" max="1" width="39.42578125" customWidth="1"/>
    <col min="2" max="2" width="13.7109375" customWidth="1"/>
    <col min="3" max="3" width="16.140625" customWidth="1"/>
  </cols>
  <sheetData>
    <row r="1" spans="1:4" ht="20.25" x14ac:dyDescent="0.3">
      <c r="B1" s="264" t="s">
        <v>412</v>
      </c>
    </row>
    <row r="2" spans="1:4" ht="15.75" x14ac:dyDescent="0.25">
      <c r="B2" s="166" t="s">
        <v>0</v>
      </c>
    </row>
    <row r="4" spans="1:4" ht="18" x14ac:dyDescent="0.25">
      <c r="B4" s="265" t="s">
        <v>290</v>
      </c>
    </row>
    <row r="7" spans="1:4" x14ac:dyDescent="0.2">
      <c r="D7" t="s">
        <v>296</v>
      </c>
    </row>
    <row r="8" spans="1:4" ht="13.5" thickBot="1" x14ac:dyDescent="0.25">
      <c r="A8" t="s">
        <v>291</v>
      </c>
      <c r="D8" s="256" t="s">
        <v>215</v>
      </c>
    </row>
    <row r="9" spans="1:4" x14ac:dyDescent="0.2">
      <c r="A9" s="55" t="s">
        <v>4</v>
      </c>
      <c r="B9" s="257" t="s">
        <v>292</v>
      </c>
      <c r="C9" s="257" t="s">
        <v>293</v>
      </c>
      <c r="D9" s="258" t="s">
        <v>294</v>
      </c>
    </row>
    <row r="10" spans="1:4" x14ac:dyDescent="0.2">
      <c r="A10" s="56" t="s">
        <v>295</v>
      </c>
      <c r="B10" s="259"/>
      <c r="C10" s="260"/>
      <c r="D10" s="261"/>
    </row>
    <row r="11" spans="1:4" x14ac:dyDescent="0.2">
      <c r="A11" s="56" t="s">
        <v>101</v>
      </c>
      <c r="B11" s="259"/>
      <c r="C11" s="260"/>
      <c r="D11" s="261"/>
    </row>
    <row r="12" spans="1:4" x14ac:dyDescent="0.2">
      <c r="A12" s="56"/>
      <c r="B12" s="259"/>
      <c r="C12" s="260"/>
      <c r="D12" s="261"/>
    </row>
    <row r="13" spans="1:4" x14ac:dyDescent="0.2">
      <c r="A13" s="56"/>
      <c r="B13" s="259"/>
      <c r="C13" s="14"/>
      <c r="D13" s="261"/>
    </row>
    <row r="14" spans="1:4" x14ac:dyDescent="0.2">
      <c r="A14" s="56"/>
      <c r="B14" s="259"/>
      <c r="C14" s="14"/>
      <c r="D14" s="261"/>
    </row>
    <row r="15" spans="1:4" x14ac:dyDescent="0.2">
      <c r="A15" s="56"/>
      <c r="B15" s="259"/>
      <c r="C15" s="14"/>
      <c r="D15" s="261"/>
    </row>
    <row r="16" spans="1:4" x14ac:dyDescent="0.2">
      <c r="A16" s="56"/>
      <c r="B16" s="259"/>
      <c r="C16" s="14"/>
      <c r="D16" s="261"/>
    </row>
    <row r="17" spans="1:4" ht="13.5" thickBot="1" x14ac:dyDescent="0.25">
      <c r="A17" s="62" t="s">
        <v>288</v>
      </c>
      <c r="B17" s="262">
        <f>SUM(B10:B16)</f>
        <v>0</v>
      </c>
      <c r="C17" s="176"/>
      <c r="D17" s="263"/>
    </row>
  </sheetData>
  <phoneticPr fontId="1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B2" sqref="B2:H2"/>
    </sheetView>
  </sheetViews>
  <sheetFormatPr defaultRowHeight="12.75" x14ac:dyDescent="0.2"/>
  <cols>
    <col min="2" max="2" width="35.140625" customWidth="1"/>
  </cols>
  <sheetData>
    <row r="1" spans="1:9" ht="18" x14ac:dyDescent="0.2">
      <c r="A1" s="67"/>
      <c r="B1" s="622" t="s">
        <v>413</v>
      </c>
      <c r="C1" s="623"/>
      <c r="D1" s="623"/>
      <c r="E1" s="623"/>
      <c r="F1" s="623"/>
      <c r="G1" s="623"/>
      <c r="H1" s="623"/>
      <c r="I1" s="65"/>
    </row>
    <row r="2" spans="1:9" ht="18.75" x14ac:dyDescent="0.2">
      <c r="A2" s="67"/>
      <c r="B2" s="622" t="s">
        <v>0</v>
      </c>
      <c r="C2" s="622"/>
      <c r="D2" s="622"/>
      <c r="E2" s="622"/>
      <c r="F2" s="622"/>
      <c r="G2" s="622"/>
      <c r="H2" s="622"/>
      <c r="I2" s="179" t="s">
        <v>266</v>
      </c>
    </row>
    <row r="3" spans="1:9" ht="18" x14ac:dyDescent="0.2">
      <c r="A3" s="67"/>
      <c r="B3" s="622" t="s">
        <v>249</v>
      </c>
      <c r="C3" s="623"/>
      <c r="D3" s="623"/>
      <c r="E3" s="623"/>
      <c r="F3" s="623"/>
      <c r="G3" s="623"/>
      <c r="H3" s="623"/>
      <c r="I3" s="65"/>
    </row>
    <row r="4" spans="1:9" x14ac:dyDescent="0.2">
      <c r="A4" s="67"/>
      <c r="B4" s="65"/>
      <c r="C4" s="65"/>
      <c r="D4" s="65"/>
      <c r="E4" s="65"/>
      <c r="F4" s="65"/>
      <c r="G4" s="65"/>
      <c r="H4" s="65"/>
      <c r="I4" s="65"/>
    </row>
    <row r="5" spans="1:9" ht="14.25" thickBot="1" x14ac:dyDescent="0.3">
      <c r="A5" s="67"/>
      <c r="B5" s="65"/>
      <c r="C5" s="65"/>
      <c r="D5" s="65"/>
      <c r="E5" s="65"/>
      <c r="F5" s="65"/>
      <c r="G5" s="65"/>
      <c r="H5" s="65"/>
      <c r="I5" s="180" t="s">
        <v>215</v>
      </c>
    </row>
    <row r="6" spans="1:9" x14ac:dyDescent="0.2">
      <c r="A6" s="624" t="s">
        <v>250</v>
      </c>
      <c r="B6" s="618" t="s">
        <v>251</v>
      </c>
      <c r="C6" s="624" t="s">
        <v>252</v>
      </c>
      <c r="D6" s="624" t="s">
        <v>253</v>
      </c>
      <c r="E6" s="626" t="s">
        <v>254</v>
      </c>
      <c r="F6" s="627"/>
      <c r="G6" s="627"/>
      <c r="H6" s="628"/>
      <c r="I6" s="618" t="s">
        <v>184</v>
      </c>
    </row>
    <row r="7" spans="1:9" ht="13.5" thickBot="1" x14ac:dyDescent="0.25">
      <c r="A7" s="625"/>
      <c r="B7" s="619"/>
      <c r="C7" s="619"/>
      <c r="D7" s="625"/>
      <c r="E7" s="181" t="s">
        <v>255</v>
      </c>
      <c r="F7" s="182" t="s">
        <v>256</v>
      </c>
      <c r="G7" s="182" t="s">
        <v>257</v>
      </c>
      <c r="H7" s="183" t="s">
        <v>258</v>
      </c>
      <c r="I7" s="619"/>
    </row>
    <row r="8" spans="1:9" ht="21.75" thickBot="1" x14ac:dyDescent="0.25">
      <c r="A8" s="184">
        <v>1</v>
      </c>
      <c r="B8" s="185">
        <v>2</v>
      </c>
      <c r="C8" s="186">
        <v>3</v>
      </c>
      <c r="D8" s="185">
        <v>4</v>
      </c>
      <c r="E8" s="184">
        <v>5</v>
      </c>
      <c r="F8" s="186">
        <v>6</v>
      </c>
      <c r="G8" s="186">
        <v>7</v>
      </c>
      <c r="H8" s="187">
        <v>8</v>
      </c>
      <c r="I8" s="188" t="s">
        <v>259</v>
      </c>
    </row>
    <row r="9" spans="1:9" ht="13.5" thickBot="1" x14ac:dyDescent="0.25">
      <c r="A9" s="189" t="s">
        <v>38</v>
      </c>
      <c r="B9" s="190" t="s">
        <v>260</v>
      </c>
      <c r="C9" s="191"/>
      <c r="D9" s="192">
        <f>SUM(D10:D11)</f>
        <v>0</v>
      </c>
      <c r="E9" s="193"/>
      <c r="F9" s="194"/>
      <c r="G9" s="194"/>
      <c r="H9" s="195"/>
      <c r="I9" s="196"/>
    </row>
    <row r="10" spans="1:9" x14ac:dyDescent="0.2">
      <c r="A10" s="197" t="s">
        <v>40</v>
      </c>
      <c r="B10" s="198"/>
      <c r="C10" s="199"/>
      <c r="D10" s="200"/>
      <c r="E10" s="201"/>
      <c r="F10" s="202"/>
      <c r="G10" s="202"/>
      <c r="H10" s="203"/>
      <c r="I10" s="204">
        <f t="shared" ref="I10:I21" si="0">SUM(D10:H10)</f>
        <v>0</v>
      </c>
    </row>
    <row r="11" spans="1:9" ht="13.5" thickBot="1" x14ac:dyDescent="0.25">
      <c r="A11" s="197" t="s">
        <v>48</v>
      </c>
      <c r="B11" s="198"/>
      <c r="C11" s="199"/>
      <c r="D11" s="200"/>
      <c r="E11" s="201"/>
      <c r="F11" s="202"/>
      <c r="G11" s="202"/>
      <c r="H11" s="203"/>
      <c r="I11" s="204">
        <f t="shared" si="0"/>
        <v>0</v>
      </c>
    </row>
    <row r="12" spans="1:9" ht="21.75" thickBot="1" x14ac:dyDescent="0.25">
      <c r="A12" s="189" t="s">
        <v>9</v>
      </c>
      <c r="B12" s="205" t="s">
        <v>261</v>
      </c>
      <c r="C12" s="206"/>
      <c r="D12" s="192">
        <f>SUM(D13:D14)</f>
        <v>0</v>
      </c>
      <c r="E12" s="193">
        <f>SUM(E13:E14)</f>
        <v>0</v>
      </c>
      <c r="F12" s="194">
        <f>SUM(F13:F14)</f>
        <v>0</v>
      </c>
      <c r="G12" s="194">
        <f>SUM(G13:G14)</f>
        <v>0</v>
      </c>
      <c r="H12" s="195">
        <f>SUM(H13:H14)</f>
        <v>0</v>
      </c>
      <c r="I12" s="196">
        <f t="shared" si="0"/>
        <v>0</v>
      </c>
    </row>
    <row r="13" spans="1:9" x14ac:dyDescent="0.2">
      <c r="A13" s="197" t="s">
        <v>11</v>
      </c>
      <c r="B13" s="198"/>
      <c r="C13" s="207"/>
      <c r="D13" s="200"/>
      <c r="E13" s="201"/>
      <c r="F13" s="202"/>
      <c r="G13" s="202"/>
      <c r="H13" s="203"/>
      <c r="I13" s="204">
        <f t="shared" si="0"/>
        <v>0</v>
      </c>
    </row>
    <row r="14" spans="1:9" ht="13.5" thickBot="1" x14ac:dyDescent="0.25">
      <c r="A14" s="197" t="s">
        <v>24</v>
      </c>
      <c r="B14" s="198"/>
      <c r="C14" s="199"/>
      <c r="D14" s="200"/>
      <c r="E14" s="201"/>
      <c r="F14" s="202"/>
      <c r="G14" s="202"/>
      <c r="H14" s="203"/>
      <c r="I14" s="204">
        <f t="shared" si="0"/>
        <v>0</v>
      </c>
    </row>
    <row r="15" spans="1:9" ht="13.5" thickBot="1" x14ac:dyDescent="0.25">
      <c r="A15" s="189" t="s">
        <v>26</v>
      </c>
      <c r="B15" s="205" t="s">
        <v>262</v>
      </c>
      <c r="C15" s="206"/>
      <c r="D15" s="192">
        <f>SUM(D16:D16)</f>
        <v>0</v>
      </c>
      <c r="E15" s="193"/>
      <c r="F15" s="194"/>
      <c r="G15" s="194"/>
      <c r="H15" s="195">
        <f>SUM(H16:H16)</f>
        <v>0</v>
      </c>
      <c r="I15" s="196">
        <f t="shared" si="0"/>
        <v>0</v>
      </c>
    </row>
    <row r="16" spans="1:9" ht="16.5" thickBot="1" x14ac:dyDescent="0.25">
      <c r="A16" s="197" t="s">
        <v>28</v>
      </c>
      <c r="B16" s="80"/>
      <c r="C16" s="199"/>
      <c r="D16" s="200"/>
      <c r="E16" s="201"/>
      <c r="F16" s="202"/>
      <c r="G16" s="202"/>
      <c r="H16" s="203"/>
      <c r="I16" s="204">
        <f t="shared" si="0"/>
        <v>0</v>
      </c>
    </row>
    <row r="17" spans="1:9" ht="13.5" thickBot="1" x14ac:dyDescent="0.25">
      <c r="A17" s="189" t="s">
        <v>121</v>
      </c>
      <c r="B17" s="205" t="s">
        <v>263</v>
      </c>
      <c r="C17" s="206"/>
      <c r="D17" s="192">
        <f>SUM(D18:D18)</f>
        <v>0</v>
      </c>
      <c r="E17" s="193">
        <f>SUM(E18:E18)</f>
        <v>7811190</v>
      </c>
      <c r="F17" s="194">
        <f>SUM(F18:F18)</f>
        <v>23296810</v>
      </c>
      <c r="G17" s="194">
        <f>SUM(G18:G18)</f>
        <v>0</v>
      </c>
      <c r="H17" s="195">
        <f>SUM(H18:H18)</f>
        <v>0</v>
      </c>
      <c r="I17" s="196">
        <f t="shared" si="0"/>
        <v>31108000</v>
      </c>
    </row>
    <row r="18" spans="1:9" ht="13.5" thickBot="1" x14ac:dyDescent="0.25">
      <c r="A18" s="208" t="s">
        <v>122</v>
      </c>
      <c r="B18" s="209" t="s">
        <v>204</v>
      </c>
      <c r="C18" s="210">
        <v>2014</v>
      </c>
      <c r="D18" s="211">
        <v>0</v>
      </c>
      <c r="E18" s="212">
        <v>7811190</v>
      </c>
      <c r="F18" s="213">
        <v>23296810</v>
      </c>
      <c r="G18" s="213"/>
      <c r="H18" s="214"/>
      <c r="I18" s="215">
        <f t="shared" si="0"/>
        <v>31108000</v>
      </c>
    </row>
    <row r="19" spans="1:9" ht="13.5" thickBot="1" x14ac:dyDescent="0.25">
      <c r="A19" s="189" t="s">
        <v>123</v>
      </c>
      <c r="B19" s="216" t="s">
        <v>264</v>
      </c>
      <c r="C19" s="206"/>
      <c r="D19" s="217">
        <f>SUM(D20:D20)</f>
        <v>0</v>
      </c>
      <c r="E19" s="218">
        <f>SUM(E20:E20)</f>
        <v>0</v>
      </c>
      <c r="F19" s="219">
        <f>SUM(F20:F20)</f>
        <v>0</v>
      </c>
      <c r="G19" s="219">
        <f>SUM(G20:G20)</f>
        <v>0</v>
      </c>
      <c r="H19" s="220"/>
      <c r="I19" s="196">
        <f t="shared" si="0"/>
        <v>0</v>
      </c>
    </row>
    <row r="20" spans="1:9" ht="13.5" thickBot="1" x14ac:dyDescent="0.25">
      <c r="A20" s="221" t="s">
        <v>229</v>
      </c>
      <c r="B20" s="222"/>
      <c r="C20" s="223"/>
      <c r="D20" s="224"/>
      <c r="E20" s="225"/>
      <c r="F20" s="226"/>
      <c r="G20" s="226"/>
      <c r="H20" s="227"/>
      <c r="I20" s="228">
        <f t="shared" si="0"/>
        <v>0</v>
      </c>
    </row>
    <row r="21" spans="1:9" ht="13.5" thickBot="1" x14ac:dyDescent="0.25">
      <c r="A21" s="620" t="s">
        <v>265</v>
      </c>
      <c r="B21" s="621"/>
      <c r="C21" s="229"/>
      <c r="D21" s="192">
        <f>D9+D12+D15+D17+D19</f>
        <v>0</v>
      </c>
      <c r="E21" s="193">
        <f>E9+E12+E15+E17+E19</f>
        <v>7811190</v>
      </c>
      <c r="F21" s="194">
        <f>F9+F12+F15+F17+F19</f>
        <v>23296810</v>
      </c>
      <c r="G21" s="194">
        <f>G9+G12+G15+G17+G19</f>
        <v>0</v>
      </c>
      <c r="H21" s="195">
        <f>H9+H12+H15+H17+H19</f>
        <v>0</v>
      </c>
      <c r="I21" s="196">
        <f t="shared" si="0"/>
        <v>31108000</v>
      </c>
    </row>
  </sheetData>
  <mergeCells count="10">
    <mergeCell ref="I6:I7"/>
    <mergeCell ref="A21:B21"/>
    <mergeCell ref="B1:H1"/>
    <mergeCell ref="B2:H2"/>
    <mergeCell ref="B3:H3"/>
    <mergeCell ref="A6:A7"/>
    <mergeCell ref="B6:B7"/>
    <mergeCell ref="C6:C7"/>
    <mergeCell ref="D6:D7"/>
    <mergeCell ref="E6:H6"/>
  </mergeCells>
  <phoneticPr fontId="1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1</vt:lpstr>
      <vt:lpstr>4</vt:lpstr>
      <vt:lpstr>5</vt:lpstr>
      <vt:lpstr>6</vt:lpstr>
      <vt:lpstr>13</vt:lpstr>
      <vt:lpstr>11</vt:lpstr>
      <vt:lpstr>9</vt:lpstr>
      <vt:lpstr>8</vt:lpstr>
      <vt:lpstr>7</vt:lpstr>
      <vt:lpstr>2</vt:lpstr>
      <vt:lpstr>10</vt:lpstr>
      <vt:lpstr>14</vt:lpstr>
      <vt:lpstr>12</vt:lpstr>
      <vt:lpstr>3</vt:lpstr>
    </vt:vector>
  </TitlesOfParts>
  <Company>Cég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 György</dc:creator>
  <cp:lastModifiedBy>dell</cp:lastModifiedBy>
  <cp:lastPrinted>2016-04-12T13:09:34Z</cp:lastPrinted>
  <dcterms:created xsi:type="dcterms:W3CDTF">2014-01-26T07:32:42Z</dcterms:created>
  <dcterms:modified xsi:type="dcterms:W3CDTF">2016-04-22T06:06:03Z</dcterms:modified>
</cp:coreProperties>
</file>