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52" firstSheet="22" activeTab="27"/>
  </bookViews>
  <sheets>
    <sheet name="1.1.sz.mell. " sheetId="1" r:id="rId1"/>
    <sheet name="1.2.sz.mell." sheetId="2" r:id="rId2"/>
    <sheet name="1.3.sz.mell." sheetId="3" r:id="rId3"/>
    <sheet name="1.4.sz.mell." sheetId="4" r:id="rId4"/>
    <sheet name="2.1.sz.mell." sheetId="5" r:id="rId5"/>
    <sheet name="4.sz.mell." sheetId="6" r:id="rId6"/>
    <sheet name="9.1. sz. mell." sheetId="7" r:id="rId7"/>
    <sheet name="9.1.1. sz. mell." sheetId="8" r:id="rId8"/>
    <sheet name="9.1.2. sz. mell." sheetId="9" r:id="rId9"/>
    <sheet name="9.2. sz. mell" sheetId="10" r:id="rId10"/>
    <sheet name="9.2.1. sz. mell" sheetId="11" r:id="rId11"/>
    <sheet name="9.2.3. sz. mell." sheetId="12" r:id="rId12"/>
    <sheet name="9.3. sz. mell." sheetId="13" r:id="rId13"/>
    <sheet name="9.3.1. sz. mell EOI" sheetId="14" r:id="rId14"/>
    <sheet name="9.6. sz. mell VK" sheetId="15" r:id="rId15"/>
    <sheet name="9.6.1. sz. mell VK" sheetId="16" r:id="rId16"/>
    <sheet name="9.7. sz. mell TISZEK" sheetId="17" r:id="rId17"/>
    <sheet name="9.7.1. sz. mell TISZEK" sheetId="18" r:id="rId18"/>
    <sheet name="9.7.2. sz. mell TISZEK" sheetId="19" r:id="rId19"/>
    <sheet name="9.8. sz. mell TIB" sheetId="20" r:id="rId20"/>
    <sheet name="9.8.1. sz. mell TIB" sheetId="21" r:id="rId21"/>
    <sheet name="9.9. sz. mell EKIK" sheetId="22" r:id="rId22"/>
    <sheet name="9.9.1. sz. mell EKIK" sheetId="23" r:id="rId23"/>
    <sheet name="int.összesítő" sheetId="24" r:id="rId24"/>
    <sheet name="tartalék" sheetId="25" r:id="rId25"/>
    <sheet name="3.sz tájékoztató t." sheetId="26" r:id="rId26"/>
    <sheet name="4.sz. tájékoztató" sheetId="27" r:id="rId27"/>
    <sheet name="szakfeladatos Önk." sheetId="28" r:id="rId28"/>
  </sheets>
  <definedNames>
    <definedName name="_xlfn.IFERROR" hidden="1">#NAME?</definedName>
    <definedName name="_xlnm.Print_Titles" localSheetId="6">'9.1. sz. mell.'!$1:$6</definedName>
    <definedName name="_xlnm.Print_Titles" localSheetId="7">'9.1.1. sz. mell.'!$1:$6</definedName>
    <definedName name="_xlnm.Print_Titles" localSheetId="8">'9.1.2. sz. mell.'!$1:$6</definedName>
    <definedName name="_xlnm.Print_Titles" localSheetId="9">'9.2. sz. mell'!$1:$6</definedName>
    <definedName name="_xlnm.Print_Titles" localSheetId="10">'9.2.1. sz. mell'!$1:$6</definedName>
    <definedName name="_xlnm.Print_Titles" localSheetId="11">'9.2.3. sz. mell.'!$1:$6</definedName>
    <definedName name="_xlnm.Print_Titles" localSheetId="12">'9.3. sz. mell.'!$1:$6</definedName>
    <definedName name="_xlnm.Print_Titles" localSheetId="13">'9.3.1. sz. mell EOI'!$1:$6</definedName>
    <definedName name="_xlnm.Print_Titles" localSheetId="14">'9.6. sz. mell VK'!$1:$6</definedName>
    <definedName name="_xlnm.Print_Titles" localSheetId="15">'9.6.1. sz. mell VK'!$1:$6</definedName>
    <definedName name="_xlnm.Print_Titles" localSheetId="16">'9.7. sz. mell TISZEK'!$1:$6</definedName>
    <definedName name="_xlnm.Print_Titles" localSheetId="17">'9.7.1. sz. mell TISZEK'!$1:$6</definedName>
    <definedName name="_xlnm.Print_Titles" localSheetId="18">'9.7.2. sz. mell TISZEK'!$1:$6</definedName>
    <definedName name="_xlnm.Print_Titles" localSheetId="19">'9.8. sz. mell TIB'!$1:$6</definedName>
    <definedName name="_xlnm.Print_Titles" localSheetId="20">'9.8.1. sz. mell TIB'!$1:$6</definedName>
    <definedName name="_xlnm.Print_Area" localSheetId="0">'1.1.sz.mell. 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<sst xmlns="http://schemas.openxmlformats.org/spreadsheetml/2006/main" count="4074" uniqueCount="595">
  <si>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</si>
  <si>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</si>
  <si>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</si>
  <si>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</si>
  <si>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</si>
  <si>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</si>
  <si>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</si>
  <si>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</si>
  <si>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</si>
  <si>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</si>
  <si>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</si>
  <si>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</si>
  <si>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</si>
  <si>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</si>
  <si>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Helyi és települési adók</t>
  </si>
  <si>
    <t>Kezesség- illetve garanciavállalással kapcsolatos megtérülés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</si>
  <si>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</si>
  <si>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</si>
  <si>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</si>
  <si>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</si>
  <si>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</si>
  <si>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</si>
  <si>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</si>
  <si>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</si>
  <si>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Maradvány</t>
  </si>
  <si>
    <t xml:space="preserve">2016. évi költségvetése </t>
  </si>
  <si>
    <t>Előirányzat-felhasználási terv
2016 évre</t>
  </si>
  <si>
    <t>A 2016. évi általános működés és ágazati feladatok támogatásának alakulása jogcímenként</t>
  </si>
  <si>
    <t>2016. évi támogatás összesen</t>
  </si>
  <si>
    <t>Települési önkormányzatok által biztosított egyes szociális szakosított ellátások, valamint a gyermekek átmeneti gondozásával kapcsolatos feladatok támogatása</t>
  </si>
  <si>
    <t>Támogató szolgáltatás</t>
  </si>
  <si>
    <t>Köznevelési intézmények működtetéséhz kapcsolódó támogatás</t>
  </si>
  <si>
    <t>A 2015. évről áthúzódó bérkompenzáció támogatása</t>
  </si>
  <si>
    <t>A helyi önkormányzatok működésének általános támogatása</t>
  </si>
  <si>
    <t>Kiegészítő támogatás óvodapedagógusok minősítéséből adódó többletkiadásokhoz</t>
  </si>
  <si>
    <t>Az önkormányzat 2016. évi költségvetésének</t>
  </si>
  <si>
    <t>2016 év</t>
  </si>
  <si>
    <t>2016. év</t>
  </si>
  <si>
    <t>2016. évi előirányzat</t>
  </si>
  <si>
    <t>- Temető üzemeltetési tartalék</t>
  </si>
  <si>
    <t>-  Üdülő VKT bevétel terhére kiadási 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</si>
  <si>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</si>
  <si>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</si>
  <si>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</si>
  <si>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</si>
  <si>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</si>
  <si>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</si>
  <si>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</si>
  <si>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</si>
  <si>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</si>
  <si>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</si>
  <si>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</si>
  <si>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Államháztartáson belüli megelőlegezés</t>
  </si>
  <si>
    <t>Egyesített Közművelődési Intézmény és Könyvtár</t>
  </si>
  <si>
    <t>Összes bevétel és kiadás</t>
  </si>
  <si>
    <t>Egyesített Közm. Int. és Könyvt.</t>
  </si>
  <si>
    <t xml:space="preserve">2016. évi költségvetésében rendelkezésre álló tartalékok </t>
  </si>
  <si>
    <t>Raiffeisen LTP</t>
  </si>
  <si>
    <t>Bérkompenzáció</t>
  </si>
  <si>
    <t>Szociális ágazati pótlék</t>
  </si>
  <si>
    <t>Kiegészítő ágazati pótlék</t>
  </si>
  <si>
    <t>Köztemető üzemeltetése</t>
  </si>
  <si>
    <t>KEF pályázat</t>
  </si>
  <si>
    <t>Egyéb</t>
  </si>
  <si>
    <t>- Vasvári P. utca fűtéskorszerűsítés</t>
  </si>
  <si>
    <t>Támogatási tartalék ( EÜ Kft:0 eFt,Nyírs.Tiszk: 0 eFt,Nyírv.K.K.: 0 eFt)</t>
  </si>
  <si>
    <t>1956-os emlékmű pályázat saját erő</t>
  </si>
  <si>
    <t>Kiegészítő ágazati pótlék - 2015. évi elszámolás</t>
  </si>
  <si>
    <t xml:space="preserve">GINOP 5.2.1-14-2015-00001 </t>
  </si>
  <si>
    <t>Időskoruak tartós bentlakásos ellátása</t>
  </si>
  <si>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</si>
  <si>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</si>
  <si>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</si>
  <si>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</si>
  <si>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</si>
  <si>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</si>
  <si>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</si>
  <si>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</si>
  <si>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</si>
  <si>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</si>
  <si>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</si>
  <si>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</si>
  <si>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</si>
  <si>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</si>
  <si>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</si>
  <si>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</si>
  <si>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</si>
  <si>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</si>
  <si>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</si>
  <si>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</si>
  <si>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</si>
  <si>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</si>
  <si>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</si>
  <si>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</si>
  <si>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</si>
  <si>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</si>
  <si>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</si>
  <si>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</si>
  <si>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</si>
  <si>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</si>
  <si>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</si>
  <si>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</si>
  <si>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</si>
  <si>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</si>
  <si>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</si>
  <si>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</si>
  <si>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</si>
  <si>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</si>
  <si>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</si>
  <si>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</si>
  <si>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</si>
  <si>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</si>
  <si>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</si>
  <si>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</si>
  <si>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</si>
  <si>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</si>
  <si>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</si>
  <si>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</si>
  <si>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</si>
  <si>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</si>
  <si>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</si>
  <si>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</si>
  <si>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</si>
  <si>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</si>
  <si>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</si>
  <si>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</si>
  <si>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</si>
  <si>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</si>
  <si>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</si>
  <si>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</si>
  <si>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</si>
  <si>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</si>
  <si>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</si>
  <si>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</si>
  <si>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</si>
  <si>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</si>
  <si>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</si>
  <si>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</si>
  <si>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</si>
  <si>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</si>
  <si>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</si>
  <si>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</si>
  <si>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</si>
  <si>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</si>
  <si>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</si>
  <si>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</si>
  <si>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</si>
  <si>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</si>
  <si>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</si>
  <si>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</si>
  <si>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</si>
  <si>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</si>
  <si>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</si>
  <si>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</si>
  <si>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</si>
  <si>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</si>
  <si>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</si>
  <si>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</si>
  <si>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</si>
  <si>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</si>
  <si>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</si>
  <si>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</si>
  <si>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</si>
  <si>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</si>
  <si>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</si>
  <si>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</si>
  <si>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</si>
  <si>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</si>
  <si>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</si>
  <si>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</si>
  <si>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</si>
  <si>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</si>
  <si>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</si>
  <si>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</si>
  <si>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</si>
  <si>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</si>
  <si>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</si>
  <si>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</si>
  <si>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</si>
  <si>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</si>
  <si>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</si>
  <si>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</si>
  <si>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</si>
  <si>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</si>
  <si>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</si>
  <si>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</si>
  <si>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</si>
  <si>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</si>
  <si>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</si>
  <si>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</si>
  <si>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</si>
  <si>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</si>
  <si>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</si>
  <si>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</si>
  <si>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</si>
  <si>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</si>
  <si>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</si>
  <si>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</si>
  <si>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</si>
  <si>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</si>
  <si>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</si>
  <si>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</si>
  <si>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</si>
  <si>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</si>
  <si>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</si>
  <si>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</si>
  <si>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</si>
  <si>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</si>
  <si>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</si>
  <si>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</si>
  <si>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</si>
  <si>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</si>
  <si>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</si>
  <si>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</si>
  <si>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</si>
  <si>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</si>
  <si>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</si>
  <si>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</si>
  <si>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</si>
  <si>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</si>
  <si>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</si>
  <si>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</si>
  <si>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</si>
  <si>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</si>
  <si>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</si>
  <si>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</si>
  <si>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</si>
  <si>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</si>
  <si>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</si>
  <si>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</si>
  <si>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</si>
  <si>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</si>
  <si>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</si>
  <si>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</si>
  <si>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</si>
  <si>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</si>
  <si>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</si>
  <si>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</si>
  <si>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</si>
  <si>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</si>
  <si>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</si>
  <si>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</si>
  <si>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</si>
  <si>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</si>
  <si>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</si>
  <si>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</si>
  <si>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</si>
  <si>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</si>
  <si>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</si>
  <si>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</si>
  <si>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</si>
  <si>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</si>
  <si>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</si>
  <si>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</si>
  <si>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</si>
  <si>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</si>
  <si>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</si>
  <si>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</si>
  <si>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</si>
  <si>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</si>
  <si>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</si>
  <si>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</si>
  <si>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</si>
  <si>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</si>
  <si>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</si>
  <si>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</si>
  <si>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</si>
  <si>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</si>
  <si>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</si>
  <si>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</si>
  <si>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</si>
  <si>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</si>
  <si>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</si>
  <si>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</si>
  <si>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</si>
  <si>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</si>
  <si>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</si>
  <si>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</si>
  <si>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</si>
  <si>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</si>
  <si>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</si>
  <si>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</si>
  <si>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</si>
  <si>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</si>
  <si>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</si>
  <si>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</si>
  <si>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</si>
  <si>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</si>
  <si>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</si>
  <si>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</si>
  <si>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</si>
  <si>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</si>
  <si>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</si>
  <si>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</si>
  <si>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</si>
  <si>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</si>
  <si>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</si>
  <si>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</si>
  <si>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</si>
  <si>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</si>
  <si>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</si>
  <si>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</si>
  <si>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</si>
  <si>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</si>
  <si>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</si>
  <si>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</si>
  <si>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</si>
  <si>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</si>
  <si>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</si>
  <si>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</si>
  <si>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</si>
  <si>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</si>
  <si>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</si>
  <si>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</si>
  <si>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</si>
  <si>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</si>
  <si>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</si>
  <si>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</si>
  <si>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</si>
  <si>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</si>
  <si>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</si>
  <si>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</si>
  <si>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</si>
  <si>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</si>
  <si>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</si>
  <si>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</si>
  <si>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</si>
  <si>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</si>
  <si>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</si>
  <si>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</si>
  <si>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</si>
  <si>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</si>
  <si>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</si>
  <si>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</si>
  <si>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</si>
  <si>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</si>
  <si>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</si>
  <si>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</si>
  <si>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</si>
  <si>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</si>
  <si>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</si>
  <si>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</si>
  <si>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</si>
  <si>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</si>
  <si>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</si>
  <si>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</si>
  <si>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</si>
  <si>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</si>
  <si>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</si>
  <si>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</si>
  <si>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</si>
  <si>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</si>
  <si>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</si>
  <si>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</si>
  <si>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</si>
  <si>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</si>
  <si>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</si>
  <si>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</si>
  <si>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</si>
  <si>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</si>
  <si>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</si>
  <si>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</si>
  <si>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</si>
  <si>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</si>
  <si>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</si>
  <si>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</si>
  <si>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</si>
  <si>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</si>
  <si>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</si>
  <si>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</si>
  <si>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</si>
  <si>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</si>
  <si>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Pénzügyi lízing kiadásai</t>
  </si>
  <si>
    <t xml:space="preserve"> 10.</t>
  </si>
  <si>
    <t>2.-ból EU-s támogatás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</si>
  <si>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</si>
  <si>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</si>
  <si>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</si>
  <si>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</si>
  <si>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</si>
  <si>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</si>
  <si>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</si>
  <si>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</si>
  <si>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</si>
  <si>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</si>
  <si>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</si>
  <si>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</si>
  <si>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</si>
  <si>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</si>
  <si>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</si>
  <si>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</si>
  <si>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</si>
  <si>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</si>
  <si>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</si>
  <si>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</si>
  <si>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</si>
  <si>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</si>
  <si>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</si>
  <si>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</si>
  <si>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</si>
  <si>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</si>
  <si>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</si>
  <si>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</si>
  <si>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</si>
  <si>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</si>
  <si>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</si>
  <si>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</si>
  <si>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</si>
  <si>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</si>
  <si>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</si>
  <si>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</si>
  <si>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</si>
  <si>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</si>
  <si>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</si>
  <si>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</si>
  <si>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</si>
  <si>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</si>
  <si>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>Intézmények</t>
  </si>
  <si>
    <t>megnevezése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</si>
  <si>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</si>
  <si>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</si>
  <si>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</si>
  <si>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</si>
  <si>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</si>
  <si>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</si>
  <si>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</si>
  <si>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</si>
  <si>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</si>
  <si>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</si>
  <si>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</si>
  <si>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</si>
  <si>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</si>
  <si>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</si>
  <si>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</si>
  <si>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</si>
  <si>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</si>
  <si>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</si>
  <si>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</si>
  <si>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</si>
  <si>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</si>
  <si>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</si>
  <si>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</si>
  <si>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</si>
  <si>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</si>
  <si>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</si>
  <si>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</si>
  <si>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</si>
  <si>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</si>
  <si>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</si>
  <si>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</si>
  <si>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</si>
  <si>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</si>
  <si>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</si>
  <si>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</si>
  <si>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</si>
  <si>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</si>
  <si>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</si>
  <si>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</si>
  <si>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</si>
  <si>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</si>
  <si>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</si>
  <si>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</si>
  <si>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</si>
  <si>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</si>
  <si>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</si>
  <si>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</si>
  <si>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</si>
  <si>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</si>
  <si>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</si>
  <si>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</si>
  <si>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</si>
  <si>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</si>
  <si>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</si>
  <si>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</si>
  <si>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</si>
  <si>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</si>
  <si>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</si>
  <si>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</si>
  <si>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</si>
  <si>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</si>
  <si>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</si>
  <si>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</si>
  <si>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</si>
  <si>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</si>
  <si>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</si>
  <si>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</si>
  <si>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</si>
  <si>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</si>
  <si>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</si>
  <si>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</si>
  <si>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</si>
  <si>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</si>
  <si>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</si>
  <si>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</si>
  <si>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</si>
  <si>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</si>
  <si>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</si>
  <si>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</si>
  <si>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</si>
  <si>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</si>
  <si>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</si>
  <si>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</si>
  <si>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Kistérségi startmunka mintaprogram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</si>
  <si>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</si>
  <si>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</si>
  <si>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</si>
  <si>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</si>
  <si>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</si>
  <si>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</si>
  <si>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</si>
  <si>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</si>
  <si>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</si>
  <si>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</si>
  <si>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</si>
  <si>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</si>
  <si>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</si>
  <si>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</si>
  <si>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</si>
  <si>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</si>
  <si>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</si>
  <si>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</si>
  <si>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</si>
  <si>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</si>
  <si>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</si>
  <si>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</si>
  <si>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</si>
  <si>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</si>
  <si>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</si>
  <si>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</si>
  <si>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</si>
  <si>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</si>
  <si>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</si>
  <si>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</si>
  <si>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</si>
  <si>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</si>
  <si>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</si>
  <si>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</si>
  <si>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</si>
  <si>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</si>
  <si>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</si>
  <si>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</si>
  <si>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</si>
  <si>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</si>
  <si>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</si>
  <si>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</si>
  <si>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</si>
  <si>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</si>
  <si>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</si>
  <si>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</si>
  <si>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</si>
  <si>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</si>
  <si>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</si>
  <si>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</si>
  <si>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</si>
  <si>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</si>
  <si>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</si>
  <si>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</si>
  <si>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</si>
  <si>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</si>
  <si>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</si>
  <si>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</si>
  <si>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</si>
  <si>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</si>
  <si>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</si>
  <si>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</si>
  <si>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</si>
  <si>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</si>
  <si>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</si>
  <si>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</si>
  <si>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</si>
  <si>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</si>
  <si>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</si>
  <si>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</si>
  <si>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</si>
  <si>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</si>
  <si>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</si>
  <si>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</si>
  <si>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</si>
  <si>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</si>
  <si>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</si>
  <si>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</si>
  <si>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</si>
  <si>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</si>
  <si>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</si>
  <si>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</si>
  <si>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</si>
  <si>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</si>
  <si>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</si>
  <si>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</si>
  <si>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</si>
  <si>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</si>
  <si>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</si>
  <si>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</si>
  <si>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Szociális feladat támogatás maradvány</t>
  </si>
  <si>
    <t xml:space="preserve">27. melléklet a 5/2017.(II.20.)  önkormányzati rendelethez  Tájékoztató tábla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</si>
</sst>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b/>
      <sz val="11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49" fillId="1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6" borderId="7" applyNumberFormat="0" applyFont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8" applyNumberFormat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17" borderId="0" applyNumberFormat="0" applyBorder="0" applyAlignment="0" applyProtection="0"/>
    <xf numFmtId="0" fontId="64" fillId="11" borderId="0" applyNumberFormat="0" applyBorder="0" applyAlignment="0" applyProtection="0"/>
    <xf numFmtId="0" fontId="65" fillId="16" borderId="1" applyNumberFormat="0" applyAlignment="0" applyProtection="0"/>
    <xf numFmtId="9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5" xfId="68" applyFont="1" applyFill="1" applyBorder="1" applyAlignment="1" applyProtection="1">
      <alignment vertical="center" wrapText="1"/>
      <protection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26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6" xfId="68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5" xfId="70" applyFont="1" applyFill="1" applyBorder="1" applyAlignment="1" applyProtection="1">
      <alignment horizontal="center" vertical="center"/>
      <protection/>
    </xf>
    <xf numFmtId="0" fontId="7" fillId="0" borderId="30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6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6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right"/>
      <protection/>
    </xf>
    <xf numFmtId="0" fontId="17" fillId="0" borderId="3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33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34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26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43" xfId="0" applyFont="1" applyBorder="1" applyAlignment="1" applyProtection="1">
      <alignment horizontal="left" vertical="center" wrapText="1" indent="1"/>
      <protection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42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 quotePrefix="1">
      <alignment horizontal="right" vertical="center" indent="1"/>
      <protection/>
    </xf>
    <xf numFmtId="0" fontId="7" fillId="0" borderId="30" xfId="0" applyFont="1" applyFill="1" applyBorder="1" applyAlignment="1" applyProtection="1">
      <alignment horizontal="right" vertical="center" wrapText="1" indent="1"/>
      <protection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4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5" xfId="68" applyFont="1" applyFill="1" applyBorder="1" applyAlignment="1" applyProtection="1">
      <alignment horizontal="center" vertical="center" wrapText="1"/>
      <protection/>
    </xf>
    <xf numFmtId="0" fontId="15" fillId="0" borderId="30" xfId="68" applyFont="1" applyFill="1" applyBorder="1" applyAlignment="1" applyProtection="1">
      <alignment horizontal="center" vertical="center" wrapText="1"/>
      <protection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43" xfId="0" applyFont="1" applyBorder="1" applyAlignment="1" applyProtection="1">
      <alignment horizont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32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4" fillId="0" borderId="0" xfId="67" applyFont="1" applyAlignment="1">
      <alignment horizontal="centerContinuous"/>
      <protection/>
    </xf>
    <xf numFmtId="166" fontId="34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5" xfId="67" applyFont="1" applyBorder="1" applyAlignment="1">
      <alignment vertical="center"/>
      <protection/>
    </xf>
    <xf numFmtId="0" fontId="2" fillId="0" borderId="56" xfId="67" applyFont="1" applyBorder="1" applyAlignment="1">
      <alignment vertical="center"/>
      <protection/>
    </xf>
    <xf numFmtId="0" fontId="2" fillId="0" borderId="57" xfId="67" applyFont="1" applyBorder="1" applyAlignment="1">
      <alignment vertical="center"/>
      <protection/>
    </xf>
    <xf numFmtId="166" fontId="6" fillId="0" borderId="47" xfId="46" applyNumberFormat="1" applyFont="1" applyBorder="1" applyAlignment="1">
      <alignment horizontal="center" vertical="center"/>
    </xf>
    <xf numFmtId="0" fontId="32" fillId="0" borderId="0" xfId="67" applyAlignment="1">
      <alignment vertical="center"/>
      <protection/>
    </xf>
    <xf numFmtId="166" fontId="6" fillId="0" borderId="54" xfId="46" applyNumberFormat="1" applyFont="1" applyBorder="1" applyAlignment="1">
      <alignment/>
    </xf>
    <xf numFmtId="166" fontId="6" fillId="0" borderId="58" xfId="46" applyNumberFormat="1" applyFont="1" applyBorder="1" applyAlignment="1">
      <alignment/>
    </xf>
    <xf numFmtId="166" fontId="6" fillId="0" borderId="59" xfId="46" applyNumberFormat="1" applyFont="1" applyBorder="1" applyAlignment="1">
      <alignment/>
    </xf>
    <xf numFmtId="0" fontId="32" fillId="0" borderId="0" xfId="67" applyFill="1" applyBorder="1">
      <alignment/>
      <protection/>
    </xf>
    <xf numFmtId="0" fontId="32" fillId="0" borderId="0" xfId="67" applyBorder="1">
      <alignment/>
      <protection/>
    </xf>
    <xf numFmtId="166" fontId="6" fillId="0" borderId="60" xfId="46" applyNumberFormat="1" applyFont="1" applyBorder="1" applyAlignment="1">
      <alignment/>
    </xf>
    <xf numFmtId="166" fontId="2" fillId="0" borderId="61" xfId="46" applyNumberFormat="1" applyFont="1" applyBorder="1" applyAlignment="1" quotePrefix="1">
      <alignment/>
    </xf>
    <xf numFmtId="166" fontId="2" fillId="0" borderId="42" xfId="46" applyNumberFormat="1" applyFont="1" applyBorder="1" applyAlignment="1" quotePrefix="1">
      <alignment/>
    </xf>
    <xf numFmtId="166" fontId="2" fillId="0" borderId="42" xfId="46" applyNumberFormat="1" applyFont="1" applyBorder="1" applyAlignment="1">
      <alignment/>
    </xf>
    <xf numFmtId="0" fontId="0" fillId="0" borderId="60" xfId="67" applyFont="1" applyBorder="1" quotePrefix="1">
      <alignment/>
      <protection/>
    </xf>
    <xf numFmtId="0" fontId="0" fillId="0" borderId="61" xfId="67" applyFont="1" applyBorder="1">
      <alignment/>
      <protection/>
    </xf>
    <xf numFmtId="0" fontId="0" fillId="0" borderId="42" xfId="67" applyFont="1" applyBorder="1">
      <alignment/>
      <protection/>
    </xf>
    <xf numFmtId="166" fontId="0" fillId="0" borderId="42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0" xfId="67" applyFont="1" applyBorder="1">
      <alignment/>
      <protection/>
    </xf>
    <xf numFmtId="166" fontId="35" fillId="0" borderId="0" xfId="46" applyNumberFormat="1" applyFont="1" applyBorder="1" applyAlignment="1">
      <alignment/>
    </xf>
    <xf numFmtId="0" fontId="0" fillId="0" borderId="60" xfId="67" applyFont="1" applyBorder="1">
      <alignment/>
      <protection/>
    </xf>
    <xf numFmtId="0" fontId="0" fillId="0" borderId="61" xfId="67" applyFont="1" applyBorder="1">
      <alignment/>
      <protection/>
    </xf>
    <xf numFmtId="0" fontId="35" fillId="0" borderId="61" xfId="67" applyFont="1" applyBorder="1">
      <alignment/>
      <protection/>
    </xf>
    <xf numFmtId="0" fontId="35" fillId="0" borderId="42" xfId="67" applyFont="1" applyBorder="1">
      <alignment/>
      <protection/>
    </xf>
    <xf numFmtId="166" fontId="6" fillId="0" borderId="61" xfId="46" applyNumberFormat="1" applyFont="1" applyBorder="1" applyAlignment="1">
      <alignment/>
    </xf>
    <xf numFmtId="166" fontId="6" fillId="0" borderId="42" xfId="46" applyNumberFormat="1" applyFont="1" applyBorder="1" applyAlignment="1">
      <alignment/>
    </xf>
    <xf numFmtId="166" fontId="3" fillId="0" borderId="42" xfId="46" applyNumberFormat="1" applyFont="1" applyBorder="1" applyAlignment="1">
      <alignment/>
    </xf>
    <xf numFmtId="166" fontId="6" fillId="0" borderId="35" xfId="46" applyNumberFormat="1" applyFont="1" applyBorder="1" applyAlignment="1">
      <alignment/>
    </xf>
    <xf numFmtId="166" fontId="6" fillId="0" borderId="62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166" fontId="3" fillId="0" borderId="63" xfId="46" applyNumberFormat="1" applyFont="1" applyBorder="1" applyAlignment="1">
      <alignment/>
    </xf>
    <xf numFmtId="0" fontId="0" fillId="0" borderId="0" xfId="72" applyFont="1">
      <alignment/>
      <protection/>
    </xf>
    <xf numFmtId="0" fontId="18" fillId="0" borderId="0" xfId="69" applyFont="1" applyAlignment="1">
      <alignment horizontal="centerContinuous"/>
      <protection/>
    </xf>
    <xf numFmtId="0" fontId="32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34" fillId="0" borderId="0" xfId="72" applyFont="1" applyAlignment="1">
      <alignment horizontal="centerContinuous"/>
      <protection/>
    </xf>
    <xf numFmtId="0" fontId="32" fillId="0" borderId="0" xfId="72" applyFont="1">
      <alignment/>
      <protection/>
    </xf>
    <xf numFmtId="0" fontId="17" fillId="0" borderId="55" xfId="72" applyFont="1" applyBorder="1">
      <alignment/>
      <protection/>
    </xf>
    <xf numFmtId="0" fontId="15" fillId="0" borderId="50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34" xfId="72" applyFont="1" applyBorder="1" applyAlignment="1">
      <alignment horizontal="center"/>
      <protection/>
    </xf>
    <xf numFmtId="0" fontId="15" fillId="0" borderId="64" xfId="72" applyFont="1" applyBorder="1" applyAlignment="1">
      <alignment horizontal="center"/>
      <protection/>
    </xf>
    <xf numFmtId="0" fontId="15" fillId="0" borderId="65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33" xfId="72" applyFont="1" applyBorder="1" applyAlignment="1">
      <alignment horizontal="center"/>
      <protection/>
    </xf>
    <xf numFmtId="0" fontId="15" fillId="0" borderId="29" xfId="72" applyFont="1" applyBorder="1" applyAlignment="1">
      <alignment horizontal="center"/>
      <protection/>
    </xf>
    <xf numFmtId="0" fontId="15" fillId="0" borderId="66" xfId="72" applyFont="1" applyBorder="1" applyAlignment="1">
      <alignment horizontal="center"/>
      <protection/>
    </xf>
    <xf numFmtId="0" fontId="17" fillId="0" borderId="67" xfId="72" applyFont="1" applyBorder="1" applyAlignment="1">
      <alignment horizontal="left"/>
      <protection/>
    </xf>
    <xf numFmtId="0" fontId="17" fillId="0" borderId="49" xfId="72" applyFont="1" applyBorder="1" applyAlignment="1">
      <alignment horizontal="left"/>
      <protection/>
    </xf>
    <xf numFmtId="3" fontId="17" fillId="0" borderId="11" xfId="46" applyNumberFormat="1" applyFont="1" applyBorder="1" applyAlignment="1">
      <alignment horizontal="right"/>
    </xf>
    <xf numFmtId="0" fontId="17" fillId="0" borderId="68" xfId="71" applyFont="1" applyBorder="1" applyAlignment="1">
      <alignment horizontal="left"/>
      <protection/>
    </xf>
    <xf numFmtId="0" fontId="0" fillId="0" borderId="40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47" xfId="46" applyNumberFormat="1" applyFont="1" applyBorder="1" applyAlignment="1">
      <alignment horizontal="right"/>
    </xf>
    <xf numFmtId="0" fontId="32" fillId="0" borderId="0" xfId="65">
      <alignment/>
      <protection/>
    </xf>
    <xf numFmtId="0" fontId="0" fillId="0" borderId="0" xfId="65" applyFont="1">
      <alignment/>
      <protection/>
    </xf>
    <xf numFmtId="0" fontId="38" fillId="0" borderId="0" xfId="65" applyFont="1" applyAlignment="1">
      <alignment horizontal="centerContinuous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32" fillId="0" borderId="0" xfId="65" applyFont="1">
      <alignment/>
      <protection/>
    </xf>
    <xf numFmtId="0" fontId="3" fillId="0" borderId="54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wrapText="1"/>
      <protection/>
    </xf>
    <xf numFmtId="0" fontId="6" fillId="0" borderId="70" xfId="65" applyFont="1" applyBorder="1" applyAlignment="1">
      <alignment wrapText="1"/>
      <protection/>
    </xf>
    <xf numFmtId="0" fontId="0" fillId="0" borderId="60" xfId="65" applyFont="1" applyBorder="1" applyAlignment="1">
      <alignment wrapText="1"/>
      <protection/>
    </xf>
    <xf numFmtId="0" fontId="0" fillId="0" borderId="60" xfId="65" applyFont="1" applyBorder="1">
      <alignment/>
      <protection/>
    </xf>
    <xf numFmtId="0" fontId="6" fillId="0" borderId="60" xfId="65" applyFont="1" applyBorder="1" applyAlignment="1">
      <alignment wrapText="1"/>
      <protection/>
    </xf>
    <xf numFmtId="0" fontId="0" fillId="0" borderId="60" xfId="65" applyFont="1" applyBorder="1">
      <alignment/>
      <protection/>
    </xf>
    <xf numFmtId="0" fontId="0" fillId="0" borderId="60" xfId="65" applyFont="1" applyBorder="1" applyAlignment="1">
      <alignment wrapText="1"/>
      <protection/>
    </xf>
    <xf numFmtId="3" fontId="3" fillId="0" borderId="71" xfId="65" applyNumberFormat="1" applyFont="1" applyBorder="1" applyAlignment="1">
      <alignment horizontal="center" vertical="center" wrapText="1"/>
      <protection/>
    </xf>
    <xf numFmtId="166" fontId="24" fillId="0" borderId="48" xfId="46" applyNumberFormat="1" applyFont="1" applyBorder="1" applyAlignment="1">
      <alignment horizontal="center"/>
    </xf>
    <xf numFmtId="0" fontId="32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3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34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4" fillId="0" borderId="0" xfId="66" applyFont="1" applyAlignment="1">
      <alignment horizontal="centerContinuous"/>
      <protection/>
    </xf>
    <xf numFmtId="0" fontId="40" fillId="0" borderId="0" xfId="66" applyFont="1" applyAlignment="1">
      <alignment horizontal="centerContinuous"/>
      <protection/>
    </xf>
    <xf numFmtId="0" fontId="6" fillId="0" borderId="55" xfId="66" applyFont="1" applyBorder="1">
      <alignment/>
      <protection/>
    </xf>
    <xf numFmtId="0" fontId="6" fillId="0" borderId="56" xfId="66" applyFont="1" applyBorder="1" applyAlignment="1">
      <alignment horizontal="center"/>
      <protection/>
    </xf>
    <xf numFmtId="0" fontId="16" fillId="0" borderId="50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44" xfId="66" applyFont="1" applyBorder="1" applyAlignment="1">
      <alignment horizontal="center"/>
      <protection/>
    </xf>
    <xf numFmtId="0" fontId="7" fillId="0" borderId="51" xfId="66" applyFont="1" applyBorder="1" applyAlignment="1">
      <alignment horizontal="center"/>
      <protection/>
    </xf>
    <xf numFmtId="0" fontId="14" fillId="0" borderId="65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46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4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34" xfId="66" applyNumberFormat="1" applyFont="1" applyBorder="1">
      <alignment/>
      <protection/>
    </xf>
    <xf numFmtId="3" fontId="7" fillId="0" borderId="56" xfId="66" applyNumberFormat="1" applyFont="1" applyBorder="1">
      <alignment/>
      <protection/>
    </xf>
    <xf numFmtId="3" fontId="14" fillId="0" borderId="13" xfId="66" applyNumberFormat="1" applyFont="1" applyBorder="1" applyAlignment="1">
      <alignment/>
      <protection/>
    </xf>
    <xf numFmtId="0" fontId="33" fillId="0" borderId="0" xfId="66" applyFont="1">
      <alignment/>
      <protection/>
    </xf>
    <xf numFmtId="0" fontId="14" fillId="0" borderId="60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8" xfId="66" applyNumberFormat="1" applyFont="1" applyBorder="1">
      <alignment/>
      <protection/>
    </xf>
    <xf numFmtId="3" fontId="7" fillId="0" borderId="51" xfId="66" applyNumberFormat="1" applyFont="1" applyBorder="1">
      <alignment/>
      <protection/>
    </xf>
    <xf numFmtId="0" fontId="14" fillId="0" borderId="60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0" xfId="66" applyNumberFormat="1" applyFont="1" applyBorder="1">
      <alignment/>
      <protection/>
    </xf>
    <xf numFmtId="3" fontId="7" fillId="0" borderId="28" xfId="66" applyNumberFormat="1" applyFont="1" applyBorder="1">
      <alignment/>
      <protection/>
    </xf>
    <xf numFmtId="3" fontId="16" fillId="0" borderId="51" xfId="66" applyNumberFormat="1" applyFont="1" applyBorder="1">
      <alignment/>
      <protection/>
    </xf>
    <xf numFmtId="49" fontId="14" fillId="0" borderId="60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0" fontId="7" fillId="0" borderId="60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42" fillId="0" borderId="60" xfId="66" applyNumberFormat="1" applyFont="1" applyBorder="1">
      <alignment/>
      <protection/>
    </xf>
    <xf numFmtId="3" fontId="16" fillId="0" borderId="28" xfId="66" applyNumberFormat="1" applyFont="1" applyBorder="1">
      <alignment/>
      <protection/>
    </xf>
    <xf numFmtId="3" fontId="42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42" fillId="0" borderId="17" xfId="66" applyNumberFormat="1" applyFont="1" applyBorder="1">
      <alignment/>
      <protection/>
    </xf>
    <xf numFmtId="3" fontId="16" fillId="0" borderId="28" xfId="66" applyNumberFormat="1" applyFont="1" applyBorder="1">
      <alignment/>
      <protection/>
    </xf>
    <xf numFmtId="0" fontId="14" fillId="0" borderId="36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0" xfId="66" applyFont="1" applyBorder="1">
      <alignment/>
      <protection/>
    </xf>
    <xf numFmtId="3" fontId="7" fillId="0" borderId="44" xfId="66" applyNumberFormat="1" applyFont="1" applyBorder="1">
      <alignment/>
      <protection/>
    </xf>
    <xf numFmtId="3" fontId="7" fillId="0" borderId="44" xfId="66" applyNumberFormat="1" applyFont="1" applyBorder="1">
      <alignment/>
      <protection/>
    </xf>
    <xf numFmtId="0" fontId="7" fillId="0" borderId="54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1" xfId="66" applyNumberFormat="1" applyFont="1" applyBorder="1">
      <alignment/>
      <protection/>
    </xf>
    <xf numFmtId="0" fontId="14" fillId="0" borderId="60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8" xfId="66" applyNumberFormat="1" applyFont="1" applyBorder="1">
      <alignment/>
      <protection/>
    </xf>
    <xf numFmtId="0" fontId="7" fillId="0" borderId="72" xfId="66" applyFont="1" applyBorder="1">
      <alignment/>
      <protection/>
    </xf>
    <xf numFmtId="3" fontId="7" fillId="0" borderId="73" xfId="66" applyNumberFormat="1" applyFont="1" applyBorder="1">
      <alignment/>
      <protection/>
    </xf>
    <xf numFmtId="3" fontId="7" fillId="0" borderId="33" xfId="66" applyNumberFormat="1" applyFont="1" applyBorder="1">
      <alignment/>
      <protection/>
    </xf>
    <xf numFmtId="3" fontId="7" fillId="0" borderId="72" xfId="66" applyNumberFormat="1" applyFont="1" applyBorder="1">
      <alignment/>
      <protection/>
    </xf>
    <xf numFmtId="3" fontId="7" fillId="0" borderId="29" xfId="66" applyNumberFormat="1" applyFont="1" applyBorder="1">
      <alignment/>
      <protection/>
    </xf>
    <xf numFmtId="0" fontId="42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42" fillId="0" borderId="0" xfId="66" applyNumberFormat="1" applyFont="1" applyFill="1" applyBorder="1">
      <alignment/>
      <protection/>
    </xf>
    <xf numFmtId="3" fontId="43" fillId="0" borderId="0" xfId="66" applyNumberFormat="1" applyFont="1" applyBorder="1">
      <alignment/>
      <protection/>
    </xf>
    <xf numFmtId="3" fontId="42" fillId="0" borderId="15" xfId="66" applyNumberFormat="1" applyFont="1" applyBorder="1">
      <alignment/>
      <protection/>
    </xf>
    <xf numFmtId="3" fontId="16" fillId="0" borderId="68" xfId="66" applyNumberFormat="1" applyFont="1" applyBorder="1">
      <alignment/>
      <protection/>
    </xf>
    <xf numFmtId="3" fontId="7" fillId="0" borderId="45" xfId="66" applyNumberFormat="1" applyFont="1" applyBorder="1">
      <alignment/>
      <protection/>
    </xf>
    <xf numFmtId="0" fontId="46" fillId="0" borderId="0" xfId="72" applyFont="1">
      <alignment/>
      <protection/>
    </xf>
    <xf numFmtId="3" fontId="14" fillId="0" borderId="15" xfId="66" applyNumberFormat="1" applyFont="1" applyFill="1" applyBorder="1">
      <alignment/>
      <protection/>
    </xf>
    <xf numFmtId="0" fontId="14" fillId="0" borderId="49" xfId="66" applyFont="1" applyBorder="1">
      <alignment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3" fontId="17" fillId="0" borderId="14" xfId="46" applyNumberFormat="1" applyFont="1" applyBorder="1" applyAlignment="1">
      <alignment horizontal="right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5" fillId="0" borderId="22" xfId="68" applyFont="1" applyFill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2" fillId="0" borderId="43" xfId="0" applyFont="1" applyBorder="1" applyAlignment="1" applyProtection="1">
      <alignment vertical="center" wrapText="1"/>
      <protection/>
    </xf>
    <xf numFmtId="0" fontId="17" fillId="0" borderId="33" xfId="68" applyFont="1" applyFill="1" applyBorder="1" applyAlignment="1" applyProtection="1">
      <alignment horizontal="left" vertical="center" wrapText="1" indent="7"/>
      <protection/>
    </xf>
    <xf numFmtId="0" fontId="15" fillId="0" borderId="43" xfId="68" applyFont="1" applyFill="1" applyBorder="1" applyAlignment="1" applyProtection="1">
      <alignment horizontal="left" vertical="center" wrapText="1" indent="1"/>
      <protection/>
    </xf>
    <xf numFmtId="0" fontId="15" fillId="0" borderId="32" xfId="68" applyFont="1" applyFill="1" applyBorder="1" applyAlignment="1" applyProtection="1">
      <alignment vertical="center" wrapText="1"/>
      <protection/>
    </xf>
    <xf numFmtId="164" fontId="15" fillId="0" borderId="74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49" fontId="7" fillId="0" borderId="5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8" applyNumberFormat="1" applyFont="1" applyFill="1" applyBorder="1" applyAlignment="1" applyProtection="1">
      <alignment horizontal="center" vertical="center" wrapText="1"/>
      <protection/>
    </xf>
    <xf numFmtId="3" fontId="17" fillId="0" borderId="45" xfId="46" applyNumberFormat="1" applyFont="1" applyBorder="1" applyAlignment="1">
      <alignment horizontal="right"/>
    </xf>
    <xf numFmtId="0" fontId="8" fillId="0" borderId="0" xfId="65" applyFont="1" applyAlignment="1">
      <alignment horizontal="center"/>
      <protection/>
    </xf>
    <xf numFmtId="166" fontId="24" fillId="0" borderId="48" xfId="46" applyNumberFormat="1" applyFont="1" applyBorder="1" applyAlignment="1">
      <alignment/>
    </xf>
    <xf numFmtId="0" fontId="2" fillId="0" borderId="60" xfId="65" applyFont="1" applyBorder="1" applyAlignment="1">
      <alignment wrapText="1"/>
      <protection/>
    </xf>
    <xf numFmtId="166" fontId="32" fillId="0" borderId="0" xfId="65" applyNumberFormat="1" applyFont="1">
      <alignment/>
      <protection/>
    </xf>
    <xf numFmtId="166" fontId="0" fillId="0" borderId="49" xfId="46" applyNumberFormat="1" applyFont="1" applyBorder="1" applyAlignment="1">
      <alignment horizontal="center"/>
    </xf>
    <xf numFmtId="4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1" xfId="72" applyFont="1" applyBorder="1" applyAlignment="1">
      <alignment horizontal="center"/>
      <protection/>
    </xf>
    <xf numFmtId="0" fontId="15" fillId="0" borderId="72" xfId="72" applyFont="1" applyBorder="1" applyAlignment="1">
      <alignment horizontal="center"/>
      <protection/>
    </xf>
    <xf numFmtId="3" fontId="17" fillId="0" borderId="24" xfId="72" applyNumberFormat="1" applyFont="1" applyBorder="1" applyAlignment="1">
      <alignment horizontal="right"/>
      <protection/>
    </xf>
    <xf numFmtId="3" fontId="17" fillId="0" borderId="25" xfId="72" applyNumberFormat="1" applyFont="1" applyBorder="1" applyAlignment="1">
      <alignment horizontal="right"/>
      <protection/>
    </xf>
    <xf numFmtId="3" fontId="17" fillId="0" borderId="75" xfId="72" applyNumberFormat="1" applyFont="1" applyBorder="1" applyAlignment="1">
      <alignment horizontal="right"/>
      <protection/>
    </xf>
    <xf numFmtId="3" fontId="17" fillId="0" borderId="12" xfId="72" applyNumberFormat="1" applyFont="1" applyBorder="1" applyAlignment="1">
      <alignment horizontal="right"/>
      <protection/>
    </xf>
    <xf numFmtId="3" fontId="17" fillId="0" borderId="76" xfId="72" applyNumberFormat="1" applyFont="1" applyBorder="1" applyAlignment="1">
      <alignment horizontal="right"/>
      <protection/>
    </xf>
    <xf numFmtId="3" fontId="17" fillId="0" borderId="15" xfId="72" applyNumberFormat="1" applyFont="1" applyBorder="1" applyAlignment="1">
      <alignment horizontal="right"/>
      <protection/>
    </xf>
    <xf numFmtId="3" fontId="17" fillId="0" borderId="14" xfId="72" applyNumberFormat="1" applyFont="1" applyBorder="1" applyAlignment="1">
      <alignment horizontal="right"/>
      <protection/>
    </xf>
    <xf numFmtId="3" fontId="17" fillId="0" borderId="11" xfId="72" applyNumberFormat="1" applyFont="1" applyBorder="1" applyAlignment="1">
      <alignment horizontal="right"/>
      <protection/>
    </xf>
    <xf numFmtId="3" fontId="17" fillId="0" borderId="45" xfId="72" applyNumberFormat="1" applyFont="1" applyBorder="1" applyAlignment="1">
      <alignment horizontal="right"/>
      <protection/>
    </xf>
    <xf numFmtId="3" fontId="17" fillId="0" borderId="17" xfId="46" applyNumberFormat="1" applyFont="1" applyBorder="1" applyAlignment="1" quotePrefix="1">
      <alignment horizontal="right"/>
    </xf>
    <xf numFmtId="3" fontId="17" fillId="0" borderId="33" xfId="72" applyNumberFormat="1" applyFont="1" applyBorder="1" applyAlignment="1">
      <alignment horizontal="right"/>
      <protection/>
    </xf>
    <xf numFmtId="3" fontId="15" fillId="0" borderId="40" xfId="46" applyNumberFormat="1" applyFont="1" applyBorder="1" applyAlignment="1">
      <alignment horizontal="right"/>
    </xf>
    <xf numFmtId="166" fontId="24" fillId="0" borderId="51" xfId="46" applyNumberFormat="1" applyFont="1" applyBorder="1" applyAlignment="1">
      <alignment horizontal="center"/>
    </xf>
    <xf numFmtId="0" fontId="13" fillId="0" borderId="65" xfId="65" applyFont="1" applyBorder="1" applyAlignment="1">
      <alignment horizontal="left"/>
      <protection/>
    </xf>
    <xf numFmtId="166" fontId="39" fillId="0" borderId="77" xfId="65" applyNumberFormat="1" applyFont="1" applyBorder="1" applyAlignment="1">
      <alignment horizontal="center"/>
      <protection/>
    </xf>
    <xf numFmtId="164" fontId="17" fillId="0" borderId="26" xfId="68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70" applyFont="1" applyFill="1" applyAlignment="1" applyProtection="1">
      <alignment vertical="center"/>
      <protection locked="0"/>
    </xf>
    <xf numFmtId="0" fontId="17" fillId="0" borderId="0" xfId="66" applyFont="1">
      <alignment/>
      <protection/>
    </xf>
    <xf numFmtId="3" fontId="17" fillId="0" borderId="21" xfId="46" applyNumberFormat="1" applyFont="1" applyBorder="1" applyAlignment="1" quotePrefix="1">
      <alignment horizontal="right"/>
    </xf>
    <xf numFmtId="3" fontId="17" fillId="0" borderId="78" xfId="46" applyNumberFormat="1" applyFont="1" applyBorder="1" applyAlignment="1">
      <alignment horizontal="right"/>
    </xf>
    <xf numFmtId="3" fontId="17" fillId="0" borderId="15" xfId="46" applyNumberFormat="1" applyFont="1" applyBorder="1" applyAlignment="1">
      <alignment horizontal="right"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164" fontId="15" fillId="0" borderId="46" xfId="70" applyNumberFormat="1" applyFont="1" applyFill="1" applyBorder="1" applyAlignment="1" applyProtection="1">
      <alignment vertical="center"/>
      <protection/>
    </xf>
    <xf numFmtId="164" fontId="15" fillId="0" borderId="28" xfId="70" applyNumberFormat="1" applyFont="1" applyFill="1" applyBorder="1" applyAlignment="1" applyProtection="1">
      <alignment vertical="center"/>
      <protection/>
    </xf>
    <xf numFmtId="164" fontId="15" fillId="0" borderId="27" xfId="70" applyNumberFormat="1" applyFont="1" applyFill="1" applyBorder="1" applyAlignment="1" applyProtection="1">
      <alignment vertical="center"/>
      <protection/>
    </xf>
    <xf numFmtId="164" fontId="17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7" xfId="72" applyNumberFormat="1" applyFont="1" applyBorder="1" applyAlignment="1">
      <alignment horizontal="right"/>
      <protection/>
    </xf>
    <xf numFmtId="3" fontId="17" fillId="0" borderId="79" xfId="46" applyNumberFormat="1" applyFont="1" applyBorder="1" applyAlignment="1">
      <alignment horizontal="right"/>
    </xf>
    <xf numFmtId="164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0" xfId="66" applyNumberFormat="1" applyFont="1" applyBorder="1" applyAlignment="1">
      <alignment horizontal="right"/>
      <protection/>
    </xf>
    <xf numFmtId="0" fontId="45" fillId="0" borderId="0" xfId="0" applyFont="1" applyFill="1" applyAlignment="1">
      <alignment vertical="center" wrapText="1"/>
    </xf>
    <xf numFmtId="0" fontId="66" fillId="0" borderId="0" xfId="0" applyFont="1" applyFill="1" applyAlignment="1" applyProtection="1">
      <alignment vertical="center" wrapText="1"/>
      <protection/>
    </xf>
    <xf numFmtId="3" fontId="41" fillId="0" borderId="11" xfId="66" applyNumberFormat="1" applyFont="1" applyFill="1" applyBorder="1">
      <alignment/>
      <protection/>
    </xf>
    <xf numFmtId="3" fontId="1" fillId="0" borderId="48" xfId="65" applyNumberFormat="1" applyFont="1" applyBorder="1" applyAlignment="1">
      <alignment horizontal="right"/>
      <protection/>
    </xf>
    <xf numFmtId="166" fontId="1" fillId="0" borderId="48" xfId="46" applyNumberFormat="1" applyFont="1" applyBorder="1" applyAlignment="1">
      <alignment horizontal="right"/>
    </xf>
    <xf numFmtId="166" fontId="1" fillId="0" borderId="48" xfId="46" applyNumberFormat="1" applyFont="1" applyBorder="1" applyAlignment="1">
      <alignment horizontal="center"/>
    </xf>
    <xf numFmtId="0" fontId="0" fillId="0" borderId="60" xfId="65" applyFont="1" applyBorder="1" applyAlignment="1">
      <alignment horizontal="left" wrapText="1"/>
      <protection/>
    </xf>
    <xf numFmtId="0" fontId="6" fillId="0" borderId="49" xfId="65" applyFont="1" applyBorder="1" applyAlignment="1">
      <alignment wrapText="1"/>
      <protection/>
    </xf>
    <xf numFmtId="0" fontId="0" fillId="0" borderId="50" xfId="65" applyFont="1" applyBorder="1">
      <alignment/>
      <protection/>
    </xf>
    <xf numFmtId="0" fontId="0" fillId="0" borderId="50" xfId="65" applyFont="1" applyBorder="1" applyAlignment="1">
      <alignment wrapText="1"/>
      <protection/>
    </xf>
    <xf numFmtId="166" fontId="1" fillId="0" borderId="48" xfId="46" applyNumberFormat="1" applyFont="1" applyBorder="1" applyAlignment="1">
      <alignment/>
    </xf>
    <xf numFmtId="3" fontId="14" fillId="0" borderId="19" xfId="66" applyNumberFormat="1" applyFont="1" applyFill="1" applyBorder="1">
      <alignment/>
      <protection/>
    </xf>
    <xf numFmtId="164" fontId="4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9" xfId="71" applyFont="1" applyBorder="1" applyAlignment="1">
      <alignment horizontal="left"/>
      <protection/>
    </xf>
    <xf numFmtId="0" fontId="0" fillId="0" borderId="49" xfId="65" applyFont="1" applyBorder="1" applyAlignment="1">
      <alignment wrapText="1"/>
      <protection/>
    </xf>
    <xf numFmtId="164" fontId="44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9" xfId="46" applyNumberFormat="1" applyFont="1" applyBorder="1" applyAlignment="1" quotePrefix="1">
      <alignment horizontal="right"/>
    </xf>
    <xf numFmtId="0" fontId="3" fillId="0" borderId="0" xfId="0" applyFont="1" applyFill="1" applyAlignment="1">
      <alignment vertical="center" wrapText="1"/>
    </xf>
    <xf numFmtId="166" fontId="45" fillId="0" borderId="59" xfId="46" applyNumberFormat="1" applyFont="1" applyBorder="1" applyAlignment="1">
      <alignment/>
    </xf>
    <xf numFmtId="166" fontId="67" fillId="0" borderId="49" xfId="46" applyNumberFormat="1" applyFont="1" applyBorder="1" applyAlignment="1">
      <alignment horizontal="center"/>
    </xf>
    <xf numFmtId="3" fontId="14" fillId="0" borderId="20" xfId="66" applyNumberFormat="1" applyFont="1" applyBorder="1" applyAlignment="1">
      <alignment horizontal="center"/>
      <protection/>
    </xf>
    <xf numFmtId="0" fontId="14" fillId="0" borderId="49" xfId="66" applyFont="1" applyBorder="1">
      <alignment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8" xfId="46" applyNumberFormat="1" applyFont="1" applyBorder="1" applyAlignment="1">
      <alignment horizontal="center"/>
    </xf>
    <xf numFmtId="166" fontId="1" fillId="0" borderId="51" xfId="46" applyNumberFormat="1" applyFont="1" applyBorder="1" applyAlignment="1">
      <alignment horizontal="center"/>
    </xf>
    <xf numFmtId="0" fontId="0" fillId="0" borderId="49" xfId="65" applyFont="1" applyBorder="1" applyAlignment="1">
      <alignment wrapText="1"/>
      <protection/>
    </xf>
    <xf numFmtId="3" fontId="15" fillId="0" borderId="30" xfId="72" applyNumberFormat="1" applyFont="1" applyBorder="1" applyAlignment="1">
      <alignment horizontal="right"/>
      <protection/>
    </xf>
    <xf numFmtId="3" fontId="15" fillId="0" borderId="48" xfId="72" applyNumberFormat="1" applyFont="1" applyBorder="1" applyAlignment="1">
      <alignment horizontal="right"/>
      <protection/>
    </xf>
    <xf numFmtId="3" fontId="15" fillId="0" borderId="44" xfId="72" applyNumberFormat="1" applyFont="1" applyBorder="1" applyAlignment="1">
      <alignment horizontal="right"/>
      <protection/>
    </xf>
    <xf numFmtId="3" fontId="15" fillId="0" borderId="49" xfId="72" applyNumberFormat="1" applyFont="1" applyBorder="1" applyAlignment="1">
      <alignment horizontal="right"/>
      <protection/>
    </xf>
    <xf numFmtId="3" fontId="15" fillId="0" borderId="49" xfId="72" applyNumberFormat="1" applyFont="1" applyBorder="1" applyAlignment="1">
      <alignment horizontal="right"/>
      <protection/>
    </xf>
    <xf numFmtId="3" fontId="15" fillId="0" borderId="29" xfId="72" applyNumberFormat="1" applyFont="1" applyBorder="1" applyAlignment="1">
      <alignment horizontal="right"/>
      <protection/>
    </xf>
    <xf numFmtId="3" fontId="15" fillId="0" borderId="68" xfId="72" applyNumberFormat="1" applyFont="1" applyBorder="1" applyAlignment="1">
      <alignment horizontal="right"/>
      <protection/>
    </xf>
    <xf numFmtId="166" fontId="4" fillId="0" borderId="49" xfId="46" applyNumberFormat="1" applyFont="1" applyBorder="1" applyAlignment="1">
      <alignment horizontal="center"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7" xfId="66" applyNumberFormat="1" applyFont="1" applyBorder="1">
      <alignment/>
      <protection/>
    </xf>
    <xf numFmtId="164" fontId="4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49" xfId="46" applyNumberFormat="1" applyFont="1" applyBorder="1" applyAlignment="1">
      <alignment horizontal="center"/>
    </xf>
    <xf numFmtId="0" fontId="0" fillId="0" borderId="17" xfId="66" applyFont="1" applyBorder="1">
      <alignment/>
      <protection/>
    </xf>
    <xf numFmtId="166" fontId="17" fillId="0" borderId="38" xfId="46" applyNumberFormat="1" applyFont="1" applyFill="1" applyBorder="1" applyAlignment="1" applyProtection="1">
      <alignment/>
      <protection locked="0"/>
    </xf>
    <xf numFmtId="164" fontId="17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44" fillId="0" borderId="59" xfId="46" applyNumberFormat="1" applyFont="1" applyFill="1" applyBorder="1" applyAlignment="1" applyProtection="1">
      <alignment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67" fillId="0" borderId="48" xfId="46" applyNumberFormat="1" applyFont="1" applyBorder="1" applyAlignment="1">
      <alignment horizontal="center"/>
    </xf>
    <xf numFmtId="3" fontId="41" fillId="0" borderId="17" xfId="66" applyNumberFormat="1" applyFont="1" applyFill="1" applyBorder="1">
      <alignment/>
      <protection/>
    </xf>
    <xf numFmtId="3" fontId="41" fillId="0" borderId="17" xfId="66" applyNumberFormat="1" applyFont="1" applyBorder="1">
      <alignment/>
      <protection/>
    </xf>
    <xf numFmtId="3" fontId="41" fillId="0" borderId="19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164" fontId="16" fillId="0" borderId="31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164" fontId="16" fillId="0" borderId="31" xfId="68" applyNumberFormat="1" applyFont="1" applyFill="1" applyBorder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164" fontId="7" fillId="0" borderId="31" xfId="68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5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56" xfId="68" applyFont="1" applyFill="1" applyBorder="1" applyAlignment="1">
      <alignment horizontal="justify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left" vertical="center" wrapText="1"/>
      <protection/>
    </xf>
    <xf numFmtId="0" fontId="15" fillId="0" borderId="40" xfId="72" applyFont="1" applyBorder="1" applyAlignment="1">
      <alignment horizontal="left"/>
      <protection/>
    </xf>
    <xf numFmtId="0" fontId="32" fillId="0" borderId="41" xfId="72" applyBorder="1" applyAlignment="1">
      <alignment horizontal="left"/>
      <protection/>
    </xf>
    <xf numFmtId="0" fontId="32" fillId="0" borderId="52" xfId="72" applyBorder="1" applyAlignment="1">
      <alignment horizontal="left"/>
      <protection/>
    </xf>
    <xf numFmtId="0" fontId="0" fillId="0" borderId="60" xfId="67" applyFont="1" applyBorder="1" applyAlignment="1">
      <alignment horizontal="left"/>
      <protection/>
    </xf>
    <xf numFmtId="0" fontId="0" fillId="0" borderId="61" xfId="67" applyFont="1" applyBorder="1" applyAlignment="1" quotePrefix="1">
      <alignment horizontal="left"/>
      <protection/>
    </xf>
    <xf numFmtId="0" fontId="0" fillId="0" borderId="61" xfId="67" applyFont="1" applyBorder="1" applyAlignment="1">
      <alignment horizontal="left"/>
      <protection/>
    </xf>
    <xf numFmtId="0" fontId="0" fillId="0" borderId="42" xfId="67" applyFont="1" applyBorder="1" applyAlignment="1">
      <alignment horizontal="left"/>
      <protection/>
    </xf>
    <xf numFmtId="0" fontId="0" fillId="0" borderId="60" xfId="67" applyFont="1" applyBorder="1" applyAlignment="1">
      <alignment horizontal="left"/>
      <protection/>
    </xf>
    <xf numFmtId="0" fontId="0" fillId="0" borderId="61" xfId="67" applyFont="1" applyBorder="1" applyAlignment="1">
      <alignment horizontal="left"/>
      <protection/>
    </xf>
    <xf numFmtId="0" fontId="0" fillId="0" borderId="42" xfId="67" applyFont="1" applyBorder="1" applyAlignment="1">
      <alignment horizontal="left"/>
      <protection/>
    </xf>
    <xf numFmtId="0" fontId="16" fillId="0" borderId="80" xfId="70" applyFont="1" applyFill="1" applyBorder="1" applyAlignment="1" applyProtection="1">
      <alignment horizontal="left" vertical="center" indent="1"/>
      <protection/>
    </xf>
    <xf numFmtId="0" fontId="16" fillId="0" borderId="41" xfId="70" applyFont="1" applyFill="1" applyBorder="1" applyAlignment="1" applyProtection="1">
      <alignment horizontal="left" vertical="center" indent="1"/>
      <protection/>
    </xf>
    <xf numFmtId="0" fontId="16" fillId="0" borderId="52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7" xfId="65" applyFont="1" applyBorder="1" applyAlignment="1">
      <alignment horizontal="center" vertical="center" wrapText="1"/>
      <protection/>
    </xf>
    <xf numFmtId="0" fontId="3" fillId="0" borderId="51" xfId="65" applyFont="1" applyBorder="1" applyAlignment="1">
      <alignment horizontal="center" vertical="center" wrapText="1"/>
      <protection/>
    </xf>
    <xf numFmtId="0" fontId="3" fillId="0" borderId="77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34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2">
    <tabColor rgb="FF92D050"/>
  </sheetPr>
  <dimension ref="A1:I159"/>
  <sheetViews>
    <sheetView zoomScaleSheetLayoutView="100" workbookViewId="0" topLeftCell="A1">
      <selection activeCell="B23" sqref="B23"/>
    </sheetView>
  </sheetViews>
  <sheetFormatPr defaultColWidth="9.00390625" defaultRowHeight="12.75"/>
  <cols>
    <col min="1" max="1" width="9.50390625" style="201" customWidth="1"/>
    <col min="2" max="2" width="91.625" style="201" customWidth="1"/>
    <col min="3" max="3" width="21.625" style="202" customWidth="1"/>
    <col min="4" max="4" width="9.00390625" style="215" customWidth="1"/>
    <col min="5" max="16384" width="9.375" style="215" customWidth="1"/>
  </cols>
  <sheetData>
    <row r="1" spans="1:3" ht="15.75" customHeight="1">
      <c r="A1" s="558" t="s">
        <v>80</v>
      </c>
      <c r="B1" s="558"/>
      <c r="C1" s="558"/>
    </row>
    <row r="2" spans="1:3" ht="15.75" customHeight="1" thickBot="1">
      <c r="A2" s="557" t="s">
        <v>181</v>
      </c>
      <c r="B2" s="557"/>
      <c r="C2" s="143" t="s">
        <v>222</v>
      </c>
    </row>
    <row r="3" spans="1:3" ht="37.5" customHeight="1" thickBot="1">
      <c r="A3" s="22" t="s">
        <v>130</v>
      </c>
      <c r="B3" s="23" t="s">
        <v>82</v>
      </c>
      <c r="C3" s="30" t="s">
        <v>38</v>
      </c>
    </row>
    <row r="4" spans="1:3" s="216" customFormat="1" ht="12" customHeight="1" thickBot="1">
      <c r="A4" s="210" t="s">
        <v>504</v>
      </c>
      <c r="B4" s="211" t="s">
        <v>505</v>
      </c>
      <c r="C4" s="212" t="s">
        <v>506</v>
      </c>
    </row>
    <row r="5" spans="1:3" s="217" customFormat="1" ht="12" customHeight="1" thickBot="1">
      <c r="A5" s="19" t="s">
        <v>83</v>
      </c>
      <c r="B5" s="20" t="s">
        <v>235</v>
      </c>
      <c r="C5" s="134">
        <f>+C6+C7+C8+C9+C10+C11</f>
        <v>1047258</v>
      </c>
    </row>
    <row r="6" spans="1:3" s="217" customFormat="1" ht="12" customHeight="1">
      <c r="A6" s="14" t="s">
        <v>154</v>
      </c>
      <c r="B6" s="218" t="s">
        <v>236</v>
      </c>
      <c r="C6" s="258">
        <v>231988</v>
      </c>
    </row>
    <row r="7" spans="1:3" s="217" customFormat="1" ht="12" customHeight="1">
      <c r="A7" s="13" t="s">
        <v>155</v>
      </c>
      <c r="B7" s="219" t="s">
        <v>237</v>
      </c>
      <c r="C7" s="510">
        <f>217051+1171</f>
        <v>218222</v>
      </c>
    </row>
    <row r="8" spans="1:3" s="217" customFormat="1" ht="12" customHeight="1">
      <c r="A8" s="13" t="s">
        <v>156</v>
      </c>
      <c r="B8" s="219" t="s">
        <v>47</v>
      </c>
      <c r="C8" s="510">
        <f>567601-9579</f>
        <v>558022</v>
      </c>
    </row>
    <row r="9" spans="1:3" s="217" customFormat="1" ht="12" customHeight="1">
      <c r="A9" s="13" t="s">
        <v>157</v>
      </c>
      <c r="B9" s="219" t="s">
        <v>239</v>
      </c>
      <c r="C9" s="138">
        <v>26943</v>
      </c>
    </row>
    <row r="10" spans="1:3" s="217" customFormat="1" ht="12" customHeight="1">
      <c r="A10" s="13" t="s">
        <v>178</v>
      </c>
      <c r="B10" s="130" t="s">
        <v>507</v>
      </c>
      <c r="C10" s="510">
        <f>10020+324</f>
        <v>10344</v>
      </c>
    </row>
    <row r="11" spans="1:3" s="217" customFormat="1" ht="12" customHeight="1" thickBot="1">
      <c r="A11" s="15" t="s">
        <v>158</v>
      </c>
      <c r="B11" s="131" t="s">
        <v>508</v>
      </c>
      <c r="C11" s="138">
        <v>1739</v>
      </c>
    </row>
    <row r="12" spans="1:3" s="217" customFormat="1" ht="12" customHeight="1" thickBot="1">
      <c r="A12" s="19" t="s">
        <v>84</v>
      </c>
      <c r="B12" s="129" t="s">
        <v>240</v>
      </c>
      <c r="C12" s="134">
        <f>+C13+C14+C15+C16+C17</f>
        <v>781978</v>
      </c>
    </row>
    <row r="13" spans="1:3" s="217" customFormat="1" ht="12" customHeight="1">
      <c r="A13" s="14" t="s">
        <v>160</v>
      </c>
      <c r="B13" s="218" t="s">
        <v>241</v>
      </c>
      <c r="C13" s="136"/>
    </row>
    <row r="14" spans="1:3" s="217" customFormat="1" ht="12" customHeight="1">
      <c r="A14" s="13" t="s">
        <v>161</v>
      </c>
      <c r="B14" s="219" t="s">
        <v>242</v>
      </c>
      <c r="C14" s="135"/>
    </row>
    <row r="15" spans="1:3" s="217" customFormat="1" ht="12" customHeight="1">
      <c r="A15" s="13" t="s">
        <v>162</v>
      </c>
      <c r="B15" s="219" t="s">
        <v>398</v>
      </c>
      <c r="C15" s="135"/>
    </row>
    <row r="16" spans="1:3" s="217" customFormat="1" ht="12" customHeight="1">
      <c r="A16" s="13" t="s">
        <v>163</v>
      </c>
      <c r="B16" s="219" t="s">
        <v>399</v>
      </c>
      <c r="C16" s="135"/>
    </row>
    <row r="17" spans="1:3" s="217" customFormat="1" ht="12" customHeight="1">
      <c r="A17" s="13" t="s">
        <v>164</v>
      </c>
      <c r="B17" s="219" t="s">
        <v>243</v>
      </c>
      <c r="C17" s="138">
        <v>781978</v>
      </c>
    </row>
    <row r="18" spans="1:3" s="217" customFormat="1" ht="12" customHeight="1" thickBot="1">
      <c r="A18" s="15" t="s">
        <v>173</v>
      </c>
      <c r="B18" s="131" t="s">
        <v>244</v>
      </c>
      <c r="C18" s="207"/>
    </row>
    <row r="19" spans="1:3" s="217" customFormat="1" ht="12" customHeight="1" thickBot="1">
      <c r="A19" s="19" t="s">
        <v>85</v>
      </c>
      <c r="B19" s="20" t="s">
        <v>245</v>
      </c>
      <c r="C19" s="134">
        <f>+C20+C21+C22+C23+C24</f>
        <v>37234</v>
      </c>
    </row>
    <row r="20" spans="1:3" s="217" customFormat="1" ht="12" customHeight="1">
      <c r="A20" s="14" t="s">
        <v>143</v>
      </c>
      <c r="B20" s="218" t="s">
        <v>246</v>
      </c>
      <c r="C20" s="258">
        <v>20895</v>
      </c>
    </row>
    <row r="21" spans="1:3" s="217" customFormat="1" ht="12" customHeight="1">
      <c r="A21" s="13" t="s">
        <v>144</v>
      </c>
      <c r="B21" s="219" t="s">
        <v>247</v>
      </c>
      <c r="C21" s="138"/>
    </row>
    <row r="22" spans="1:3" s="217" customFormat="1" ht="12" customHeight="1">
      <c r="A22" s="13" t="s">
        <v>145</v>
      </c>
      <c r="B22" s="219" t="s">
        <v>400</v>
      </c>
      <c r="C22" s="138"/>
    </row>
    <row r="23" spans="1:3" s="217" customFormat="1" ht="12" customHeight="1">
      <c r="A23" s="13" t="s">
        <v>146</v>
      </c>
      <c r="B23" s="219" t="s">
        <v>401</v>
      </c>
      <c r="C23" s="138"/>
    </row>
    <row r="24" spans="1:3" s="217" customFormat="1" ht="12" customHeight="1">
      <c r="A24" s="13" t="s">
        <v>189</v>
      </c>
      <c r="B24" s="219" t="s">
        <v>248</v>
      </c>
      <c r="C24" s="138">
        <v>16339</v>
      </c>
    </row>
    <row r="25" spans="1:3" s="217" customFormat="1" ht="12" customHeight="1" thickBot="1">
      <c r="A25" s="15" t="s">
        <v>190</v>
      </c>
      <c r="B25" s="220" t="s">
        <v>249</v>
      </c>
      <c r="C25" s="207"/>
    </row>
    <row r="26" spans="1:3" s="217" customFormat="1" ht="12" customHeight="1" thickBot="1">
      <c r="A26" s="19" t="s">
        <v>191</v>
      </c>
      <c r="B26" s="20" t="s">
        <v>250</v>
      </c>
      <c r="C26" s="139">
        <f>+C27+C31+C32+C33</f>
        <v>366438</v>
      </c>
    </row>
    <row r="27" spans="1:3" s="217" customFormat="1" ht="12" customHeight="1">
      <c r="A27" s="14" t="s">
        <v>251</v>
      </c>
      <c r="B27" s="218" t="s">
        <v>509</v>
      </c>
      <c r="C27" s="213">
        <f>SUM(C28:C30)</f>
        <v>323618</v>
      </c>
    </row>
    <row r="28" spans="1:3" s="217" customFormat="1" ht="12" customHeight="1">
      <c r="A28" s="13" t="s">
        <v>252</v>
      </c>
      <c r="B28" s="219" t="s">
        <v>257</v>
      </c>
      <c r="C28" s="138">
        <v>83000</v>
      </c>
    </row>
    <row r="29" spans="1:3" s="217" customFormat="1" ht="12" customHeight="1">
      <c r="A29" s="13" t="s">
        <v>253</v>
      </c>
      <c r="B29" s="219" t="s">
        <v>16</v>
      </c>
      <c r="C29" s="510">
        <f>237500+2978</f>
        <v>240478</v>
      </c>
    </row>
    <row r="30" spans="1:3" s="217" customFormat="1" ht="12" customHeight="1">
      <c r="A30" s="13" t="s">
        <v>254</v>
      </c>
      <c r="B30" s="219" t="s">
        <v>17</v>
      </c>
      <c r="C30" s="138">
        <v>140</v>
      </c>
    </row>
    <row r="31" spans="1:3" s="217" customFormat="1" ht="12" customHeight="1">
      <c r="A31" s="13" t="s">
        <v>18</v>
      </c>
      <c r="B31" s="219" t="s">
        <v>259</v>
      </c>
      <c r="C31" s="138">
        <v>28200</v>
      </c>
    </row>
    <row r="32" spans="1:3" s="217" customFormat="1" ht="12" customHeight="1">
      <c r="A32" s="13" t="s">
        <v>256</v>
      </c>
      <c r="B32" s="219" t="s">
        <v>260</v>
      </c>
      <c r="C32" s="138">
        <v>5620</v>
      </c>
    </row>
    <row r="33" spans="1:3" s="217" customFormat="1" ht="12" customHeight="1" thickBot="1">
      <c r="A33" s="15" t="s">
        <v>19</v>
      </c>
      <c r="B33" s="220" t="s">
        <v>261</v>
      </c>
      <c r="C33" s="207">
        <v>9000</v>
      </c>
    </row>
    <row r="34" spans="1:3" s="217" customFormat="1" ht="12" customHeight="1" thickBot="1">
      <c r="A34" s="19" t="s">
        <v>87</v>
      </c>
      <c r="B34" s="20" t="s">
        <v>512</v>
      </c>
      <c r="C34" s="134">
        <f>SUM(C35:C45)</f>
        <v>463189</v>
      </c>
    </row>
    <row r="35" spans="1:3" s="217" customFormat="1" ht="12" customHeight="1">
      <c r="A35" s="14" t="s">
        <v>147</v>
      </c>
      <c r="B35" s="218" t="s">
        <v>264</v>
      </c>
      <c r="C35" s="258">
        <v>13400</v>
      </c>
    </row>
    <row r="36" spans="1:3" s="217" customFormat="1" ht="12" customHeight="1">
      <c r="A36" s="13" t="s">
        <v>148</v>
      </c>
      <c r="B36" s="219" t="s">
        <v>265</v>
      </c>
      <c r="C36" s="138">
        <v>98371</v>
      </c>
    </row>
    <row r="37" spans="1:3" s="217" customFormat="1" ht="12" customHeight="1">
      <c r="A37" s="13" t="s">
        <v>149</v>
      </c>
      <c r="B37" s="219" t="s">
        <v>266</v>
      </c>
      <c r="C37" s="510">
        <f>95710+4354</f>
        <v>100064</v>
      </c>
    </row>
    <row r="38" spans="1:3" s="217" customFormat="1" ht="12" customHeight="1">
      <c r="A38" s="13" t="s">
        <v>193</v>
      </c>
      <c r="B38" s="219" t="s">
        <v>267</v>
      </c>
      <c r="C38" s="138">
        <v>376</v>
      </c>
    </row>
    <row r="39" spans="1:3" s="217" customFormat="1" ht="12" customHeight="1">
      <c r="A39" s="13" t="s">
        <v>194</v>
      </c>
      <c r="B39" s="219" t="s">
        <v>268</v>
      </c>
      <c r="C39" s="138">
        <v>182275</v>
      </c>
    </row>
    <row r="40" spans="1:3" s="217" customFormat="1" ht="12" customHeight="1">
      <c r="A40" s="13" t="s">
        <v>195</v>
      </c>
      <c r="B40" s="219" t="s">
        <v>269</v>
      </c>
      <c r="C40" s="510">
        <f>43482+1176</f>
        <v>44658</v>
      </c>
    </row>
    <row r="41" spans="1:3" s="217" customFormat="1" ht="12" customHeight="1">
      <c r="A41" s="13" t="s">
        <v>196</v>
      </c>
      <c r="B41" s="219" t="s">
        <v>270</v>
      </c>
      <c r="C41" s="138">
        <v>22424</v>
      </c>
    </row>
    <row r="42" spans="1:3" s="217" customFormat="1" ht="12" customHeight="1">
      <c r="A42" s="13" t="s">
        <v>197</v>
      </c>
      <c r="B42" s="219" t="s">
        <v>44</v>
      </c>
      <c r="C42" s="138">
        <v>21</v>
      </c>
    </row>
    <row r="43" spans="1:3" s="217" customFormat="1" ht="12" customHeight="1">
      <c r="A43" s="13" t="s">
        <v>262</v>
      </c>
      <c r="B43" s="219" t="s">
        <v>272</v>
      </c>
      <c r="C43" s="138"/>
    </row>
    <row r="44" spans="1:3" s="217" customFormat="1" ht="12" customHeight="1">
      <c r="A44" s="15" t="s">
        <v>263</v>
      </c>
      <c r="B44" s="220" t="s">
        <v>513</v>
      </c>
      <c r="C44" s="207">
        <v>500</v>
      </c>
    </row>
    <row r="45" spans="1:3" s="217" customFormat="1" ht="12" customHeight="1" thickBot="1">
      <c r="A45" s="15" t="s">
        <v>514</v>
      </c>
      <c r="B45" s="131" t="s">
        <v>273</v>
      </c>
      <c r="C45" s="207">
        <v>1100</v>
      </c>
    </row>
    <row r="46" spans="1:3" s="217" customFormat="1" ht="12" customHeight="1" thickBot="1">
      <c r="A46" s="19" t="s">
        <v>88</v>
      </c>
      <c r="B46" s="20" t="s">
        <v>274</v>
      </c>
      <c r="C46" s="134">
        <f>SUM(C47:C51)</f>
        <v>36253</v>
      </c>
    </row>
    <row r="47" spans="1:3" s="217" customFormat="1" ht="12" customHeight="1">
      <c r="A47" s="14" t="s">
        <v>150</v>
      </c>
      <c r="B47" s="218" t="s">
        <v>278</v>
      </c>
      <c r="C47" s="258"/>
    </row>
    <row r="48" spans="1:3" s="217" customFormat="1" ht="12" customHeight="1">
      <c r="A48" s="13" t="s">
        <v>151</v>
      </c>
      <c r="B48" s="219" t="s">
        <v>279</v>
      </c>
      <c r="C48" s="138">
        <v>36043</v>
      </c>
    </row>
    <row r="49" spans="1:3" s="217" customFormat="1" ht="12" customHeight="1">
      <c r="A49" s="13" t="s">
        <v>275</v>
      </c>
      <c r="B49" s="219" t="s">
        <v>280</v>
      </c>
      <c r="C49" s="138">
        <v>210</v>
      </c>
    </row>
    <row r="50" spans="1:3" s="217" customFormat="1" ht="12" customHeight="1">
      <c r="A50" s="13" t="s">
        <v>276</v>
      </c>
      <c r="B50" s="219" t="s">
        <v>281</v>
      </c>
      <c r="C50" s="138"/>
    </row>
    <row r="51" spans="1:3" s="217" customFormat="1" ht="12" customHeight="1" thickBot="1">
      <c r="A51" s="15" t="s">
        <v>277</v>
      </c>
      <c r="B51" s="131" t="s">
        <v>282</v>
      </c>
      <c r="C51" s="207"/>
    </row>
    <row r="52" spans="1:3" s="217" customFormat="1" ht="12" customHeight="1" thickBot="1">
      <c r="A52" s="19" t="s">
        <v>198</v>
      </c>
      <c r="B52" s="20" t="s">
        <v>283</v>
      </c>
      <c r="C52" s="134">
        <f>SUM(C53:C55)</f>
        <v>17053</v>
      </c>
    </row>
    <row r="53" spans="1:3" s="217" customFormat="1" ht="12" customHeight="1">
      <c r="A53" s="14" t="s">
        <v>152</v>
      </c>
      <c r="B53" s="218" t="s">
        <v>284</v>
      </c>
      <c r="C53" s="136"/>
    </row>
    <row r="54" spans="1:3" s="217" customFormat="1" ht="12" customHeight="1">
      <c r="A54" s="13" t="s">
        <v>153</v>
      </c>
      <c r="B54" s="219" t="s">
        <v>402</v>
      </c>
      <c r="C54" s="138">
        <v>3366</v>
      </c>
    </row>
    <row r="55" spans="1:3" s="217" customFormat="1" ht="12" customHeight="1">
      <c r="A55" s="13" t="s">
        <v>287</v>
      </c>
      <c r="B55" s="219" t="s">
        <v>285</v>
      </c>
      <c r="C55" s="138">
        <v>13687</v>
      </c>
    </row>
    <row r="56" spans="1:3" s="217" customFormat="1" ht="12" customHeight="1" thickBot="1">
      <c r="A56" s="15" t="s">
        <v>288</v>
      </c>
      <c r="B56" s="131" t="s">
        <v>286</v>
      </c>
      <c r="C56" s="137"/>
    </row>
    <row r="57" spans="1:3" s="217" customFormat="1" ht="12" customHeight="1" thickBot="1">
      <c r="A57" s="19" t="s">
        <v>90</v>
      </c>
      <c r="B57" s="129" t="s">
        <v>289</v>
      </c>
      <c r="C57" s="134">
        <f>SUM(C58:C60)</f>
        <v>4228</v>
      </c>
    </row>
    <row r="58" spans="1:3" s="217" customFormat="1" ht="12" customHeight="1">
      <c r="A58" s="14" t="s">
        <v>199</v>
      </c>
      <c r="B58" s="218" t="s">
        <v>291</v>
      </c>
      <c r="C58" s="138"/>
    </row>
    <row r="59" spans="1:3" s="217" customFormat="1" ht="12" customHeight="1">
      <c r="A59" s="13" t="s">
        <v>200</v>
      </c>
      <c r="B59" s="219" t="s">
        <v>403</v>
      </c>
      <c r="C59" s="138"/>
    </row>
    <row r="60" spans="1:3" s="217" customFormat="1" ht="12" customHeight="1">
      <c r="A60" s="13" t="s">
        <v>223</v>
      </c>
      <c r="B60" s="219" t="s">
        <v>292</v>
      </c>
      <c r="C60" s="138">
        <v>4228</v>
      </c>
    </row>
    <row r="61" spans="1:3" s="217" customFormat="1" ht="12" customHeight="1" thickBot="1">
      <c r="A61" s="15" t="s">
        <v>290</v>
      </c>
      <c r="B61" s="131" t="s">
        <v>293</v>
      </c>
      <c r="C61" s="138"/>
    </row>
    <row r="62" spans="1:3" s="217" customFormat="1" ht="12" customHeight="1" thickBot="1">
      <c r="A62" s="438" t="s">
        <v>515</v>
      </c>
      <c r="B62" s="20" t="s">
        <v>294</v>
      </c>
      <c r="C62" s="139">
        <f>+C5+C12+C19+C26+C34+C46+C52+C57</f>
        <v>2753631</v>
      </c>
    </row>
    <row r="63" spans="1:3" s="217" customFormat="1" ht="12" customHeight="1" thickBot="1">
      <c r="A63" s="439" t="s">
        <v>295</v>
      </c>
      <c r="B63" s="129" t="s">
        <v>296</v>
      </c>
      <c r="C63" s="134">
        <f>SUM(C64:C66)</f>
        <v>160303</v>
      </c>
    </row>
    <row r="64" spans="1:3" s="217" customFormat="1" ht="12" customHeight="1">
      <c r="A64" s="14" t="s">
        <v>327</v>
      </c>
      <c r="B64" s="218" t="s">
        <v>297</v>
      </c>
      <c r="C64" s="138">
        <v>60303</v>
      </c>
    </row>
    <row r="65" spans="1:3" s="217" customFormat="1" ht="12" customHeight="1">
      <c r="A65" s="13" t="s">
        <v>336</v>
      </c>
      <c r="B65" s="219" t="s">
        <v>298</v>
      </c>
      <c r="C65" s="138">
        <v>100000</v>
      </c>
    </row>
    <row r="66" spans="1:3" s="217" customFormat="1" ht="12" customHeight="1" thickBot="1">
      <c r="A66" s="15" t="s">
        <v>337</v>
      </c>
      <c r="B66" s="440" t="s">
        <v>516</v>
      </c>
      <c r="C66" s="138"/>
    </row>
    <row r="67" spans="1:3" s="217" customFormat="1" ht="12" customHeight="1" thickBot="1">
      <c r="A67" s="439" t="s">
        <v>300</v>
      </c>
      <c r="B67" s="129" t="s">
        <v>301</v>
      </c>
      <c r="C67" s="134">
        <f>SUM(C68:C71)</f>
        <v>0</v>
      </c>
    </row>
    <row r="68" spans="1:3" s="217" customFormat="1" ht="12" customHeight="1">
      <c r="A68" s="14" t="s">
        <v>179</v>
      </c>
      <c r="B68" s="218" t="s">
        <v>302</v>
      </c>
      <c r="C68" s="138"/>
    </row>
    <row r="69" spans="1:3" s="217" customFormat="1" ht="12" customHeight="1">
      <c r="A69" s="13" t="s">
        <v>180</v>
      </c>
      <c r="B69" s="219" t="s">
        <v>303</v>
      </c>
      <c r="C69" s="138"/>
    </row>
    <row r="70" spans="1:3" s="217" customFormat="1" ht="12" customHeight="1">
      <c r="A70" s="13" t="s">
        <v>328</v>
      </c>
      <c r="B70" s="219" t="s">
        <v>304</v>
      </c>
      <c r="C70" s="138"/>
    </row>
    <row r="71" spans="1:3" s="217" customFormat="1" ht="12" customHeight="1" thickBot="1">
      <c r="A71" s="15" t="s">
        <v>329</v>
      </c>
      <c r="B71" s="131" t="s">
        <v>305</v>
      </c>
      <c r="C71" s="138"/>
    </row>
    <row r="72" spans="1:3" s="217" customFormat="1" ht="12" customHeight="1" thickBot="1">
      <c r="A72" s="439" t="s">
        <v>306</v>
      </c>
      <c r="B72" s="129" t="s">
        <v>307</v>
      </c>
      <c r="C72" s="134">
        <f>SUM(C73:C74)</f>
        <v>264950</v>
      </c>
    </row>
    <row r="73" spans="1:3" s="217" customFormat="1" ht="12" customHeight="1">
      <c r="A73" s="14" t="s">
        <v>330</v>
      </c>
      <c r="B73" s="218" t="s">
        <v>308</v>
      </c>
      <c r="C73" s="510">
        <f>264948+2</f>
        <v>264950</v>
      </c>
    </row>
    <row r="74" spans="1:3" s="217" customFormat="1" ht="12" customHeight="1" thickBot="1">
      <c r="A74" s="15" t="s">
        <v>331</v>
      </c>
      <c r="B74" s="131" t="s">
        <v>309</v>
      </c>
      <c r="C74" s="138"/>
    </row>
    <row r="75" spans="1:3" s="217" customFormat="1" ht="12" customHeight="1" thickBot="1">
      <c r="A75" s="439" t="s">
        <v>310</v>
      </c>
      <c r="B75" s="129" t="s">
        <v>311</v>
      </c>
      <c r="C75" s="134">
        <f>SUM(C76:C78)</f>
        <v>35165</v>
      </c>
    </row>
    <row r="76" spans="1:3" s="217" customFormat="1" ht="12" customHeight="1">
      <c r="A76" s="14" t="s">
        <v>332</v>
      </c>
      <c r="B76" s="218" t="s">
        <v>312</v>
      </c>
      <c r="C76" s="510">
        <v>35165</v>
      </c>
    </row>
    <row r="77" spans="1:3" s="217" customFormat="1" ht="12" customHeight="1">
      <c r="A77" s="13" t="s">
        <v>333</v>
      </c>
      <c r="B77" s="219" t="s">
        <v>313</v>
      </c>
      <c r="C77" s="138"/>
    </row>
    <row r="78" spans="1:3" s="217" customFormat="1" ht="12" customHeight="1" thickBot="1">
      <c r="A78" s="15" t="s">
        <v>334</v>
      </c>
      <c r="B78" s="131" t="s">
        <v>314</v>
      </c>
      <c r="C78" s="138"/>
    </row>
    <row r="79" spans="1:3" s="217" customFormat="1" ht="12" customHeight="1" thickBot="1">
      <c r="A79" s="439" t="s">
        <v>315</v>
      </c>
      <c r="B79" s="129" t="s">
        <v>335</v>
      </c>
      <c r="C79" s="134">
        <f>SUM(C80:C83)</f>
        <v>0</v>
      </c>
    </row>
    <row r="80" spans="1:3" s="217" customFormat="1" ht="12" customHeight="1">
      <c r="A80" s="222" t="s">
        <v>316</v>
      </c>
      <c r="B80" s="218" t="s">
        <v>317</v>
      </c>
      <c r="C80" s="138"/>
    </row>
    <row r="81" spans="1:3" s="217" customFormat="1" ht="12" customHeight="1">
      <c r="A81" s="223" t="s">
        <v>318</v>
      </c>
      <c r="B81" s="219" t="s">
        <v>319</v>
      </c>
      <c r="C81" s="138"/>
    </row>
    <row r="82" spans="1:3" s="217" customFormat="1" ht="12" customHeight="1">
      <c r="A82" s="223" t="s">
        <v>320</v>
      </c>
      <c r="B82" s="219" t="s">
        <v>321</v>
      </c>
      <c r="C82" s="138"/>
    </row>
    <row r="83" spans="1:3" s="217" customFormat="1" ht="12" customHeight="1" thickBot="1">
      <c r="A83" s="224" t="s">
        <v>322</v>
      </c>
      <c r="B83" s="131" t="s">
        <v>323</v>
      </c>
      <c r="C83" s="138"/>
    </row>
    <row r="84" spans="1:3" s="217" customFormat="1" ht="12" customHeight="1" thickBot="1">
      <c r="A84" s="439" t="s">
        <v>324</v>
      </c>
      <c r="B84" s="129" t="s">
        <v>517</v>
      </c>
      <c r="C84" s="259"/>
    </row>
    <row r="85" spans="1:3" s="217" customFormat="1" ht="13.5" customHeight="1" thickBot="1">
      <c r="A85" s="439" t="s">
        <v>326</v>
      </c>
      <c r="B85" s="129" t="s">
        <v>325</v>
      </c>
      <c r="C85" s="259"/>
    </row>
    <row r="86" spans="1:3" s="217" customFormat="1" ht="15.75" customHeight="1" thickBot="1">
      <c r="A86" s="439" t="s">
        <v>338</v>
      </c>
      <c r="B86" s="225" t="s">
        <v>518</v>
      </c>
      <c r="C86" s="139">
        <f>+C63+C67+C72+C75+C79+C85+C84</f>
        <v>460418</v>
      </c>
    </row>
    <row r="87" spans="1:3" s="217" customFormat="1" ht="16.5" customHeight="1" thickBot="1">
      <c r="A87" s="441" t="s">
        <v>519</v>
      </c>
      <c r="B87" s="226" t="s">
        <v>520</v>
      </c>
      <c r="C87" s="139">
        <f>+C62+C86</f>
        <v>3214049</v>
      </c>
    </row>
    <row r="88" spans="1:3" s="217" customFormat="1" ht="83.25" customHeight="1">
      <c r="A88" s="4"/>
      <c r="B88" s="5"/>
      <c r="C88" s="140"/>
    </row>
    <row r="89" spans="1:3" ht="16.5" customHeight="1">
      <c r="A89" s="558" t="s">
        <v>110</v>
      </c>
      <c r="B89" s="558"/>
      <c r="C89" s="558"/>
    </row>
    <row r="90" spans="1:3" s="227" customFormat="1" ht="16.5" customHeight="1" thickBot="1">
      <c r="A90" s="559" t="s">
        <v>182</v>
      </c>
      <c r="B90" s="559"/>
      <c r="C90" s="68" t="s">
        <v>222</v>
      </c>
    </row>
    <row r="91" spans="1:3" ht="37.5" customHeight="1" thickBot="1">
      <c r="A91" s="22" t="s">
        <v>130</v>
      </c>
      <c r="B91" s="23" t="s">
        <v>111</v>
      </c>
      <c r="C91" s="30" t="str">
        <f>+C3</f>
        <v>2016. évi előirányzat</v>
      </c>
    </row>
    <row r="92" spans="1:3" s="216" customFormat="1" ht="12" customHeight="1" thickBot="1">
      <c r="A92" s="26" t="s">
        <v>504</v>
      </c>
      <c r="B92" s="27" t="s">
        <v>505</v>
      </c>
      <c r="C92" s="28" t="s">
        <v>506</v>
      </c>
    </row>
    <row r="93" spans="1:3" ht="12" customHeight="1" thickBot="1">
      <c r="A93" s="21" t="s">
        <v>83</v>
      </c>
      <c r="B93" s="25" t="s">
        <v>558</v>
      </c>
      <c r="C93" s="133">
        <f>C94+C95+C96+C97+C98+C111</f>
        <v>2941734</v>
      </c>
    </row>
    <row r="94" spans="1:3" ht="12" customHeight="1">
      <c r="A94" s="16" t="s">
        <v>154</v>
      </c>
      <c r="B94" s="9" t="s">
        <v>112</v>
      </c>
      <c r="C94" s="511">
        <f>1371432-1136</f>
        <v>1370296</v>
      </c>
    </row>
    <row r="95" spans="1:3" ht="12" customHeight="1">
      <c r="A95" s="13" t="s">
        <v>155</v>
      </c>
      <c r="B95" s="7" t="s">
        <v>201</v>
      </c>
      <c r="C95" s="510">
        <f>295923-219</f>
        <v>295704</v>
      </c>
    </row>
    <row r="96" spans="1:3" ht="12" customHeight="1">
      <c r="A96" s="13" t="s">
        <v>156</v>
      </c>
      <c r="B96" s="7" t="s">
        <v>177</v>
      </c>
      <c r="C96" s="457">
        <f>893999+420</f>
        <v>894419</v>
      </c>
    </row>
    <row r="97" spans="1:3" ht="12" customHeight="1">
      <c r="A97" s="13" t="s">
        <v>157</v>
      </c>
      <c r="B97" s="10" t="s">
        <v>202</v>
      </c>
      <c r="C97" s="207">
        <v>76171</v>
      </c>
    </row>
    <row r="98" spans="1:3" ht="12" customHeight="1">
      <c r="A98" s="13" t="s">
        <v>168</v>
      </c>
      <c r="B98" s="18" t="s">
        <v>203</v>
      </c>
      <c r="C98" s="457">
        <f>183928+22</f>
        <v>183950</v>
      </c>
    </row>
    <row r="99" spans="1:3" ht="12" customHeight="1">
      <c r="A99" s="13" t="s">
        <v>158</v>
      </c>
      <c r="B99" s="7" t="s">
        <v>521</v>
      </c>
      <c r="C99" s="207">
        <v>6599</v>
      </c>
    </row>
    <row r="100" spans="1:3" ht="12" customHeight="1">
      <c r="A100" s="13" t="s">
        <v>159</v>
      </c>
      <c r="B100" s="72" t="s">
        <v>522</v>
      </c>
      <c r="C100" s="207"/>
    </row>
    <row r="101" spans="1:3" ht="12" customHeight="1">
      <c r="A101" s="13" t="s">
        <v>169</v>
      </c>
      <c r="B101" s="72" t="s">
        <v>523</v>
      </c>
      <c r="C101" s="207"/>
    </row>
    <row r="102" spans="1:3" ht="12" customHeight="1">
      <c r="A102" s="13" t="s">
        <v>170</v>
      </c>
      <c r="B102" s="70" t="s">
        <v>341</v>
      </c>
      <c r="C102" s="207"/>
    </row>
    <row r="103" spans="1:3" ht="12" customHeight="1">
      <c r="A103" s="13" t="s">
        <v>171</v>
      </c>
      <c r="B103" s="71" t="s">
        <v>342</v>
      </c>
      <c r="C103" s="207"/>
    </row>
    <row r="104" spans="1:3" ht="12" customHeight="1">
      <c r="A104" s="13" t="s">
        <v>172</v>
      </c>
      <c r="B104" s="71" t="s">
        <v>343</v>
      </c>
      <c r="C104" s="207"/>
    </row>
    <row r="105" spans="1:3" ht="12" customHeight="1">
      <c r="A105" s="13" t="s">
        <v>174</v>
      </c>
      <c r="B105" s="70" t="s">
        <v>344</v>
      </c>
      <c r="C105" s="457">
        <f>113427+22</f>
        <v>113449</v>
      </c>
    </row>
    <row r="106" spans="1:3" ht="12" customHeight="1">
      <c r="A106" s="13" t="s">
        <v>204</v>
      </c>
      <c r="B106" s="70" t="s">
        <v>345</v>
      </c>
      <c r="C106" s="207"/>
    </row>
    <row r="107" spans="1:3" ht="12" customHeight="1">
      <c r="A107" s="13" t="s">
        <v>339</v>
      </c>
      <c r="B107" s="71" t="s">
        <v>346</v>
      </c>
      <c r="C107" s="207"/>
    </row>
    <row r="108" spans="1:3" ht="12" customHeight="1">
      <c r="A108" s="12" t="s">
        <v>340</v>
      </c>
      <c r="B108" s="72" t="s">
        <v>347</v>
      </c>
      <c r="C108" s="207"/>
    </row>
    <row r="109" spans="1:3" ht="12" customHeight="1">
      <c r="A109" s="13" t="s">
        <v>524</v>
      </c>
      <c r="B109" s="72" t="s">
        <v>348</v>
      </c>
      <c r="C109" s="207"/>
    </row>
    <row r="110" spans="1:3" ht="12" customHeight="1">
      <c r="A110" s="15" t="s">
        <v>525</v>
      </c>
      <c r="B110" s="72" t="s">
        <v>349</v>
      </c>
      <c r="C110" s="207">
        <v>63902</v>
      </c>
    </row>
    <row r="111" spans="1:3" ht="12" customHeight="1">
      <c r="A111" s="13" t="s">
        <v>526</v>
      </c>
      <c r="B111" s="10" t="s">
        <v>113</v>
      </c>
      <c r="C111" s="510">
        <f>C112+C113</f>
        <v>121194</v>
      </c>
    </row>
    <row r="112" spans="1:3" ht="12" customHeight="1">
      <c r="A112" s="13" t="s">
        <v>527</v>
      </c>
      <c r="B112" s="7" t="s">
        <v>528</v>
      </c>
      <c r="C112" s="510">
        <f>908+36504</f>
        <v>37412</v>
      </c>
    </row>
    <row r="113" spans="1:3" ht="12" customHeight="1" thickBot="1">
      <c r="A113" s="17" t="s">
        <v>529</v>
      </c>
      <c r="B113" s="442" t="s">
        <v>530</v>
      </c>
      <c r="C113" s="540">
        <v>83782</v>
      </c>
    </row>
    <row r="114" spans="1:3" ht="12" customHeight="1" thickBot="1">
      <c r="A114" s="443" t="s">
        <v>84</v>
      </c>
      <c r="B114" s="444" t="s">
        <v>350</v>
      </c>
      <c r="C114" s="541">
        <f>+C115+C117+C119</f>
        <v>135468</v>
      </c>
    </row>
    <row r="115" spans="1:3" ht="12" customHeight="1">
      <c r="A115" s="14" t="s">
        <v>160</v>
      </c>
      <c r="B115" s="7" t="s">
        <v>221</v>
      </c>
      <c r="C115" s="258">
        <v>78647</v>
      </c>
    </row>
    <row r="116" spans="1:3" ht="12" customHeight="1">
      <c r="A116" s="14" t="s">
        <v>161</v>
      </c>
      <c r="B116" s="11" t="s">
        <v>354</v>
      </c>
      <c r="C116" s="258"/>
    </row>
    <row r="117" spans="1:3" ht="12" customHeight="1">
      <c r="A117" s="14" t="s">
        <v>162</v>
      </c>
      <c r="B117" s="11" t="s">
        <v>205</v>
      </c>
      <c r="C117" s="138">
        <v>46476</v>
      </c>
    </row>
    <row r="118" spans="1:3" ht="12" customHeight="1">
      <c r="A118" s="14" t="s">
        <v>163</v>
      </c>
      <c r="B118" s="11" t="s">
        <v>355</v>
      </c>
      <c r="C118" s="459"/>
    </row>
    <row r="119" spans="1:3" ht="12" customHeight="1">
      <c r="A119" s="14" t="s">
        <v>164</v>
      </c>
      <c r="B119" s="131" t="s">
        <v>224</v>
      </c>
      <c r="C119" s="459">
        <v>10345</v>
      </c>
    </row>
    <row r="120" spans="1:3" ht="12" customHeight="1">
      <c r="A120" s="14" t="s">
        <v>173</v>
      </c>
      <c r="B120" s="130" t="s">
        <v>404</v>
      </c>
      <c r="C120" s="459"/>
    </row>
    <row r="121" spans="1:3" ht="12" customHeight="1">
      <c r="A121" s="14" t="s">
        <v>175</v>
      </c>
      <c r="B121" s="214" t="s">
        <v>360</v>
      </c>
      <c r="C121" s="459"/>
    </row>
    <row r="122" spans="1:3" ht="15.75">
      <c r="A122" s="14" t="s">
        <v>206</v>
      </c>
      <c r="B122" s="71" t="s">
        <v>343</v>
      </c>
      <c r="C122" s="459"/>
    </row>
    <row r="123" spans="1:3" ht="12" customHeight="1">
      <c r="A123" s="14" t="s">
        <v>207</v>
      </c>
      <c r="B123" s="71" t="s">
        <v>359</v>
      </c>
      <c r="C123" s="459"/>
    </row>
    <row r="124" spans="1:3" ht="12" customHeight="1">
      <c r="A124" s="14" t="s">
        <v>208</v>
      </c>
      <c r="B124" s="71" t="s">
        <v>358</v>
      </c>
      <c r="C124" s="459"/>
    </row>
    <row r="125" spans="1:3" ht="12" customHeight="1">
      <c r="A125" s="14" t="s">
        <v>351</v>
      </c>
      <c r="B125" s="71" t="s">
        <v>346</v>
      </c>
      <c r="C125" s="459"/>
    </row>
    <row r="126" spans="1:3" ht="12" customHeight="1">
      <c r="A126" s="14" t="s">
        <v>352</v>
      </c>
      <c r="B126" s="71" t="s">
        <v>357</v>
      </c>
      <c r="C126" s="459"/>
    </row>
    <row r="127" spans="1:3" ht="16.5" thickBot="1">
      <c r="A127" s="12" t="s">
        <v>353</v>
      </c>
      <c r="B127" s="71" t="s">
        <v>356</v>
      </c>
      <c r="C127" s="487">
        <v>10345</v>
      </c>
    </row>
    <row r="128" spans="1:3" ht="12" customHeight="1" thickBot="1">
      <c r="A128" s="19" t="s">
        <v>85</v>
      </c>
      <c r="B128" s="66" t="s">
        <v>531</v>
      </c>
      <c r="C128" s="134">
        <f>+C93+C114</f>
        <v>3077202</v>
      </c>
    </row>
    <row r="129" spans="1:3" ht="12" customHeight="1" thickBot="1">
      <c r="A129" s="19" t="s">
        <v>86</v>
      </c>
      <c r="B129" s="66" t="s">
        <v>532</v>
      </c>
      <c r="C129" s="134">
        <f>+C130+C131+C132</f>
        <v>103545</v>
      </c>
    </row>
    <row r="130" spans="1:3" ht="12" customHeight="1">
      <c r="A130" s="14" t="s">
        <v>251</v>
      </c>
      <c r="B130" s="11" t="s">
        <v>533</v>
      </c>
      <c r="C130" s="459">
        <v>3545</v>
      </c>
    </row>
    <row r="131" spans="1:3" ht="12" customHeight="1">
      <c r="A131" s="14" t="s">
        <v>254</v>
      </c>
      <c r="B131" s="11" t="s">
        <v>534</v>
      </c>
      <c r="C131" s="121">
        <v>100000</v>
      </c>
    </row>
    <row r="132" spans="1:3" ht="12" customHeight="1" thickBot="1">
      <c r="A132" s="12" t="s">
        <v>255</v>
      </c>
      <c r="B132" s="11" t="s">
        <v>535</v>
      </c>
      <c r="C132" s="121"/>
    </row>
    <row r="133" spans="1:3" ht="12" customHeight="1" thickBot="1">
      <c r="A133" s="19" t="s">
        <v>87</v>
      </c>
      <c r="B133" s="66" t="s">
        <v>536</v>
      </c>
      <c r="C133" s="134">
        <f>SUM(C134:C139)</f>
        <v>0</v>
      </c>
    </row>
    <row r="134" spans="1:3" ht="12" customHeight="1">
      <c r="A134" s="14" t="s">
        <v>147</v>
      </c>
      <c r="B134" s="8" t="s">
        <v>537</v>
      </c>
      <c r="C134" s="121"/>
    </row>
    <row r="135" spans="1:3" ht="12" customHeight="1">
      <c r="A135" s="14" t="s">
        <v>148</v>
      </c>
      <c r="B135" s="8" t="s">
        <v>538</v>
      </c>
      <c r="C135" s="121"/>
    </row>
    <row r="136" spans="1:3" ht="12" customHeight="1">
      <c r="A136" s="14" t="s">
        <v>149</v>
      </c>
      <c r="B136" s="8" t="s">
        <v>539</v>
      </c>
      <c r="C136" s="121"/>
    </row>
    <row r="137" spans="1:3" ht="12" customHeight="1">
      <c r="A137" s="14" t="s">
        <v>193</v>
      </c>
      <c r="B137" s="8" t="s">
        <v>540</v>
      </c>
      <c r="C137" s="121"/>
    </row>
    <row r="138" spans="1:3" ht="12" customHeight="1">
      <c r="A138" s="14" t="s">
        <v>194</v>
      </c>
      <c r="B138" s="8" t="s">
        <v>541</v>
      </c>
      <c r="C138" s="121"/>
    </row>
    <row r="139" spans="1:3" ht="12" customHeight="1" thickBot="1">
      <c r="A139" s="12" t="s">
        <v>195</v>
      </c>
      <c r="B139" s="8" t="s">
        <v>542</v>
      </c>
      <c r="C139" s="121"/>
    </row>
    <row r="140" spans="1:3" ht="12" customHeight="1" thickBot="1">
      <c r="A140" s="19" t="s">
        <v>88</v>
      </c>
      <c r="B140" s="66" t="s">
        <v>543</v>
      </c>
      <c r="C140" s="139">
        <f>+C141+C142+C143+C144</f>
        <v>33302</v>
      </c>
    </row>
    <row r="141" spans="1:3" ht="12" customHeight="1">
      <c r="A141" s="14" t="s">
        <v>150</v>
      </c>
      <c r="B141" s="8" t="s">
        <v>361</v>
      </c>
      <c r="C141" s="121"/>
    </row>
    <row r="142" spans="1:3" ht="12" customHeight="1">
      <c r="A142" s="14" t="s">
        <v>151</v>
      </c>
      <c r="B142" s="8" t="s">
        <v>362</v>
      </c>
      <c r="C142" s="121">
        <v>33302</v>
      </c>
    </row>
    <row r="143" spans="1:3" ht="12" customHeight="1">
      <c r="A143" s="14" t="s">
        <v>275</v>
      </c>
      <c r="B143" s="8" t="s">
        <v>544</v>
      </c>
      <c r="C143" s="121"/>
    </row>
    <row r="144" spans="1:3" ht="12" customHeight="1" thickBot="1">
      <c r="A144" s="12" t="s">
        <v>276</v>
      </c>
      <c r="B144" s="6" t="s">
        <v>372</v>
      </c>
      <c r="C144" s="121"/>
    </row>
    <row r="145" spans="1:3" ht="12" customHeight="1" thickBot="1">
      <c r="A145" s="19" t="s">
        <v>89</v>
      </c>
      <c r="B145" s="66" t="s">
        <v>545</v>
      </c>
      <c r="C145" s="142">
        <f>SUM(C146:C150)</f>
        <v>0</v>
      </c>
    </row>
    <row r="146" spans="1:3" ht="12" customHeight="1">
      <c r="A146" s="14" t="s">
        <v>152</v>
      </c>
      <c r="B146" s="8" t="s">
        <v>546</v>
      </c>
      <c r="C146" s="121"/>
    </row>
    <row r="147" spans="1:3" ht="12" customHeight="1">
      <c r="A147" s="14" t="s">
        <v>153</v>
      </c>
      <c r="B147" s="8" t="s">
        <v>547</v>
      </c>
      <c r="C147" s="121"/>
    </row>
    <row r="148" spans="1:3" ht="12" customHeight="1">
      <c r="A148" s="14" t="s">
        <v>287</v>
      </c>
      <c r="B148" s="8" t="s">
        <v>548</v>
      </c>
      <c r="C148" s="121"/>
    </row>
    <row r="149" spans="1:3" ht="12" customHeight="1">
      <c r="A149" s="14" t="s">
        <v>288</v>
      </c>
      <c r="B149" s="8" t="s">
        <v>549</v>
      </c>
      <c r="C149" s="121"/>
    </row>
    <row r="150" spans="1:3" ht="12" customHeight="1" thickBot="1">
      <c r="A150" s="14" t="s">
        <v>550</v>
      </c>
      <c r="B150" s="8" t="s">
        <v>551</v>
      </c>
      <c r="C150" s="121"/>
    </row>
    <row r="151" spans="1:3" ht="12" customHeight="1" thickBot="1">
      <c r="A151" s="19" t="s">
        <v>90</v>
      </c>
      <c r="B151" s="66" t="s">
        <v>552</v>
      </c>
      <c r="C151" s="446"/>
    </row>
    <row r="152" spans="1:3" ht="12" customHeight="1" thickBot="1">
      <c r="A152" s="19" t="s">
        <v>91</v>
      </c>
      <c r="B152" s="66" t="s">
        <v>553</v>
      </c>
      <c r="C152" s="446"/>
    </row>
    <row r="153" spans="1:9" ht="15" customHeight="1" thickBot="1">
      <c r="A153" s="19" t="s">
        <v>92</v>
      </c>
      <c r="B153" s="66" t="s">
        <v>554</v>
      </c>
      <c r="C153" s="228">
        <f>+C129+C133+C140+C145+C151+C152</f>
        <v>136847</v>
      </c>
      <c r="F153" s="229"/>
      <c r="G153" s="230"/>
      <c r="H153" s="230"/>
      <c r="I153" s="230"/>
    </row>
    <row r="154" spans="1:3" s="217" customFormat="1" ht="12.75" customHeight="1" thickBot="1">
      <c r="A154" s="132" t="s">
        <v>93</v>
      </c>
      <c r="B154" s="200" t="s">
        <v>555</v>
      </c>
      <c r="C154" s="228">
        <f>+C128+C153</f>
        <v>3214049</v>
      </c>
    </row>
    <row r="155" ht="7.5" customHeight="1"/>
    <row r="156" spans="1:3" ht="15.75">
      <c r="A156" s="560" t="s">
        <v>363</v>
      </c>
      <c r="B156" s="560"/>
      <c r="C156" s="560"/>
    </row>
    <row r="157" spans="1:3" ht="15" customHeight="1" thickBot="1">
      <c r="A157" s="557" t="s">
        <v>183</v>
      </c>
      <c r="B157" s="557"/>
      <c r="C157" s="143" t="s">
        <v>222</v>
      </c>
    </row>
    <row r="158" spans="1:4" ht="13.5" customHeight="1" thickBot="1">
      <c r="A158" s="19">
        <v>1</v>
      </c>
      <c r="B158" s="24" t="s">
        <v>556</v>
      </c>
      <c r="C158" s="134">
        <f>+C62-C128</f>
        <v>-323571</v>
      </c>
      <c r="D158" s="231"/>
    </row>
    <row r="159" spans="1:3" ht="27.75" customHeight="1" thickBot="1">
      <c r="A159" s="19" t="s">
        <v>84</v>
      </c>
      <c r="B159" s="24" t="s">
        <v>557</v>
      </c>
      <c r="C159" s="134">
        <f>+C86-C153</f>
        <v>323571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5/2017.(II.20.)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56">
    <tabColor rgb="FF92D050"/>
  </sheetPr>
  <dimension ref="A1:C61"/>
  <sheetViews>
    <sheetView workbookViewId="0" topLeftCell="A25">
      <selection activeCell="E39" sqref="E39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/>
    </row>
    <row r="2" spans="1:3" s="253" customFormat="1" ht="36" customHeight="1">
      <c r="A2" s="208" t="s">
        <v>214</v>
      </c>
      <c r="B2" s="182" t="s">
        <v>500</v>
      </c>
      <c r="C2" s="196" t="s">
        <v>124</v>
      </c>
    </row>
    <row r="3" spans="1:3" s="253" customFormat="1" ht="24.75" thickBot="1">
      <c r="A3" s="246" t="s">
        <v>213</v>
      </c>
      <c r="B3" s="183" t="s">
        <v>375</v>
      </c>
      <c r="C3" s="197" t="s">
        <v>116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11667</v>
      </c>
    </row>
    <row r="9" spans="1:3" s="198" customFormat="1" ht="12" customHeight="1">
      <c r="A9" s="247" t="s">
        <v>154</v>
      </c>
      <c r="B9" s="9" t="s">
        <v>264</v>
      </c>
      <c r="C9" s="548"/>
    </row>
    <row r="10" spans="1:3" s="198" customFormat="1" ht="12" customHeight="1">
      <c r="A10" s="248" t="s">
        <v>155</v>
      </c>
      <c r="B10" s="7" t="s">
        <v>265</v>
      </c>
      <c r="C10" s="38">
        <v>8067</v>
      </c>
    </row>
    <row r="11" spans="1:3" s="198" customFormat="1" ht="12" customHeight="1">
      <c r="A11" s="248" t="s">
        <v>156</v>
      </c>
      <c r="B11" s="7" t="s">
        <v>266</v>
      </c>
      <c r="C11" s="38">
        <v>900</v>
      </c>
    </row>
    <row r="12" spans="1:3" s="198" customFormat="1" ht="12" customHeight="1">
      <c r="A12" s="248" t="s">
        <v>157</v>
      </c>
      <c r="B12" s="7" t="s">
        <v>267</v>
      </c>
      <c r="C12" s="38"/>
    </row>
    <row r="13" spans="1:3" s="198" customFormat="1" ht="12" customHeight="1">
      <c r="A13" s="248" t="s">
        <v>178</v>
      </c>
      <c r="B13" s="7" t="s">
        <v>268</v>
      </c>
      <c r="C13" s="38"/>
    </row>
    <row r="14" spans="1:3" s="198" customFormat="1" ht="12" customHeight="1">
      <c r="A14" s="248" t="s">
        <v>158</v>
      </c>
      <c r="B14" s="7" t="s">
        <v>376</v>
      </c>
      <c r="C14" s="38">
        <v>2399</v>
      </c>
    </row>
    <row r="15" spans="1:3" s="198" customFormat="1" ht="12" customHeight="1">
      <c r="A15" s="248" t="s">
        <v>159</v>
      </c>
      <c r="B15" s="6" t="s">
        <v>377</v>
      </c>
      <c r="C15" s="38"/>
    </row>
    <row r="16" spans="1:3" s="198" customFormat="1" ht="12" customHeight="1">
      <c r="A16" s="248" t="s">
        <v>169</v>
      </c>
      <c r="B16" s="7" t="s">
        <v>271</v>
      </c>
      <c r="C16" s="188">
        <v>1</v>
      </c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>
        <v>300</v>
      </c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1787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38">
        <v>1787</v>
      </c>
    </row>
    <row r="24" spans="1:3" s="256" customFormat="1" ht="12" customHeight="1" thickBot="1">
      <c r="A24" s="248" t="s">
        <v>163</v>
      </c>
      <c r="B24" s="7" t="s">
        <v>587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588</v>
      </c>
      <c r="C26" s="151">
        <f>+C27+C28+C29</f>
        <v>0</v>
      </c>
    </row>
    <row r="27" spans="1:3" s="256" customFormat="1" ht="12" customHeight="1">
      <c r="A27" s="249" t="s">
        <v>251</v>
      </c>
      <c r="B27" s="250" t="s">
        <v>246</v>
      </c>
      <c r="C27" s="36"/>
    </row>
    <row r="28" spans="1:3" s="256" customFormat="1" ht="12" customHeight="1">
      <c r="A28" s="249" t="s">
        <v>254</v>
      </c>
      <c r="B28" s="250" t="s">
        <v>379</v>
      </c>
      <c r="C28" s="149"/>
    </row>
    <row r="29" spans="1:3" s="256" customFormat="1" ht="12" customHeight="1">
      <c r="A29" s="249" t="s">
        <v>255</v>
      </c>
      <c r="B29" s="251" t="s">
        <v>381</v>
      </c>
      <c r="C29" s="149"/>
    </row>
    <row r="30" spans="1:3" s="256" customFormat="1" ht="12" customHeight="1" thickBot="1">
      <c r="A30" s="248" t="s">
        <v>256</v>
      </c>
      <c r="B30" s="69" t="s">
        <v>589</v>
      </c>
      <c r="C30" s="39"/>
    </row>
    <row r="31" spans="1:3" s="256" customFormat="1" ht="12" customHeight="1" thickBot="1">
      <c r="A31" s="93" t="s">
        <v>87</v>
      </c>
      <c r="B31" s="66" t="s">
        <v>382</v>
      </c>
      <c r="C31" s="151">
        <f>+C32+C33+C34</f>
        <v>0</v>
      </c>
    </row>
    <row r="32" spans="1:3" s="256" customFormat="1" ht="12" customHeight="1">
      <c r="A32" s="249" t="s">
        <v>147</v>
      </c>
      <c r="B32" s="250" t="s">
        <v>278</v>
      </c>
      <c r="C32" s="36"/>
    </row>
    <row r="33" spans="1:3" s="256" customFormat="1" ht="12" customHeight="1">
      <c r="A33" s="249" t="s">
        <v>148</v>
      </c>
      <c r="B33" s="251" t="s">
        <v>279</v>
      </c>
      <c r="C33" s="152"/>
    </row>
    <row r="34" spans="1:3" s="256" customFormat="1" ht="12" customHeight="1" thickBot="1">
      <c r="A34" s="248" t="s">
        <v>149</v>
      </c>
      <c r="B34" s="69" t="s">
        <v>280</v>
      </c>
      <c r="C34" s="39"/>
    </row>
    <row r="35" spans="1:3" s="198" customFormat="1" ht="12" customHeight="1" thickBot="1">
      <c r="A35" s="93" t="s">
        <v>88</v>
      </c>
      <c r="B35" s="66" t="s">
        <v>366</v>
      </c>
      <c r="C35" s="178"/>
    </row>
    <row r="36" spans="1:3" s="198" customFormat="1" ht="12" customHeight="1" thickBot="1">
      <c r="A36" s="93" t="s">
        <v>89</v>
      </c>
      <c r="B36" s="66" t="s">
        <v>383</v>
      </c>
      <c r="C36" s="189"/>
    </row>
    <row r="37" spans="1:3" s="198" customFormat="1" ht="12" customHeight="1" thickBot="1">
      <c r="A37" s="90" t="s">
        <v>90</v>
      </c>
      <c r="B37" s="66" t="s">
        <v>384</v>
      </c>
      <c r="C37" s="190">
        <f>+C8+C20+C25+C26+C31+C35+C36</f>
        <v>13454</v>
      </c>
    </row>
    <row r="38" spans="1:3" s="198" customFormat="1" ht="12" customHeight="1" thickBot="1">
      <c r="A38" s="106" t="s">
        <v>91</v>
      </c>
      <c r="B38" s="66" t="s">
        <v>385</v>
      </c>
      <c r="C38" s="190">
        <f>+C39+C40+C41</f>
        <v>403</v>
      </c>
    </row>
    <row r="39" spans="1:3" s="198" customFormat="1" ht="12" customHeight="1">
      <c r="A39" s="249" t="s">
        <v>386</v>
      </c>
      <c r="B39" s="250" t="s">
        <v>231</v>
      </c>
      <c r="C39" s="512">
        <v>403</v>
      </c>
    </row>
    <row r="40" spans="1:3" s="198" customFormat="1" ht="12" customHeight="1">
      <c r="A40" s="249" t="s">
        <v>387</v>
      </c>
      <c r="B40" s="251" t="s">
        <v>74</v>
      </c>
      <c r="C40" s="152"/>
    </row>
    <row r="41" spans="1:3" s="256" customFormat="1" ht="12" customHeight="1" thickBot="1">
      <c r="A41" s="248" t="s">
        <v>388</v>
      </c>
      <c r="B41" s="69" t="s">
        <v>389</v>
      </c>
      <c r="C41" s="39"/>
    </row>
    <row r="42" spans="1:3" s="256" customFormat="1" ht="15" customHeight="1" thickBot="1">
      <c r="A42" s="106" t="s">
        <v>92</v>
      </c>
      <c r="B42" s="107" t="s">
        <v>390</v>
      </c>
      <c r="C42" s="193">
        <f>+C37+C38</f>
        <v>13857</v>
      </c>
    </row>
    <row r="43" spans="1:3" s="256" customFormat="1" ht="15" customHeight="1">
      <c r="A43" s="108"/>
      <c r="B43" s="109"/>
      <c r="C43" s="191"/>
    </row>
    <row r="44" spans="1:3" ht="13.5" thickBot="1">
      <c r="A44" s="110"/>
      <c r="B44" s="111"/>
      <c r="C44" s="192"/>
    </row>
    <row r="45" spans="1:3" s="255" customFormat="1" ht="16.5" customHeight="1" thickBot="1">
      <c r="A45" s="112"/>
      <c r="B45" s="113" t="s">
        <v>121</v>
      </c>
      <c r="C45" s="193"/>
    </row>
    <row r="46" spans="1:3" s="257" customFormat="1" ht="12" customHeight="1" thickBot="1">
      <c r="A46" s="93" t="s">
        <v>83</v>
      </c>
      <c r="B46" s="66" t="s">
        <v>391</v>
      </c>
      <c r="C46" s="151">
        <f>SUM(C47:C51)</f>
        <v>210542</v>
      </c>
    </row>
    <row r="47" spans="1:3" ht="12" customHeight="1">
      <c r="A47" s="248" t="s">
        <v>154</v>
      </c>
      <c r="B47" s="8" t="s">
        <v>112</v>
      </c>
      <c r="C47" s="36">
        <v>108244</v>
      </c>
    </row>
    <row r="48" spans="1:3" ht="12" customHeight="1">
      <c r="A48" s="248" t="s">
        <v>155</v>
      </c>
      <c r="B48" s="7" t="s">
        <v>201</v>
      </c>
      <c r="C48" s="38">
        <v>30833</v>
      </c>
    </row>
    <row r="49" spans="1:3" ht="12" customHeight="1">
      <c r="A49" s="248" t="s">
        <v>156</v>
      </c>
      <c r="B49" s="7" t="s">
        <v>177</v>
      </c>
      <c r="C49" s="458">
        <f>47688+2</f>
        <v>47690</v>
      </c>
    </row>
    <row r="50" spans="1:3" ht="12" customHeight="1">
      <c r="A50" s="248" t="s">
        <v>157</v>
      </c>
      <c r="B50" s="7" t="s">
        <v>202</v>
      </c>
      <c r="C50" s="38">
        <v>23775</v>
      </c>
    </row>
    <row r="51" spans="1:3" ht="12" customHeight="1" thickBot="1">
      <c r="A51" s="248" t="s">
        <v>178</v>
      </c>
      <c r="B51" s="7" t="s">
        <v>203</v>
      </c>
      <c r="C51" s="38"/>
    </row>
    <row r="52" spans="1:3" ht="12" customHeight="1" thickBot="1">
      <c r="A52" s="93" t="s">
        <v>84</v>
      </c>
      <c r="B52" s="66" t="s">
        <v>392</v>
      </c>
      <c r="C52" s="151">
        <f>SUM(C53:C55)</f>
        <v>5588</v>
      </c>
    </row>
    <row r="53" spans="1:3" s="257" customFormat="1" ht="12" customHeight="1">
      <c r="A53" s="248" t="s">
        <v>160</v>
      </c>
      <c r="B53" s="8" t="s">
        <v>221</v>
      </c>
      <c r="C53" s="36">
        <v>5588</v>
      </c>
    </row>
    <row r="54" spans="1:3" ht="12" customHeight="1">
      <c r="A54" s="248" t="s">
        <v>161</v>
      </c>
      <c r="B54" s="7" t="s">
        <v>205</v>
      </c>
      <c r="C54" s="38"/>
    </row>
    <row r="55" spans="1:3" ht="12" customHeight="1">
      <c r="A55" s="248" t="s">
        <v>162</v>
      </c>
      <c r="B55" s="7" t="s">
        <v>122</v>
      </c>
      <c r="C55" s="38"/>
    </row>
    <row r="56" spans="1:3" ht="12" customHeight="1" thickBot="1">
      <c r="A56" s="248" t="s">
        <v>163</v>
      </c>
      <c r="B56" s="7" t="s">
        <v>590</v>
      </c>
      <c r="C56" s="38"/>
    </row>
    <row r="57" spans="1:3" ht="12" customHeight="1" thickBot="1">
      <c r="A57" s="93" t="s">
        <v>85</v>
      </c>
      <c r="B57" s="66" t="s">
        <v>78</v>
      </c>
      <c r="C57" s="178"/>
    </row>
    <row r="58" spans="1:3" ht="15" customHeight="1" thickBot="1">
      <c r="A58" s="93" t="s">
        <v>86</v>
      </c>
      <c r="B58" s="114" t="s">
        <v>591</v>
      </c>
      <c r="C58" s="194">
        <f>+C46+C52+C57</f>
        <v>216130</v>
      </c>
    </row>
    <row r="59" ht="13.5" thickBot="1">
      <c r="C59" s="195"/>
    </row>
    <row r="60" spans="1:3" ht="15" customHeight="1" thickBot="1">
      <c r="A60" s="117" t="s">
        <v>583</v>
      </c>
      <c r="B60" s="118"/>
      <c r="C60" s="521">
        <v>44</v>
      </c>
    </row>
    <row r="61" spans="1:3" ht="14.25" customHeight="1" thickBot="1">
      <c r="A61" s="117" t="s">
        <v>216</v>
      </c>
      <c r="B61" s="118"/>
      <c r="C61" s="6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 melléklet a 5/2017.(II.20.)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C61"/>
  <sheetViews>
    <sheetView workbookViewId="0" topLeftCell="A28">
      <selection activeCell="C33" sqref="C33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/>
    </row>
    <row r="2" spans="1:3" s="253" customFormat="1" ht="35.25" customHeight="1">
      <c r="A2" s="208" t="s">
        <v>214</v>
      </c>
      <c r="B2" s="182" t="s">
        <v>585</v>
      </c>
      <c r="C2" s="196" t="s">
        <v>124</v>
      </c>
    </row>
    <row r="3" spans="1:3" s="253" customFormat="1" ht="24.75" thickBot="1">
      <c r="A3" s="246" t="s">
        <v>213</v>
      </c>
      <c r="B3" s="183" t="s">
        <v>393</v>
      </c>
      <c r="C3" s="197" t="s">
        <v>124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2920</v>
      </c>
    </row>
    <row r="9" spans="1:3" s="198" customFormat="1" ht="12" customHeight="1">
      <c r="A9" s="247" t="s">
        <v>154</v>
      </c>
      <c r="B9" s="9" t="s">
        <v>264</v>
      </c>
      <c r="C9" s="548"/>
    </row>
    <row r="10" spans="1:3" s="198" customFormat="1" ht="12" customHeight="1">
      <c r="A10" s="248" t="s">
        <v>155</v>
      </c>
      <c r="B10" s="7" t="s">
        <v>265</v>
      </c>
      <c r="C10" s="38">
        <v>2317</v>
      </c>
    </row>
    <row r="11" spans="1:3" s="198" customFormat="1" ht="12" customHeight="1">
      <c r="A11" s="248" t="s">
        <v>156</v>
      </c>
      <c r="B11" s="7" t="s">
        <v>266</v>
      </c>
      <c r="C11" s="38"/>
    </row>
    <row r="12" spans="1:3" s="198" customFormat="1" ht="12" customHeight="1">
      <c r="A12" s="248" t="s">
        <v>157</v>
      </c>
      <c r="B12" s="7" t="s">
        <v>267</v>
      </c>
      <c r="C12" s="38"/>
    </row>
    <row r="13" spans="1:3" s="198" customFormat="1" ht="12" customHeight="1">
      <c r="A13" s="248" t="s">
        <v>178</v>
      </c>
      <c r="B13" s="7" t="s">
        <v>268</v>
      </c>
      <c r="C13" s="149"/>
    </row>
    <row r="14" spans="1:3" s="198" customFormat="1" ht="12" customHeight="1">
      <c r="A14" s="248" t="s">
        <v>158</v>
      </c>
      <c r="B14" s="7" t="s">
        <v>376</v>
      </c>
      <c r="C14" s="149">
        <v>603</v>
      </c>
    </row>
    <row r="15" spans="1:3" s="198" customFormat="1" ht="12" customHeight="1">
      <c r="A15" s="248" t="s">
        <v>159</v>
      </c>
      <c r="B15" s="6" t="s">
        <v>377</v>
      </c>
      <c r="C15" s="149"/>
    </row>
    <row r="16" spans="1:3" s="198" customFormat="1" ht="12" customHeight="1">
      <c r="A16" s="248" t="s">
        <v>169</v>
      </c>
      <c r="B16" s="7" t="s">
        <v>271</v>
      </c>
      <c r="C16" s="188"/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1787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38">
        <v>1787</v>
      </c>
    </row>
    <row r="24" spans="1:3" s="256" customFormat="1" ht="12" customHeight="1" thickBot="1">
      <c r="A24" s="248" t="s">
        <v>163</v>
      </c>
      <c r="B24" s="7" t="s">
        <v>587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588</v>
      </c>
      <c r="C26" s="151">
        <f>+C27+C28+C29</f>
        <v>0</v>
      </c>
    </row>
    <row r="27" spans="1:3" s="256" customFormat="1" ht="12" customHeight="1">
      <c r="A27" s="249" t="s">
        <v>251</v>
      </c>
      <c r="B27" s="250" t="s">
        <v>246</v>
      </c>
      <c r="C27" s="36"/>
    </row>
    <row r="28" spans="1:3" s="256" customFormat="1" ht="12" customHeight="1">
      <c r="A28" s="249" t="s">
        <v>254</v>
      </c>
      <c r="B28" s="250" t="s">
        <v>379</v>
      </c>
      <c r="C28" s="149"/>
    </row>
    <row r="29" spans="1:3" s="256" customFormat="1" ht="12" customHeight="1">
      <c r="A29" s="249" t="s">
        <v>255</v>
      </c>
      <c r="B29" s="251" t="s">
        <v>381</v>
      </c>
      <c r="C29" s="149"/>
    </row>
    <row r="30" spans="1:3" s="256" customFormat="1" ht="12" customHeight="1" thickBot="1">
      <c r="A30" s="248" t="s">
        <v>256</v>
      </c>
      <c r="B30" s="69" t="s">
        <v>589</v>
      </c>
      <c r="C30" s="39"/>
    </row>
    <row r="31" spans="1:3" s="256" customFormat="1" ht="12" customHeight="1" thickBot="1">
      <c r="A31" s="93" t="s">
        <v>87</v>
      </c>
      <c r="B31" s="66" t="s">
        <v>382</v>
      </c>
      <c r="C31" s="151">
        <f>+C32+C33+C34</f>
        <v>0</v>
      </c>
    </row>
    <row r="32" spans="1:3" s="256" customFormat="1" ht="12" customHeight="1">
      <c r="A32" s="249" t="s">
        <v>147</v>
      </c>
      <c r="B32" s="250" t="s">
        <v>278</v>
      </c>
      <c r="C32" s="36"/>
    </row>
    <row r="33" spans="1:3" s="256" customFormat="1" ht="12" customHeight="1">
      <c r="A33" s="249" t="s">
        <v>148</v>
      </c>
      <c r="B33" s="251" t="s">
        <v>279</v>
      </c>
      <c r="C33" s="152"/>
    </row>
    <row r="34" spans="1:3" s="256" customFormat="1" ht="12" customHeight="1" thickBot="1">
      <c r="A34" s="248" t="s">
        <v>149</v>
      </c>
      <c r="B34" s="69" t="s">
        <v>280</v>
      </c>
      <c r="C34" s="39"/>
    </row>
    <row r="35" spans="1:3" s="198" customFormat="1" ht="12" customHeight="1" thickBot="1">
      <c r="A35" s="93" t="s">
        <v>88</v>
      </c>
      <c r="B35" s="66" t="s">
        <v>366</v>
      </c>
      <c r="C35" s="178"/>
    </row>
    <row r="36" spans="1:3" s="198" customFormat="1" ht="12" customHeight="1" thickBot="1">
      <c r="A36" s="93" t="s">
        <v>89</v>
      </c>
      <c r="B36" s="66" t="s">
        <v>383</v>
      </c>
      <c r="C36" s="189"/>
    </row>
    <row r="37" spans="1:3" s="198" customFormat="1" ht="12" customHeight="1" thickBot="1">
      <c r="A37" s="90" t="s">
        <v>90</v>
      </c>
      <c r="B37" s="66" t="s">
        <v>384</v>
      </c>
      <c r="C37" s="190">
        <f>+C8+C20+C25+C26+C31+C35+C36</f>
        <v>4707</v>
      </c>
    </row>
    <row r="38" spans="1:3" s="198" customFormat="1" ht="12" customHeight="1" thickBot="1">
      <c r="A38" s="106" t="s">
        <v>91</v>
      </c>
      <c r="B38" s="66" t="s">
        <v>385</v>
      </c>
      <c r="C38" s="190">
        <f>+C39+C40+C41</f>
        <v>403</v>
      </c>
    </row>
    <row r="39" spans="1:3" s="198" customFormat="1" ht="12" customHeight="1">
      <c r="A39" s="249" t="s">
        <v>386</v>
      </c>
      <c r="B39" s="250" t="s">
        <v>231</v>
      </c>
      <c r="C39" s="512">
        <f>401+2</f>
        <v>403</v>
      </c>
    </row>
    <row r="40" spans="1:3" s="198" customFormat="1" ht="12" customHeight="1">
      <c r="A40" s="249" t="s">
        <v>387</v>
      </c>
      <c r="B40" s="251" t="s">
        <v>74</v>
      </c>
      <c r="C40" s="152"/>
    </row>
    <row r="41" spans="1:3" s="256" customFormat="1" ht="12" customHeight="1" thickBot="1">
      <c r="A41" s="248" t="s">
        <v>388</v>
      </c>
      <c r="B41" s="69" t="s">
        <v>389</v>
      </c>
      <c r="C41" s="39"/>
    </row>
    <row r="42" spans="1:3" s="256" customFormat="1" ht="15" customHeight="1" thickBot="1">
      <c r="A42" s="106" t="s">
        <v>92</v>
      </c>
      <c r="B42" s="107" t="s">
        <v>390</v>
      </c>
      <c r="C42" s="193">
        <f>+C37+C38</f>
        <v>5110</v>
      </c>
    </row>
    <row r="43" spans="1:3" s="256" customFormat="1" ht="15" customHeight="1">
      <c r="A43" s="108"/>
      <c r="B43" s="109"/>
      <c r="C43" s="191"/>
    </row>
    <row r="44" spans="1:3" ht="13.5" thickBot="1">
      <c r="A44" s="110"/>
      <c r="B44" s="111"/>
      <c r="C44" s="192"/>
    </row>
    <row r="45" spans="1:3" s="255" customFormat="1" ht="16.5" customHeight="1" thickBot="1">
      <c r="A45" s="112"/>
      <c r="B45" s="113" t="s">
        <v>121</v>
      </c>
      <c r="C45" s="193"/>
    </row>
    <row r="46" spans="1:3" s="257" customFormat="1" ht="12" customHeight="1" thickBot="1">
      <c r="A46" s="93" t="s">
        <v>83</v>
      </c>
      <c r="B46" s="66" t="s">
        <v>391</v>
      </c>
      <c r="C46" s="151">
        <f>SUM(C47:C51)</f>
        <v>27142</v>
      </c>
    </row>
    <row r="47" spans="1:3" ht="12" customHeight="1">
      <c r="A47" s="248" t="s">
        <v>154</v>
      </c>
      <c r="B47" s="8" t="s">
        <v>112</v>
      </c>
      <c r="C47" s="36">
        <v>1642</v>
      </c>
    </row>
    <row r="48" spans="1:3" ht="12" customHeight="1">
      <c r="A48" s="248" t="s">
        <v>155</v>
      </c>
      <c r="B48" s="7" t="s">
        <v>201</v>
      </c>
      <c r="C48" s="38">
        <v>463</v>
      </c>
    </row>
    <row r="49" spans="1:3" ht="12" customHeight="1">
      <c r="A49" s="248" t="s">
        <v>156</v>
      </c>
      <c r="B49" s="7" t="s">
        <v>177</v>
      </c>
      <c r="C49" s="38">
        <v>1262</v>
      </c>
    </row>
    <row r="50" spans="1:3" ht="12" customHeight="1">
      <c r="A50" s="248" t="s">
        <v>157</v>
      </c>
      <c r="B50" s="7" t="s">
        <v>202</v>
      </c>
      <c r="C50" s="38">
        <v>23775</v>
      </c>
    </row>
    <row r="51" spans="1:3" ht="12" customHeight="1" thickBot="1">
      <c r="A51" s="248" t="s">
        <v>178</v>
      </c>
      <c r="B51" s="7" t="s">
        <v>203</v>
      </c>
      <c r="C51" s="38"/>
    </row>
    <row r="52" spans="1:3" ht="12" customHeight="1" thickBot="1">
      <c r="A52" s="93" t="s">
        <v>84</v>
      </c>
      <c r="B52" s="66" t="s">
        <v>392</v>
      </c>
      <c r="C52" s="151">
        <f>SUM(C53:C55)</f>
        <v>0</v>
      </c>
    </row>
    <row r="53" spans="1:3" s="257" customFormat="1" ht="12" customHeight="1">
      <c r="A53" s="248" t="s">
        <v>160</v>
      </c>
      <c r="B53" s="8" t="s">
        <v>221</v>
      </c>
      <c r="C53" s="36"/>
    </row>
    <row r="54" spans="1:3" ht="12" customHeight="1">
      <c r="A54" s="248" t="s">
        <v>161</v>
      </c>
      <c r="B54" s="7" t="s">
        <v>205</v>
      </c>
      <c r="C54" s="38"/>
    </row>
    <row r="55" spans="1:3" ht="12" customHeight="1">
      <c r="A55" s="248" t="s">
        <v>162</v>
      </c>
      <c r="B55" s="7" t="s">
        <v>122</v>
      </c>
      <c r="C55" s="38"/>
    </row>
    <row r="56" spans="1:3" ht="12" customHeight="1" thickBot="1">
      <c r="A56" s="248" t="s">
        <v>163</v>
      </c>
      <c r="B56" s="7" t="s">
        <v>590</v>
      </c>
      <c r="C56" s="38"/>
    </row>
    <row r="57" spans="1:3" ht="15" customHeight="1" thickBot="1">
      <c r="A57" s="93" t="s">
        <v>85</v>
      </c>
      <c r="B57" s="66" t="s">
        <v>78</v>
      </c>
      <c r="C57" s="178"/>
    </row>
    <row r="58" spans="1:3" ht="13.5" thickBot="1">
      <c r="A58" s="93" t="s">
        <v>86</v>
      </c>
      <c r="B58" s="114" t="s">
        <v>591</v>
      </c>
      <c r="C58" s="194">
        <f>+C46+C52+C57</f>
        <v>27142</v>
      </c>
    </row>
    <row r="59" ht="15" customHeight="1" thickBot="1">
      <c r="C59" s="195"/>
    </row>
    <row r="60" spans="1:3" ht="14.25" customHeight="1" thickBot="1">
      <c r="A60" s="117" t="s">
        <v>583</v>
      </c>
      <c r="B60" s="118"/>
      <c r="C60" s="65"/>
    </row>
    <row r="61" spans="1:3" ht="13.5" thickBot="1">
      <c r="A61" s="117" t="s">
        <v>216</v>
      </c>
      <c r="B61" s="118"/>
      <c r="C61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5/2017.(II.20.)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58">
    <tabColor rgb="FF92D050"/>
  </sheetPr>
  <dimension ref="A1:D61"/>
  <sheetViews>
    <sheetView workbookViewId="0" topLeftCell="A19">
      <selection activeCell="C50" sqref="C50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/>
    </row>
    <row r="2" spans="1:3" s="253" customFormat="1" ht="33.75" customHeight="1">
      <c r="A2" s="208" t="s">
        <v>214</v>
      </c>
      <c r="B2" s="182" t="s">
        <v>585</v>
      </c>
      <c r="C2" s="196" t="s">
        <v>124</v>
      </c>
    </row>
    <row r="3" spans="1:3" s="253" customFormat="1" ht="24.75" thickBot="1">
      <c r="A3" s="246" t="s">
        <v>213</v>
      </c>
      <c r="B3" s="183" t="s">
        <v>592</v>
      </c>
      <c r="C3" s="197" t="s">
        <v>407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7985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v>5150</v>
      </c>
    </row>
    <row r="11" spans="1:3" s="198" customFormat="1" ht="12" customHeight="1">
      <c r="A11" s="248" t="s">
        <v>156</v>
      </c>
      <c r="B11" s="7" t="s">
        <v>266</v>
      </c>
      <c r="C11" s="149">
        <v>900</v>
      </c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/>
    </row>
    <row r="14" spans="1:3" s="198" customFormat="1" ht="12" customHeight="1">
      <c r="A14" s="248" t="s">
        <v>158</v>
      </c>
      <c r="B14" s="7" t="s">
        <v>376</v>
      </c>
      <c r="C14" s="149">
        <v>1634</v>
      </c>
    </row>
    <row r="15" spans="1:3" s="198" customFormat="1" ht="12" customHeight="1">
      <c r="A15" s="248" t="s">
        <v>159</v>
      </c>
      <c r="B15" s="6" t="s">
        <v>377</v>
      </c>
      <c r="C15" s="149"/>
    </row>
    <row r="16" spans="1:3" s="198" customFormat="1" ht="12" customHeight="1">
      <c r="A16" s="248" t="s">
        <v>169</v>
      </c>
      <c r="B16" s="7" t="s">
        <v>271</v>
      </c>
      <c r="C16" s="188">
        <v>1</v>
      </c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>
        <v>300</v>
      </c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0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/>
    </row>
    <row r="24" spans="1:3" s="256" customFormat="1" ht="12" customHeight="1" thickBot="1">
      <c r="A24" s="248" t="s">
        <v>163</v>
      </c>
      <c r="B24" s="7" t="s">
        <v>587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588</v>
      </c>
      <c r="C26" s="151">
        <f>+C27+C28+C29</f>
        <v>0</v>
      </c>
    </row>
    <row r="27" spans="1:3" s="256" customFormat="1" ht="12" customHeight="1">
      <c r="A27" s="249" t="s">
        <v>251</v>
      </c>
      <c r="B27" s="250" t="s">
        <v>246</v>
      </c>
      <c r="C27" s="36"/>
    </row>
    <row r="28" spans="1:3" s="256" customFormat="1" ht="12" customHeight="1">
      <c r="A28" s="249" t="s">
        <v>254</v>
      </c>
      <c r="B28" s="250" t="s">
        <v>379</v>
      </c>
      <c r="C28" s="149"/>
    </row>
    <row r="29" spans="1:3" s="256" customFormat="1" ht="12" customHeight="1">
      <c r="A29" s="249" t="s">
        <v>255</v>
      </c>
      <c r="B29" s="251" t="s">
        <v>381</v>
      </c>
      <c r="C29" s="149"/>
    </row>
    <row r="30" spans="1:3" s="256" customFormat="1" ht="12" customHeight="1" thickBot="1">
      <c r="A30" s="248" t="s">
        <v>256</v>
      </c>
      <c r="B30" s="69" t="s">
        <v>589</v>
      </c>
      <c r="C30" s="39"/>
    </row>
    <row r="31" spans="1:3" s="256" customFormat="1" ht="12" customHeight="1" thickBot="1">
      <c r="A31" s="93" t="s">
        <v>87</v>
      </c>
      <c r="B31" s="66" t="s">
        <v>382</v>
      </c>
      <c r="C31" s="151">
        <f>+C32+C33+C34</f>
        <v>0</v>
      </c>
    </row>
    <row r="32" spans="1:3" s="256" customFormat="1" ht="12" customHeight="1">
      <c r="A32" s="249" t="s">
        <v>147</v>
      </c>
      <c r="B32" s="250" t="s">
        <v>278</v>
      </c>
      <c r="C32" s="36"/>
    </row>
    <row r="33" spans="1:3" s="256" customFormat="1" ht="12" customHeight="1">
      <c r="A33" s="249" t="s">
        <v>148</v>
      </c>
      <c r="B33" s="251" t="s">
        <v>279</v>
      </c>
      <c r="C33" s="152"/>
    </row>
    <row r="34" spans="1:3" s="256" customFormat="1" ht="12" customHeight="1" thickBot="1">
      <c r="A34" s="248" t="s">
        <v>149</v>
      </c>
      <c r="B34" s="69" t="s">
        <v>280</v>
      </c>
      <c r="C34" s="39"/>
    </row>
    <row r="35" spans="1:3" s="198" customFormat="1" ht="12" customHeight="1" thickBot="1">
      <c r="A35" s="93" t="s">
        <v>88</v>
      </c>
      <c r="B35" s="66" t="s">
        <v>366</v>
      </c>
      <c r="C35" s="178"/>
    </row>
    <row r="36" spans="1:3" s="198" customFormat="1" ht="12" customHeight="1" thickBot="1">
      <c r="A36" s="93" t="s">
        <v>89</v>
      </c>
      <c r="B36" s="66" t="s">
        <v>383</v>
      </c>
      <c r="C36" s="189"/>
    </row>
    <row r="37" spans="1:3" s="198" customFormat="1" ht="12" customHeight="1" thickBot="1">
      <c r="A37" s="90" t="s">
        <v>90</v>
      </c>
      <c r="B37" s="66" t="s">
        <v>384</v>
      </c>
      <c r="C37" s="190">
        <f>+C8+C20+C25+C26+C31+C35+C36</f>
        <v>7985</v>
      </c>
    </row>
    <row r="38" spans="1:3" s="198" customFormat="1" ht="12" customHeight="1" thickBot="1">
      <c r="A38" s="106" t="s">
        <v>91</v>
      </c>
      <c r="B38" s="66" t="s">
        <v>385</v>
      </c>
      <c r="C38" s="190">
        <f>+C39+C40+C41</f>
        <v>0</v>
      </c>
    </row>
    <row r="39" spans="1:4" s="198" customFormat="1" ht="12" customHeight="1">
      <c r="A39" s="249" t="s">
        <v>386</v>
      </c>
      <c r="B39" s="250" t="s">
        <v>231</v>
      </c>
      <c r="C39" s="36"/>
      <c r="D39" s="495"/>
    </row>
    <row r="40" spans="1:3" s="198" customFormat="1" ht="12" customHeight="1">
      <c r="A40" s="249" t="s">
        <v>387</v>
      </c>
      <c r="B40" s="251" t="s">
        <v>74</v>
      </c>
      <c r="C40" s="152"/>
    </row>
    <row r="41" spans="1:3" s="256" customFormat="1" ht="12" customHeight="1" thickBot="1">
      <c r="A41" s="248" t="s">
        <v>388</v>
      </c>
      <c r="B41" s="69" t="s">
        <v>389</v>
      </c>
      <c r="C41" s="39"/>
    </row>
    <row r="42" spans="1:3" s="256" customFormat="1" ht="15" customHeight="1" thickBot="1">
      <c r="A42" s="106" t="s">
        <v>92</v>
      </c>
      <c r="B42" s="107" t="s">
        <v>390</v>
      </c>
      <c r="C42" s="193">
        <f>+C37+C38</f>
        <v>7985</v>
      </c>
    </row>
    <row r="43" spans="1:3" s="256" customFormat="1" ht="15" customHeight="1">
      <c r="A43" s="108"/>
      <c r="B43" s="109"/>
      <c r="C43" s="191"/>
    </row>
    <row r="44" spans="1:3" ht="13.5" thickBot="1">
      <c r="A44" s="110"/>
      <c r="B44" s="111"/>
      <c r="C44" s="192"/>
    </row>
    <row r="45" spans="1:3" s="255" customFormat="1" ht="16.5" customHeight="1" thickBot="1">
      <c r="A45" s="112"/>
      <c r="B45" s="113" t="s">
        <v>121</v>
      </c>
      <c r="C45" s="193"/>
    </row>
    <row r="46" spans="1:3" s="257" customFormat="1" ht="12" customHeight="1" thickBot="1">
      <c r="A46" s="93" t="s">
        <v>83</v>
      </c>
      <c r="B46" s="66" t="s">
        <v>391</v>
      </c>
      <c r="C46" s="151">
        <f>SUM(C47:C51)</f>
        <v>179640</v>
      </c>
    </row>
    <row r="47" spans="1:3" ht="12" customHeight="1">
      <c r="A47" s="248" t="s">
        <v>154</v>
      </c>
      <c r="B47" s="8" t="s">
        <v>112</v>
      </c>
      <c r="C47" s="36">
        <v>106602</v>
      </c>
    </row>
    <row r="48" spans="1:3" ht="12" customHeight="1">
      <c r="A48" s="248" t="s">
        <v>155</v>
      </c>
      <c r="B48" s="7" t="s">
        <v>201</v>
      </c>
      <c r="C48" s="38">
        <v>30370</v>
      </c>
    </row>
    <row r="49" spans="1:3" ht="12" customHeight="1">
      <c r="A49" s="248" t="s">
        <v>156</v>
      </c>
      <c r="B49" s="7" t="s">
        <v>177</v>
      </c>
      <c r="C49" s="38">
        <f>42666+2</f>
        <v>42668</v>
      </c>
    </row>
    <row r="50" spans="1:3" ht="12" customHeight="1">
      <c r="A50" s="248" t="s">
        <v>157</v>
      </c>
      <c r="B50" s="7" t="s">
        <v>202</v>
      </c>
      <c r="C50" s="38"/>
    </row>
    <row r="51" spans="1:3" ht="12" customHeight="1" thickBot="1">
      <c r="A51" s="248" t="s">
        <v>178</v>
      </c>
      <c r="B51" s="7" t="s">
        <v>203</v>
      </c>
      <c r="C51" s="38"/>
    </row>
    <row r="52" spans="1:3" ht="12" customHeight="1" thickBot="1">
      <c r="A52" s="93" t="s">
        <v>84</v>
      </c>
      <c r="B52" s="66" t="s">
        <v>392</v>
      </c>
      <c r="C52" s="151">
        <f>SUM(C53:C55)</f>
        <v>5588</v>
      </c>
    </row>
    <row r="53" spans="1:3" s="257" customFormat="1" ht="12" customHeight="1">
      <c r="A53" s="248" t="s">
        <v>160</v>
      </c>
      <c r="B53" s="8" t="s">
        <v>221</v>
      </c>
      <c r="C53" s="492">
        <v>5588</v>
      </c>
    </row>
    <row r="54" spans="1:3" ht="12" customHeight="1">
      <c r="A54" s="248" t="s">
        <v>161</v>
      </c>
      <c r="B54" s="7" t="s">
        <v>205</v>
      </c>
      <c r="C54" s="38"/>
    </row>
    <row r="55" spans="1:3" ht="12" customHeight="1">
      <c r="A55" s="248" t="s">
        <v>162</v>
      </c>
      <c r="B55" s="7" t="s">
        <v>122</v>
      </c>
      <c r="C55" s="38"/>
    </row>
    <row r="56" spans="1:3" ht="12" customHeight="1" thickBot="1">
      <c r="A56" s="248" t="s">
        <v>163</v>
      </c>
      <c r="B56" s="7" t="s">
        <v>590</v>
      </c>
      <c r="C56" s="38"/>
    </row>
    <row r="57" spans="1:3" ht="15" customHeight="1" thickBot="1">
      <c r="A57" s="93" t="s">
        <v>85</v>
      </c>
      <c r="B57" s="66" t="s">
        <v>78</v>
      </c>
      <c r="C57" s="178"/>
    </row>
    <row r="58" spans="1:3" ht="13.5" thickBot="1">
      <c r="A58" s="93" t="s">
        <v>86</v>
      </c>
      <c r="B58" s="114" t="s">
        <v>591</v>
      </c>
      <c r="C58" s="194">
        <f>+C46+C52+C57</f>
        <v>185228</v>
      </c>
    </row>
    <row r="59" ht="15" customHeight="1" thickBot="1">
      <c r="C59" s="195"/>
    </row>
    <row r="60" spans="1:3" ht="14.25" customHeight="1" thickBot="1">
      <c r="A60" s="117" t="s">
        <v>583</v>
      </c>
      <c r="B60" s="118"/>
      <c r="C60" s="521">
        <v>44</v>
      </c>
    </row>
    <row r="61" spans="1:3" ht="13.5" thickBot="1">
      <c r="A61" s="117" t="s">
        <v>216</v>
      </c>
      <c r="B61" s="118"/>
      <c r="C61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 melléklet a 5/2017.(II.20.)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F52" sqref="F52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 t="e">
        <f>+CONCATENATE("9.3. melléklet a ……/",LEFT(#REF!,4),". (….) önkormányzati rendelethez")</f>
        <v>#REF!</v>
      </c>
    </row>
    <row r="2" spans="1:3" s="253" customFormat="1" ht="33" customHeight="1">
      <c r="A2" s="208" t="s">
        <v>214</v>
      </c>
      <c r="B2" s="182" t="s">
        <v>439</v>
      </c>
      <c r="C2" s="196" t="s">
        <v>125</v>
      </c>
    </row>
    <row r="3" spans="1:3" s="253" customFormat="1" ht="24.75" thickBot="1">
      <c r="A3" s="246" t="s">
        <v>213</v>
      </c>
      <c r="B3" s="183" t="s">
        <v>375</v>
      </c>
      <c r="C3" s="197" t="s">
        <v>116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10541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v>600</v>
      </c>
    </row>
    <row r="11" spans="1:3" s="198" customFormat="1" ht="12" customHeight="1">
      <c r="A11" s="248" t="s">
        <v>156</v>
      </c>
      <c r="B11" s="7" t="s">
        <v>266</v>
      </c>
      <c r="C11" s="149">
        <v>4000</v>
      </c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>
        <v>1364</v>
      </c>
    </row>
    <row r="14" spans="1:3" s="198" customFormat="1" ht="12" customHeight="1">
      <c r="A14" s="248" t="s">
        <v>158</v>
      </c>
      <c r="B14" s="7" t="s">
        <v>376</v>
      </c>
      <c r="C14" s="149">
        <v>1610</v>
      </c>
    </row>
    <row r="15" spans="1:3" s="198" customFormat="1" ht="12" customHeight="1">
      <c r="A15" s="248" t="s">
        <v>159</v>
      </c>
      <c r="B15" s="6" t="s">
        <v>377</v>
      </c>
      <c r="C15" s="149">
        <v>2957</v>
      </c>
    </row>
    <row r="16" spans="1:3" s="198" customFormat="1" ht="12" customHeight="1">
      <c r="A16" s="248" t="s">
        <v>169</v>
      </c>
      <c r="B16" s="7" t="s">
        <v>271</v>
      </c>
      <c r="C16" s="188">
        <v>10</v>
      </c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0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/>
    </row>
    <row r="24" spans="1:3" s="256" customFormat="1" ht="12" customHeight="1" thickBot="1">
      <c r="A24" s="248" t="s">
        <v>163</v>
      </c>
      <c r="B24" s="7" t="s">
        <v>3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4</v>
      </c>
      <c r="C26" s="151">
        <f>+C27+C28</f>
        <v>0</v>
      </c>
    </row>
    <row r="27" spans="1:3" s="256" customFormat="1" ht="12" customHeight="1">
      <c r="A27" s="249" t="s">
        <v>251</v>
      </c>
      <c r="B27" s="250" t="s">
        <v>379</v>
      </c>
      <c r="C27" s="36"/>
    </row>
    <row r="28" spans="1:3" s="256" customFormat="1" ht="12" customHeight="1">
      <c r="A28" s="249" t="s">
        <v>254</v>
      </c>
      <c r="B28" s="251" t="s">
        <v>381</v>
      </c>
      <c r="C28" s="152"/>
    </row>
    <row r="29" spans="1:3" s="256" customFormat="1" ht="12" customHeight="1" thickBot="1">
      <c r="A29" s="248" t="s">
        <v>255</v>
      </c>
      <c r="B29" s="69" t="s">
        <v>5</v>
      </c>
      <c r="C29" s="39"/>
    </row>
    <row r="30" spans="1:3" s="256" customFormat="1" ht="12" customHeight="1" thickBot="1">
      <c r="A30" s="93" t="s">
        <v>87</v>
      </c>
      <c r="B30" s="66" t="s">
        <v>382</v>
      </c>
      <c r="C30" s="151">
        <f>+C31+C32+C33</f>
        <v>0</v>
      </c>
    </row>
    <row r="31" spans="1:3" s="256" customFormat="1" ht="12" customHeight="1">
      <c r="A31" s="249" t="s">
        <v>147</v>
      </c>
      <c r="B31" s="250" t="s">
        <v>278</v>
      </c>
      <c r="C31" s="36"/>
    </row>
    <row r="32" spans="1:3" s="256" customFormat="1" ht="12" customHeight="1">
      <c r="A32" s="249" t="s">
        <v>148</v>
      </c>
      <c r="B32" s="251" t="s">
        <v>279</v>
      </c>
      <c r="C32" s="152"/>
    </row>
    <row r="33" spans="1:3" s="256" customFormat="1" ht="12" customHeight="1" thickBot="1">
      <c r="A33" s="248" t="s">
        <v>149</v>
      </c>
      <c r="B33" s="69" t="s">
        <v>280</v>
      </c>
      <c r="C33" s="39"/>
    </row>
    <row r="34" spans="1:3" s="198" customFormat="1" ht="12" customHeight="1" thickBot="1">
      <c r="A34" s="93" t="s">
        <v>88</v>
      </c>
      <c r="B34" s="66" t="s">
        <v>366</v>
      </c>
      <c r="C34" s="178"/>
    </row>
    <row r="35" spans="1:3" s="198" customFormat="1" ht="12" customHeight="1" thickBot="1">
      <c r="A35" s="93" t="s">
        <v>89</v>
      </c>
      <c r="B35" s="66" t="s">
        <v>383</v>
      </c>
      <c r="C35" s="189">
        <v>150</v>
      </c>
    </row>
    <row r="36" spans="1:3" s="198" customFormat="1" ht="12" customHeight="1" thickBot="1">
      <c r="A36" s="90" t="s">
        <v>90</v>
      </c>
      <c r="B36" s="66" t="s">
        <v>6</v>
      </c>
      <c r="C36" s="190">
        <f>+C8+C20+C25+C26+C30+C34+C35</f>
        <v>10691</v>
      </c>
    </row>
    <row r="37" spans="1:3" s="198" customFormat="1" ht="12" customHeight="1" thickBot="1">
      <c r="A37" s="106" t="s">
        <v>91</v>
      </c>
      <c r="B37" s="66" t="s">
        <v>385</v>
      </c>
      <c r="C37" s="190">
        <f>+C38+C39+C40</f>
        <v>46</v>
      </c>
    </row>
    <row r="38" spans="1:3" s="198" customFormat="1" ht="12" customHeight="1">
      <c r="A38" s="249" t="s">
        <v>386</v>
      </c>
      <c r="B38" s="250" t="s">
        <v>231</v>
      </c>
      <c r="C38" s="36">
        <v>46</v>
      </c>
    </row>
    <row r="39" spans="1:3" s="198" customFormat="1" ht="12" customHeight="1">
      <c r="A39" s="249" t="s">
        <v>387</v>
      </c>
      <c r="B39" s="251" t="s">
        <v>74</v>
      </c>
      <c r="C39" s="152"/>
    </row>
    <row r="40" spans="1:3" s="256" customFormat="1" ht="12" customHeight="1" thickBot="1">
      <c r="A40" s="248" t="s">
        <v>388</v>
      </c>
      <c r="B40" s="69" t="s">
        <v>389</v>
      </c>
      <c r="C40" s="39"/>
    </row>
    <row r="41" spans="1:3" s="256" customFormat="1" ht="15" customHeight="1" thickBot="1">
      <c r="A41" s="106" t="s">
        <v>92</v>
      </c>
      <c r="B41" s="107" t="s">
        <v>390</v>
      </c>
      <c r="C41" s="193">
        <f>+C36+C37</f>
        <v>10737</v>
      </c>
    </row>
    <row r="42" spans="1:3" s="256" customFormat="1" ht="15" customHeight="1">
      <c r="A42" s="108"/>
      <c r="B42" s="109"/>
      <c r="C42" s="191"/>
    </row>
    <row r="43" spans="1:3" ht="13.5" thickBot="1">
      <c r="A43" s="110"/>
      <c r="B43" s="111"/>
      <c r="C43" s="192"/>
    </row>
    <row r="44" spans="1:3" s="255" customFormat="1" ht="16.5" customHeight="1" thickBot="1">
      <c r="A44" s="112"/>
      <c r="B44" s="113" t="s">
        <v>121</v>
      </c>
      <c r="C44" s="193"/>
    </row>
    <row r="45" spans="1:3" s="257" customFormat="1" ht="12" customHeight="1" thickBot="1">
      <c r="A45" s="93" t="s">
        <v>83</v>
      </c>
      <c r="B45" s="66" t="s">
        <v>391</v>
      </c>
      <c r="C45" s="151">
        <f>SUM(C46:C50)</f>
        <v>289301</v>
      </c>
    </row>
    <row r="46" spans="1:3" ht="12" customHeight="1">
      <c r="A46" s="248" t="s">
        <v>154</v>
      </c>
      <c r="B46" s="8" t="s">
        <v>112</v>
      </c>
      <c r="C46" s="549">
        <f>165105+242+1639+957+94+49+1297+96+220+48+757+115+2</f>
        <v>170621</v>
      </c>
    </row>
    <row r="47" spans="1:3" ht="12" customHeight="1">
      <c r="A47" s="248" t="s">
        <v>155</v>
      </c>
      <c r="B47" s="7" t="s">
        <v>201</v>
      </c>
      <c r="C47" s="550">
        <f>47111+65+442+258+25+13+350+26+59+13+733+45+21</f>
        <v>49161</v>
      </c>
    </row>
    <row r="48" spans="1:3" ht="12" customHeight="1">
      <c r="A48" s="248" t="s">
        <v>156</v>
      </c>
      <c r="B48" s="7" t="s">
        <v>177</v>
      </c>
      <c r="C48" s="550">
        <f>69542-23</f>
        <v>69519</v>
      </c>
    </row>
    <row r="49" spans="1:3" ht="12" customHeight="1">
      <c r="A49" s="248" t="s">
        <v>157</v>
      </c>
      <c r="B49" s="7" t="s">
        <v>202</v>
      </c>
      <c r="C49" s="38"/>
    </row>
    <row r="50" spans="1:3" ht="12" customHeight="1" thickBot="1">
      <c r="A50" s="248" t="s">
        <v>178</v>
      </c>
      <c r="B50" s="7" t="s">
        <v>203</v>
      </c>
      <c r="C50" s="38"/>
    </row>
    <row r="51" spans="1:3" ht="12" customHeight="1" thickBot="1">
      <c r="A51" s="93" t="s">
        <v>84</v>
      </c>
      <c r="B51" s="66" t="s">
        <v>392</v>
      </c>
      <c r="C51" s="151">
        <f>SUM(C52:C54)</f>
        <v>2484</v>
      </c>
    </row>
    <row r="52" spans="1:3" s="257" customFormat="1" ht="12" customHeight="1">
      <c r="A52" s="248" t="s">
        <v>160</v>
      </c>
      <c r="B52" s="8" t="s">
        <v>221</v>
      </c>
      <c r="C52" s="507">
        <f>2220+30+6+78+150</f>
        <v>2484</v>
      </c>
    </row>
    <row r="53" spans="1:3" ht="12" customHeight="1">
      <c r="A53" s="248" t="s">
        <v>161</v>
      </c>
      <c r="B53" s="7" t="s">
        <v>205</v>
      </c>
      <c r="C53" s="38"/>
    </row>
    <row r="54" spans="1:3" ht="12" customHeight="1">
      <c r="A54" s="248" t="s">
        <v>162</v>
      </c>
      <c r="B54" s="7" t="s">
        <v>122</v>
      </c>
      <c r="C54" s="38"/>
    </row>
    <row r="55" spans="1:3" ht="12" customHeight="1" thickBot="1">
      <c r="A55" s="248" t="s">
        <v>163</v>
      </c>
      <c r="B55" s="7" t="s">
        <v>590</v>
      </c>
      <c r="C55" s="38"/>
    </row>
    <row r="56" spans="1:3" ht="15" customHeight="1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291785</v>
      </c>
    </row>
    <row r="58" ht="15" customHeight="1" thickBot="1">
      <c r="C58" s="195"/>
    </row>
    <row r="59" spans="1:3" ht="14.25" customHeight="1" thickBot="1">
      <c r="A59" s="117" t="s">
        <v>583</v>
      </c>
      <c r="B59" s="118"/>
      <c r="C59" s="65">
        <v>57</v>
      </c>
    </row>
    <row r="60" spans="1:3" ht="13.5" thickBot="1">
      <c r="A60" s="117" t="s">
        <v>216</v>
      </c>
      <c r="B60" s="118"/>
      <c r="C60" s="6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5/2017.(II.20.)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E57" sqref="E57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 t="e">
        <f>+CONCATENATE("9.3.1. melléklet a ……/",LEFT(#REF!,4),". (….) önkormányzati rendelethez")</f>
        <v>#REF!</v>
      </c>
    </row>
    <row r="2" spans="1:3" s="253" customFormat="1" ht="33.75" customHeight="1">
      <c r="A2" s="208" t="s">
        <v>214</v>
      </c>
      <c r="B2" s="182" t="s">
        <v>439</v>
      </c>
      <c r="C2" s="196" t="s">
        <v>125</v>
      </c>
    </row>
    <row r="3" spans="1:3" s="253" customFormat="1" ht="24.75" thickBot="1">
      <c r="A3" s="246" t="s">
        <v>213</v>
      </c>
      <c r="B3" s="183" t="s">
        <v>393</v>
      </c>
      <c r="C3" s="197" t="s">
        <v>124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10541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v>600</v>
      </c>
    </row>
    <row r="11" spans="1:3" s="198" customFormat="1" ht="12" customHeight="1">
      <c r="A11" s="248" t="s">
        <v>156</v>
      </c>
      <c r="B11" s="7" t="s">
        <v>266</v>
      </c>
      <c r="C11" s="149">
        <v>4000</v>
      </c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>
        <v>1364</v>
      </c>
    </row>
    <row r="14" spans="1:3" s="198" customFormat="1" ht="12" customHeight="1">
      <c r="A14" s="248" t="s">
        <v>158</v>
      </c>
      <c r="B14" s="7" t="s">
        <v>376</v>
      </c>
      <c r="C14" s="149">
        <v>1610</v>
      </c>
    </row>
    <row r="15" spans="1:3" s="198" customFormat="1" ht="12" customHeight="1">
      <c r="A15" s="248" t="s">
        <v>159</v>
      </c>
      <c r="B15" s="6" t="s">
        <v>377</v>
      </c>
      <c r="C15" s="149">
        <v>2957</v>
      </c>
    </row>
    <row r="16" spans="1:3" s="198" customFormat="1" ht="12" customHeight="1">
      <c r="A16" s="248" t="s">
        <v>169</v>
      </c>
      <c r="B16" s="7" t="s">
        <v>271</v>
      </c>
      <c r="C16" s="188">
        <v>10</v>
      </c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0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/>
    </row>
    <row r="24" spans="1:3" s="256" customFormat="1" ht="12" customHeight="1" thickBot="1">
      <c r="A24" s="248" t="s">
        <v>163</v>
      </c>
      <c r="B24" s="7" t="s">
        <v>3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4</v>
      </c>
      <c r="C26" s="151">
        <f>+C27+C28</f>
        <v>0</v>
      </c>
    </row>
    <row r="27" spans="1:3" s="256" customFormat="1" ht="12" customHeight="1">
      <c r="A27" s="249" t="s">
        <v>251</v>
      </c>
      <c r="B27" s="250" t="s">
        <v>379</v>
      </c>
      <c r="C27" s="36"/>
    </row>
    <row r="28" spans="1:3" s="256" customFormat="1" ht="12" customHeight="1">
      <c r="A28" s="249" t="s">
        <v>254</v>
      </c>
      <c r="B28" s="251" t="s">
        <v>381</v>
      </c>
      <c r="C28" s="152"/>
    </row>
    <row r="29" spans="1:3" s="256" customFormat="1" ht="12" customHeight="1" thickBot="1">
      <c r="A29" s="248" t="s">
        <v>255</v>
      </c>
      <c r="B29" s="69" t="s">
        <v>5</v>
      </c>
      <c r="C29" s="39"/>
    </row>
    <row r="30" spans="1:3" s="256" customFormat="1" ht="12" customHeight="1" thickBot="1">
      <c r="A30" s="93" t="s">
        <v>87</v>
      </c>
      <c r="B30" s="66" t="s">
        <v>382</v>
      </c>
      <c r="C30" s="151">
        <f>+C31+C32+C33</f>
        <v>0</v>
      </c>
    </row>
    <row r="31" spans="1:3" s="256" customFormat="1" ht="12" customHeight="1">
      <c r="A31" s="249" t="s">
        <v>147</v>
      </c>
      <c r="B31" s="250" t="s">
        <v>278</v>
      </c>
      <c r="C31" s="36"/>
    </row>
    <row r="32" spans="1:3" s="256" customFormat="1" ht="12" customHeight="1">
      <c r="A32" s="249" t="s">
        <v>148</v>
      </c>
      <c r="B32" s="251" t="s">
        <v>279</v>
      </c>
      <c r="C32" s="152"/>
    </row>
    <row r="33" spans="1:3" s="256" customFormat="1" ht="12" customHeight="1" thickBot="1">
      <c r="A33" s="248" t="s">
        <v>149</v>
      </c>
      <c r="B33" s="69" t="s">
        <v>280</v>
      </c>
      <c r="C33" s="39"/>
    </row>
    <row r="34" spans="1:3" s="198" customFormat="1" ht="12" customHeight="1" thickBot="1">
      <c r="A34" s="93" t="s">
        <v>88</v>
      </c>
      <c r="B34" s="66" t="s">
        <v>366</v>
      </c>
      <c r="C34" s="178"/>
    </row>
    <row r="35" spans="1:3" s="198" customFormat="1" ht="12" customHeight="1" thickBot="1">
      <c r="A35" s="93" t="s">
        <v>89</v>
      </c>
      <c r="B35" s="66" t="s">
        <v>383</v>
      </c>
      <c r="C35" s="189">
        <v>150</v>
      </c>
    </row>
    <row r="36" spans="1:3" s="198" customFormat="1" ht="12" customHeight="1" thickBot="1">
      <c r="A36" s="90" t="s">
        <v>90</v>
      </c>
      <c r="B36" s="66" t="s">
        <v>6</v>
      </c>
      <c r="C36" s="190">
        <f>+C8+C20+C25+C26+C30+C34+C35</f>
        <v>10691</v>
      </c>
    </row>
    <row r="37" spans="1:3" s="198" customFormat="1" ht="12" customHeight="1" thickBot="1">
      <c r="A37" s="106" t="s">
        <v>91</v>
      </c>
      <c r="B37" s="66" t="s">
        <v>385</v>
      </c>
      <c r="C37" s="190">
        <f>+C38+C39+C40</f>
        <v>46</v>
      </c>
    </row>
    <row r="38" spans="1:3" s="198" customFormat="1" ht="12" customHeight="1">
      <c r="A38" s="249" t="s">
        <v>386</v>
      </c>
      <c r="B38" s="250" t="s">
        <v>231</v>
      </c>
      <c r="C38" s="36">
        <v>46</v>
      </c>
    </row>
    <row r="39" spans="1:3" s="198" customFormat="1" ht="12" customHeight="1">
      <c r="A39" s="249" t="s">
        <v>387</v>
      </c>
      <c r="B39" s="251" t="s">
        <v>74</v>
      </c>
      <c r="C39" s="152"/>
    </row>
    <row r="40" spans="1:3" s="256" customFormat="1" ht="12" customHeight="1" thickBot="1">
      <c r="A40" s="248" t="s">
        <v>388</v>
      </c>
      <c r="B40" s="69" t="s">
        <v>389</v>
      </c>
      <c r="C40" s="39"/>
    </row>
    <row r="41" spans="1:3" s="256" customFormat="1" ht="15" customHeight="1" thickBot="1">
      <c r="A41" s="106" t="s">
        <v>92</v>
      </c>
      <c r="B41" s="107" t="s">
        <v>390</v>
      </c>
      <c r="C41" s="193">
        <f>+C36+C37</f>
        <v>10737</v>
      </c>
    </row>
    <row r="42" spans="1:3" s="256" customFormat="1" ht="15" customHeight="1">
      <c r="A42" s="108"/>
      <c r="B42" s="109"/>
      <c r="C42" s="191"/>
    </row>
    <row r="43" spans="1:3" ht="13.5" thickBot="1">
      <c r="A43" s="110"/>
      <c r="B43" s="111"/>
      <c r="C43" s="192"/>
    </row>
    <row r="44" spans="1:3" s="255" customFormat="1" ht="16.5" customHeight="1" thickBot="1">
      <c r="A44" s="112"/>
      <c r="B44" s="113" t="s">
        <v>121</v>
      </c>
      <c r="C44" s="193"/>
    </row>
    <row r="45" spans="1:3" s="257" customFormat="1" ht="12" customHeight="1" thickBot="1">
      <c r="A45" s="93" t="s">
        <v>83</v>
      </c>
      <c r="B45" s="66" t="s">
        <v>391</v>
      </c>
      <c r="C45" s="151">
        <f>SUM(C46:C50)</f>
        <v>289301</v>
      </c>
    </row>
    <row r="46" spans="1:3" ht="12" customHeight="1">
      <c r="A46" s="248" t="s">
        <v>154</v>
      </c>
      <c r="B46" s="8" t="s">
        <v>112</v>
      </c>
      <c r="C46" s="36">
        <f>165105+242+1639+957+94+49+1297+96+220+48+757+115+2</f>
        <v>170621</v>
      </c>
    </row>
    <row r="47" spans="1:3" ht="12" customHeight="1">
      <c r="A47" s="248" t="s">
        <v>155</v>
      </c>
      <c r="B47" s="7" t="s">
        <v>201</v>
      </c>
      <c r="C47" s="38">
        <f>47111+65+442+258+25+13+350+26+59+13+733+45+21</f>
        <v>49161</v>
      </c>
    </row>
    <row r="48" spans="1:3" ht="12" customHeight="1">
      <c r="A48" s="248" t="s">
        <v>156</v>
      </c>
      <c r="B48" s="7" t="s">
        <v>177</v>
      </c>
      <c r="C48" s="38">
        <f>69542-23</f>
        <v>69519</v>
      </c>
    </row>
    <row r="49" spans="1:3" ht="12" customHeight="1">
      <c r="A49" s="248" t="s">
        <v>157</v>
      </c>
      <c r="B49" s="7" t="s">
        <v>202</v>
      </c>
      <c r="C49" s="38"/>
    </row>
    <row r="50" spans="1:3" ht="12" customHeight="1" thickBot="1">
      <c r="A50" s="248" t="s">
        <v>178</v>
      </c>
      <c r="B50" s="7" t="s">
        <v>203</v>
      </c>
      <c r="C50" s="38"/>
    </row>
    <row r="51" spans="1:3" ht="12" customHeight="1" thickBot="1">
      <c r="A51" s="93" t="s">
        <v>84</v>
      </c>
      <c r="B51" s="66" t="s">
        <v>392</v>
      </c>
      <c r="C51" s="151">
        <f>SUM(C52:C54)</f>
        <v>2484</v>
      </c>
    </row>
    <row r="52" spans="1:3" s="257" customFormat="1" ht="12" customHeight="1">
      <c r="A52" s="248" t="s">
        <v>160</v>
      </c>
      <c r="B52" s="8" t="s">
        <v>221</v>
      </c>
      <c r="C52" s="36">
        <f>2220+30+6+78+150</f>
        <v>2484</v>
      </c>
    </row>
    <row r="53" spans="1:3" ht="12" customHeight="1">
      <c r="A53" s="248" t="s">
        <v>161</v>
      </c>
      <c r="B53" s="7" t="s">
        <v>205</v>
      </c>
      <c r="C53" s="38"/>
    </row>
    <row r="54" spans="1:3" ht="12" customHeight="1">
      <c r="A54" s="248" t="s">
        <v>162</v>
      </c>
      <c r="B54" s="7" t="s">
        <v>122</v>
      </c>
      <c r="C54" s="38"/>
    </row>
    <row r="55" spans="1:3" ht="12" customHeight="1" thickBot="1">
      <c r="A55" s="248" t="s">
        <v>163</v>
      </c>
      <c r="B55" s="7" t="s">
        <v>590</v>
      </c>
      <c r="C55" s="38"/>
    </row>
    <row r="56" spans="1:3" ht="15" customHeight="1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291785</v>
      </c>
    </row>
    <row r="58" ht="15" customHeight="1" thickBot="1">
      <c r="C58" s="195"/>
    </row>
    <row r="59" spans="1:3" ht="14.25" customHeight="1" thickBot="1">
      <c r="A59" s="117" t="s">
        <v>583</v>
      </c>
      <c r="B59" s="118"/>
      <c r="C59" s="65">
        <v>57</v>
      </c>
    </row>
    <row r="60" spans="1:3" ht="13.5" thickBot="1">
      <c r="A60" s="117" t="s">
        <v>216</v>
      </c>
      <c r="B60" s="118"/>
      <c r="C60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5/2017.(II.20.)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F42" sqref="F42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 t="e">
        <f>+CONCATENATE("9.3. melléklet a ……/",LEFT(#REF!,4),". (….) önkormányzati rendelethez")</f>
        <v>#REF!</v>
      </c>
    </row>
    <row r="2" spans="1:3" s="253" customFormat="1" ht="36" customHeight="1">
      <c r="A2" s="208" t="s">
        <v>214</v>
      </c>
      <c r="B2" s="182" t="s">
        <v>7</v>
      </c>
      <c r="C2" s="196" t="s">
        <v>125</v>
      </c>
    </row>
    <row r="3" spans="1:3" s="253" customFormat="1" ht="24.75" thickBot="1">
      <c r="A3" s="246" t="s">
        <v>213</v>
      </c>
      <c r="B3" s="183" t="s">
        <v>375</v>
      </c>
      <c r="C3" s="197" t="s">
        <v>116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165142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f>28609+360</f>
        <v>28969</v>
      </c>
    </row>
    <row r="11" spans="1:3" s="198" customFormat="1" ht="12" customHeight="1">
      <c r="A11" s="248" t="s">
        <v>156</v>
      </c>
      <c r="B11" s="7" t="s">
        <v>266</v>
      </c>
      <c r="C11" s="551">
        <f>71073+4354</f>
        <v>75427</v>
      </c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>
        <v>20243</v>
      </c>
    </row>
    <row r="14" spans="1:3" s="198" customFormat="1" ht="12" customHeight="1">
      <c r="A14" s="248" t="s">
        <v>158</v>
      </c>
      <c r="B14" s="7" t="s">
        <v>376</v>
      </c>
      <c r="C14" s="551">
        <f>24656+1176</f>
        <v>25832</v>
      </c>
    </row>
    <row r="15" spans="1:3" s="198" customFormat="1" ht="12" customHeight="1">
      <c r="A15" s="248" t="s">
        <v>159</v>
      </c>
      <c r="B15" s="6" t="s">
        <v>377</v>
      </c>
      <c r="C15" s="149">
        <v>14671</v>
      </c>
    </row>
    <row r="16" spans="1:3" s="198" customFormat="1" ht="12" customHeight="1">
      <c r="A16" s="248" t="s">
        <v>169</v>
      </c>
      <c r="B16" s="7" t="s">
        <v>271</v>
      </c>
      <c r="C16" s="188"/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0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/>
    </row>
    <row r="24" spans="1:3" s="256" customFormat="1" ht="12" customHeight="1" thickBot="1">
      <c r="A24" s="248" t="s">
        <v>163</v>
      </c>
      <c r="B24" s="7" t="s">
        <v>3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4</v>
      </c>
      <c r="C26" s="151">
        <f>+C27+C28</f>
        <v>0</v>
      </c>
    </row>
    <row r="27" spans="1:3" s="256" customFormat="1" ht="12" customHeight="1">
      <c r="A27" s="249" t="s">
        <v>251</v>
      </c>
      <c r="B27" s="250" t="s">
        <v>379</v>
      </c>
      <c r="C27" s="36"/>
    </row>
    <row r="28" spans="1:3" s="256" customFormat="1" ht="12" customHeight="1">
      <c r="A28" s="249" t="s">
        <v>254</v>
      </c>
      <c r="B28" s="251" t="s">
        <v>381</v>
      </c>
      <c r="C28" s="152"/>
    </row>
    <row r="29" spans="1:3" s="256" customFormat="1" ht="12" customHeight="1" thickBot="1">
      <c r="A29" s="248" t="s">
        <v>255</v>
      </c>
      <c r="B29" s="69" t="s">
        <v>5</v>
      </c>
      <c r="C29" s="39"/>
    </row>
    <row r="30" spans="1:3" s="256" customFormat="1" ht="12" customHeight="1" thickBot="1">
      <c r="A30" s="93" t="s">
        <v>87</v>
      </c>
      <c r="B30" s="66" t="s">
        <v>382</v>
      </c>
      <c r="C30" s="151">
        <f>+C31+C32+C33</f>
        <v>0</v>
      </c>
    </row>
    <row r="31" spans="1:3" s="256" customFormat="1" ht="12" customHeight="1">
      <c r="A31" s="249" t="s">
        <v>147</v>
      </c>
      <c r="B31" s="250" t="s">
        <v>278</v>
      </c>
      <c r="C31" s="36"/>
    </row>
    <row r="32" spans="1:3" s="256" customFormat="1" ht="12" customHeight="1">
      <c r="A32" s="249" t="s">
        <v>148</v>
      </c>
      <c r="B32" s="251" t="s">
        <v>279</v>
      </c>
      <c r="C32" s="152"/>
    </row>
    <row r="33" spans="1:3" s="256" customFormat="1" ht="12" customHeight="1" thickBot="1">
      <c r="A33" s="248" t="s">
        <v>149</v>
      </c>
      <c r="B33" s="69" t="s">
        <v>280</v>
      </c>
      <c r="C33" s="39"/>
    </row>
    <row r="34" spans="1:3" s="198" customFormat="1" ht="12" customHeight="1" thickBot="1">
      <c r="A34" s="93" t="s">
        <v>88</v>
      </c>
      <c r="B34" s="66" t="s">
        <v>366</v>
      </c>
      <c r="C34" s="178"/>
    </row>
    <row r="35" spans="1:3" s="198" customFormat="1" ht="12" customHeight="1" thickBot="1">
      <c r="A35" s="93" t="s">
        <v>89</v>
      </c>
      <c r="B35" s="66" t="s">
        <v>383</v>
      </c>
      <c r="C35" s="189"/>
    </row>
    <row r="36" spans="1:3" s="198" customFormat="1" ht="12" customHeight="1" thickBot="1">
      <c r="A36" s="90" t="s">
        <v>90</v>
      </c>
      <c r="B36" s="66" t="s">
        <v>6</v>
      </c>
      <c r="C36" s="190">
        <f>+C8+C20+C25+C26+C30+C34+C35</f>
        <v>165142</v>
      </c>
    </row>
    <row r="37" spans="1:3" s="198" customFormat="1" ht="12" customHeight="1" thickBot="1">
      <c r="A37" s="106" t="s">
        <v>91</v>
      </c>
      <c r="B37" s="66" t="s">
        <v>385</v>
      </c>
      <c r="C37" s="190">
        <f>+C38+C39+C40</f>
        <v>2794</v>
      </c>
    </row>
    <row r="38" spans="1:3" s="198" customFormat="1" ht="12" customHeight="1">
      <c r="A38" s="249" t="s">
        <v>386</v>
      </c>
      <c r="B38" s="250" t="s">
        <v>231</v>
      </c>
      <c r="C38" s="36">
        <v>2794</v>
      </c>
    </row>
    <row r="39" spans="1:3" s="198" customFormat="1" ht="12" customHeight="1">
      <c r="A39" s="249" t="s">
        <v>387</v>
      </c>
      <c r="B39" s="251" t="s">
        <v>74</v>
      </c>
      <c r="C39" s="152"/>
    </row>
    <row r="40" spans="1:3" s="256" customFormat="1" ht="12" customHeight="1" thickBot="1">
      <c r="A40" s="248" t="s">
        <v>388</v>
      </c>
      <c r="B40" s="69" t="s">
        <v>389</v>
      </c>
      <c r="C40" s="39"/>
    </row>
    <row r="41" spans="1:3" s="256" customFormat="1" ht="15" customHeight="1" thickBot="1">
      <c r="A41" s="106" t="s">
        <v>92</v>
      </c>
      <c r="B41" s="107" t="s">
        <v>390</v>
      </c>
      <c r="C41" s="193">
        <f>+C36+C37</f>
        <v>167936</v>
      </c>
    </row>
    <row r="42" spans="1:3" s="256" customFormat="1" ht="15" customHeight="1">
      <c r="A42" s="108"/>
      <c r="B42" s="109"/>
      <c r="C42" s="191"/>
    </row>
    <row r="43" spans="1:3" ht="13.5" thickBot="1">
      <c r="A43" s="110"/>
      <c r="B43" s="111"/>
      <c r="C43" s="192"/>
    </row>
    <row r="44" spans="1:3" s="255" customFormat="1" ht="16.5" customHeight="1" thickBot="1">
      <c r="A44" s="112"/>
      <c r="B44" s="113" t="s">
        <v>121</v>
      </c>
      <c r="C44" s="193"/>
    </row>
    <row r="45" spans="1:3" s="257" customFormat="1" ht="12" customHeight="1" thickBot="1">
      <c r="A45" s="93" t="s">
        <v>83</v>
      </c>
      <c r="B45" s="66" t="s">
        <v>391</v>
      </c>
      <c r="C45" s="151">
        <f>SUM(C46:C50)</f>
        <v>342592</v>
      </c>
    </row>
    <row r="46" spans="1:3" ht="12" customHeight="1">
      <c r="A46" s="248" t="s">
        <v>154</v>
      </c>
      <c r="B46" s="8" t="s">
        <v>112</v>
      </c>
      <c r="C46" s="36">
        <f>60404+129+403+93+93+175+222+169+76+228</f>
        <v>61992</v>
      </c>
    </row>
    <row r="47" spans="1:3" ht="12" customHeight="1">
      <c r="A47" s="248" t="s">
        <v>155</v>
      </c>
      <c r="B47" s="7" t="s">
        <v>201</v>
      </c>
      <c r="C47" s="38">
        <f>18259+103+25+25+47+60+46+21+63</f>
        <v>18649</v>
      </c>
    </row>
    <row r="48" spans="1:3" ht="12" customHeight="1">
      <c r="A48" s="248" t="s">
        <v>156</v>
      </c>
      <c r="B48" s="7" t="s">
        <v>177</v>
      </c>
      <c r="C48" s="550">
        <f>259786-3344-21+5530</f>
        <v>261951</v>
      </c>
    </row>
    <row r="49" spans="1:3" ht="12" customHeight="1">
      <c r="A49" s="248" t="s">
        <v>157</v>
      </c>
      <c r="B49" s="7" t="s">
        <v>202</v>
      </c>
      <c r="C49" s="38"/>
    </row>
    <row r="50" spans="1:3" ht="12" customHeight="1" thickBot="1">
      <c r="A50" s="248" t="s">
        <v>178</v>
      </c>
      <c r="B50" s="7" t="s">
        <v>203</v>
      </c>
      <c r="C50" s="38"/>
    </row>
    <row r="51" spans="1:3" ht="12" customHeight="1" thickBot="1">
      <c r="A51" s="93" t="s">
        <v>84</v>
      </c>
      <c r="B51" s="66" t="s">
        <v>392</v>
      </c>
      <c r="C51" s="151">
        <f>SUM(C52:C54)</f>
        <v>2940</v>
      </c>
    </row>
    <row r="52" spans="1:3" s="257" customFormat="1" ht="12" customHeight="1">
      <c r="A52" s="248" t="s">
        <v>160</v>
      </c>
      <c r="B52" s="8" t="s">
        <v>221</v>
      </c>
      <c r="C52" s="36">
        <f>1460+571+84+110+283+30+31+21</f>
        <v>2590</v>
      </c>
    </row>
    <row r="53" spans="1:3" ht="12" customHeight="1">
      <c r="A53" s="248" t="s">
        <v>161</v>
      </c>
      <c r="B53" s="7" t="s">
        <v>205</v>
      </c>
      <c r="C53" s="38">
        <v>350</v>
      </c>
    </row>
    <row r="54" spans="1:3" ht="12" customHeight="1">
      <c r="A54" s="248" t="s">
        <v>162</v>
      </c>
      <c r="B54" s="7" t="s">
        <v>122</v>
      </c>
      <c r="C54" s="38"/>
    </row>
    <row r="55" spans="1:3" ht="12" customHeight="1" thickBot="1">
      <c r="A55" s="248" t="s">
        <v>163</v>
      </c>
      <c r="B55" s="7" t="s">
        <v>590</v>
      </c>
      <c r="C55" s="38"/>
    </row>
    <row r="56" spans="1:3" ht="15" customHeight="1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345532</v>
      </c>
    </row>
    <row r="58" ht="15" customHeight="1" thickBot="1">
      <c r="C58" s="195"/>
    </row>
    <row r="59" spans="1:3" ht="14.25" customHeight="1" thickBot="1">
      <c r="A59" s="117" t="s">
        <v>583</v>
      </c>
      <c r="B59" s="118"/>
      <c r="C59" s="65">
        <v>40</v>
      </c>
    </row>
    <row r="60" spans="1:3" ht="13.5" thickBot="1">
      <c r="A60" s="117" t="s">
        <v>216</v>
      </c>
      <c r="B60" s="118"/>
      <c r="C60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 melléklet a 5/2017.(II.20.)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B62" sqref="B62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 t="e">
        <f>+CONCATENATE("9.3.1. melléklet a ……/",LEFT(#REF!,4),". (….) önkormányzati rendelethez")</f>
        <v>#REF!</v>
      </c>
    </row>
    <row r="2" spans="1:3" s="253" customFormat="1" ht="34.5" customHeight="1">
      <c r="A2" s="208" t="s">
        <v>214</v>
      </c>
      <c r="B2" s="182" t="s">
        <v>7</v>
      </c>
      <c r="C2" s="196" t="s">
        <v>125</v>
      </c>
    </row>
    <row r="3" spans="1:3" s="253" customFormat="1" ht="24.75" thickBot="1">
      <c r="A3" s="246" t="s">
        <v>213</v>
      </c>
      <c r="B3" s="183" t="s">
        <v>393</v>
      </c>
      <c r="C3" s="197" t="s">
        <v>124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150408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f>13900+360</f>
        <v>14260</v>
      </c>
    </row>
    <row r="11" spans="1:3" s="198" customFormat="1" ht="12" customHeight="1">
      <c r="A11" s="248" t="s">
        <v>156</v>
      </c>
      <c r="B11" s="7" t="s">
        <v>266</v>
      </c>
      <c r="C11" s="551">
        <f>71073+4354-20</f>
        <v>75407</v>
      </c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>
        <v>20243</v>
      </c>
    </row>
    <row r="14" spans="1:3" s="198" customFormat="1" ht="12" customHeight="1">
      <c r="A14" s="248" t="s">
        <v>158</v>
      </c>
      <c r="B14" s="7" t="s">
        <v>376</v>
      </c>
      <c r="C14" s="551">
        <f>24656+1176-5</f>
        <v>25827</v>
      </c>
    </row>
    <row r="15" spans="1:3" s="198" customFormat="1" ht="12" customHeight="1">
      <c r="A15" s="248" t="s">
        <v>159</v>
      </c>
      <c r="B15" s="6" t="s">
        <v>377</v>
      </c>
      <c r="C15" s="149">
        <v>14671</v>
      </c>
    </row>
    <row r="16" spans="1:3" s="198" customFormat="1" ht="12" customHeight="1">
      <c r="A16" s="248" t="s">
        <v>169</v>
      </c>
      <c r="B16" s="7" t="s">
        <v>271</v>
      </c>
      <c r="C16" s="188"/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0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/>
    </row>
    <row r="24" spans="1:3" s="256" customFormat="1" ht="12" customHeight="1" thickBot="1">
      <c r="A24" s="248" t="s">
        <v>163</v>
      </c>
      <c r="B24" s="7" t="s">
        <v>3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4</v>
      </c>
      <c r="C26" s="151">
        <f>+C27+C28</f>
        <v>0</v>
      </c>
    </row>
    <row r="27" spans="1:3" s="256" customFormat="1" ht="12" customHeight="1">
      <c r="A27" s="249" t="s">
        <v>251</v>
      </c>
      <c r="B27" s="250" t="s">
        <v>379</v>
      </c>
      <c r="C27" s="36"/>
    </row>
    <row r="28" spans="1:3" s="256" customFormat="1" ht="12" customHeight="1">
      <c r="A28" s="249" t="s">
        <v>254</v>
      </c>
      <c r="B28" s="251" t="s">
        <v>381</v>
      </c>
      <c r="C28" s="152"/>
    </row>
    <row r="29" spans="1:3" s="256" customFormat="1" ht="12" customHeight="1" thickBot="1">
      <c r="A29" s="248" t="s">
        <v>255</v>
      </c>
      <c r="B29" s="69" t="s">
        <v>5</v>
      </c>
      <c r="C29" s="39"/>
    </row>
    <row r="30" spans="1:3" s="256" customFormat="1" ht="12" customHeight="1" thickBot="1">
      <c r="A30" s="93" t="s">
        <v>87</v>
      </c>
      <c r="B30" s="66" t="s">
        <v>382</v>
      </c>
      <c r="C30" s="151">
        <f>+C31+C32+C33</f>
        <v>0</v>
      </c>
    </row>
    <row r="31" spans="1:3" s="256" customFormat="1" ht="12" customHeight="1">
      <c r="A31" s="249" t="s">
        <v>147</v>
      </c>
      <c r="B31" s="250" t="s">
        <v>278</v>
      </c>
      <c r="C31" s="36"/>
    </row>
    <row r="32" spans="1:3" s="256" customFormat="1" ht="12" customHeight="1">
      <c r="A32" s="249" t="s">
        <v>148</v>
      </c>
      <c r="B32" s="251" t="s">
        <v>279</v>
      </c>
      <c r="C32" s="152"/>
    </row>
    <row r="33" spans="1:3" s="256" customFormat="1" ht="12" customHeight="1" thickBot="1">
      <c r="A33" s="248" t="s">
        <v>149</v>
      </c>
      <c r="B33" s="69" t="s">
        <v>280</v>
      </c>
      <c r="C33" s="39"/>
    </row>
    <row r="34" spans="1:3" s="198" customFormat="1" ht="12" customHeight="1" thickBot="1">
      <c r="A34" s="93" t="s">
        <v>88</v>
      </c>
      <c r="B34" s="66" t="s">
        <v>366</v>
      </c>
      <c r="C34" s="178"/>
    </row>
    <row r="35" spans="1:3" s="198" customFormat="1" ht="12" customHeight="1" thickBot="1">
      <c r="A35" s="93" t="s">
        <v>89</v>
      </c>
      <c r="B35" s="66" t="s">
        <v>383</v>
      </c>
      <c r="C35" s="189"/>
    </row>
    <row r="36" spans="1:3" s="198" customFormat="1" ht="12" customHeight="1" thickBot="1">
      <c r="A36" s="90" t="s">
        <v>90</v>
      </c>
      <c r="B36" s="66" t="s">
        <v>6</v>
      </c>
      <c r="C36" s="190">
        <f>+C8+C20+C25+C26+C30+C34+C35</f>
        <v>150408</v>
      </c>
    </row>
    <row r="37" spans="1:3" s="198" customFormat="1" ht="12" customHeight="1" thickBot="1">
      <c r="A37" s="106" t="s">
        <v>91</v>
      </c>
      <c r="B37" s="66" t="s">
        <v>385</v>
      </c>
      <c r="C37" s="190">
        <f>+C38+C39+C40</f>
        <v>2794</v>
      </c>
    </row>
    <row r="38" spans="1:3" s="198" customFormat="1" ht="12" customHeight="1">
      <c r="A38" s="249" t="s">
        <v>386</v>
      </c>
      <c r="B38" s="250" t="s">
        <v>231</v>
      </c>
      <c r="C38" s="36">
        <v>2794</v>
      </c>
    </row>
    <row r="39" spans="1:3" s="198" customFormat="1" ht="12" customHeight="1">
      <c r="A39" s="249" t="s">
        <v>387</v>
      </c>
      <c r="B39" s="251" t="s">
        <v>74</v>
      </c>
      <c r="C39" s="152"/>
    </row>
    <row r="40" spans="1:3" s="256" customFormat="1" ht="12" customHeight="1" thickBot="1">
      <c r="A40" s="248" t="s">
        <v>388</v>
      </c>
      <c r="B40" s="69" t="s">
        <v>389</v>
      </c>
      <c r="C40" s="39"/>
    </row>
    <row r="41" spans="1:3" s="256" customFormat="1" ht="15" customHeight="1" thickBot="1">
      <c r="A41" s="106" t="s">
        <v>92</v>
      </c>
      <c r="B41" s="107" t="s">
        <v>390</v>
      </c>
      <c r="C41" s="193">
        <f>+C36+C37</f>
        <v>153202</v>
      </c>
    </row>
    <row r="42" spans="1:3" s="256" customFormat="1" ht="15" customHeight="1">
      <c r="A42" s="108"/>
      <c r="B42" s="109"/>
      <c r="C42" s="191"/>
    </row>
    <row r="43" spans="1:3" ht="13.5" thickBot="1">
      <c r="A43" s="110"/>
      <c r="B43" s="111"/>
      <c r="C43" s="192"/>
    </row>
    <row r="44" spans="1:3" s="255" customFormat="1" ht="16.5" customHeight="1" thickBot="1">
      <c r="A44" s="112"/>
      <c r="B44" s="113" t="s">
        <v>121</v>
      </c>
      <c r="C44" s="193"/>
    </row>
    <row r="45" spans="1:3" s="257" customFormat="1" ht="12" customHeight="1" thickBot="1">
      <c r="A45" s="93" t="s">
        <v>83</v>
      </c>
      <c r="B45" s="66" t="s">
        <v>391</v>
      </c>
      <c r="C45" s="151">
        <f>SUM(C46:C50)</f>
        <v>318790</v>
      </c>
    </row>
    <row r="46" spans="1:3" ht="12" customHeight="1">
      <c r="A46" s="248" t="s">
        <v>154</v>
      </c>
      <c r="B46" s="8" t="s">
        <v>112</v>
      </c>
      <c r="C46" s="36">
        <f>54954+175+222+169+76+228+600</f>
        <v>56424</v>
      </c>
    </row>
    <row r="47" spans="1:3" ht="12" customHeight="1">
      <c r="A47" s="248" t="s">
        <v>155</v>
      </c>
      <c r="B47" s="7" t="s">
        <v>201</v>
      </c>
      <c r="C47" s="38">
        <f>16699+47+60+46+21+162+63</f>
        <v>17098</v>
      </c>
    </row>
    <row r="48" spans="1:3" ht="12" customHeight="1">
      <c r="A48" s="248" t="s">
        <v>156</v>
      </c>
      <c r="B48" s="7" t="s">
        <v>177</v>
      </c>
      <c r="C48" s="550">
        <f>243103-3344-21+5530</f>
        <v>245268</v>
      </c>
    </row>
    <row r="49" spans="1:3" ht="12" customHeight="1">
      <c r="A49" s="248" t="s">
        <v>157</v>
      </c>
      <c r="B49" s="7" t="s">
        <v>202</v>
      </c>
      <c r="C49" s="38"/>
    </row>
    <row r="50" spans="1:3" ht="12" customHeight="1" thickBot="1">
      <c r="A50" s="248" t="s">
        <v>178</v>
      </c>
      <c r="B50" s="7" t="s">
        <v>203</v>
      </c>
      <c r="C50" s="38"/>
    </row>
    <row r="51" spans="1:3" ht="12" customHeight="1" thickBot="1">
      <c r="A51" s="93" t="s">
        <v>84</v>
      </c>
      <c r="B51" s="66" t="s">
        <v>392</v>
      </c>
      <c r="C51" s="151">
        <f>SUM(C52:C54)</f>
        <v>1866</v>
      </c>
    </row>
    <row r="52" spans="1:3" s="257" customFormat="1" ht="12" customHeight="1">
      <c r="A52" s="248" t="s">
        <v>160</v>
      </c>
      <c r="B52" s="8" t="s">
        <v>221</v>
      </c>
      <c r="C52" s="36">
        <f>1952-518+30+31+21</f>
        <v>1516</v>
      </c>
    </row>
    <row r="53" spans="1:3" ht="12" customHeight="1">
      <c r="A53" s="248" t="s">
        <v>161</v>
      </c>
      <c r="B53" s="7" t="s">
        <v>205</v>
      </c>
      <c r="C53" s="38">
        <v>350</v>
      </c>
    </row>
    <row r="54" spans="1:3" ht="12" customHeight="1">
      <c r="A54" s="248" t="s">
        <v>162</v>
      </c>
      <c r="B54" s="7" t="s">
        <v>122</v>
      </c>
      <c r="C54" s="38"/>
    </row>
    <row r="55" spans="1:3" ht="12" customHeight="1" thickBot="1">
      <c r="A55" s="248" t="s">
        <v>163</v>
      </c>
      <c r="B55" s="7" t="s">
        <v>590</v>
      </c>
      <c r="C55" s="38"/>
    </row>
    <row r="56" spans="1:3" ht="15" customHeight="1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320656</v>
      </c>
    </row>
    <row r="58" ht="15" customHeight="1" thickBot="1">
      <c r="C58" s="195"/>
    </row>
    <row r="59" spans="1:3" ht="14.25" customHeight="1" thickBot="1">
      <c r="A59" s="117" t="s">
        <v>583</v>
      </c>
      <c r="B59" s="118"/>
      <c r="C59" s="456">
        <v>35.5</v>
      </c>
    </row>
    <row r="60" spans="1:3" ht="13.5" thickBot="1">
      <c r="A60" s="117" t="s">
        <v>216</v>
      </c>
      <c r="B60" s="118"/>
      <c r="C60" s="6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 melléklet a 5/2017.(II.20.)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7">
      <selection activeCell="C65" sqref="C65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 t="e">
        <f>+CONCATENATE("9.3. melléklet a ……/",LEFT(#REF!,4),". (….) önkormányzati rendelethez")</f>
        <v>#REF!</v>
      </c>
    </row>
    <row r="2" spans="1:3" s="253" customFormat="1" ht="33.75" customHeight="1">
      <c r="A2" s="208" t="s">
        <v>214</v>
      </c>
      <c r="B2" s="182" t="s">
        <v>48</v>
      </c>
      <c r="C2" s="196" t="s">
        <v>125</v>
      </c>
    </row>
    <row r="3" spans="1:3" s="253" customFormat="1" ht="24.75" thickBot="1">
      <c r="A3" s="246" t="s">
        <v>213</v>
      </c>
      <c r="B3" s="183" t="s">
        <v>375</v>
      </c>
      <c r="C3" s="197" t="s">
        <v>116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200065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f>24355+704</f>
        <v>25059</v>
      </c>
    </row>
    <row r="11" spans="1:3" s="198" customFormat="1" ht="12" customHeight="1">
      <c r="A11" s="248" t="s">
        <v>156</v>
      </c>
      <c r="B11" s="7" t="s">
        <v>266</v>
      </c>
      <c r="C11" s="149">
        <v>10560</v>
      </c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>
        <f>151749+7000</f>
        <v>158749</v>
      </c>
    </row>
    <row r="14" spans="1:3" s="198" customFormat="1" ht="12" customHeight="1">
      <c r="A14" s="248" t="s">
        <v>158</v>
      </c>
      <c r="B14" s="7" t="s">
        <v>376</v>
      </c>
      <c r="C14" s="149">
        <v>5697</v>
      </c>
    </row>
    <row r="15" spans="1:3" s="198" customFormat="1" ht="12" customHeight="1">
      <c r="A15" s="248" t="s">
        <v>159</v>
      </c>
      <c r="B15" s="6" t="s">
        <v>377</v>
      </c>
      <c r="C15" s="149"/>
    </row>
    <row r="16" spans="1:3" s="198" customFormat="1" ht="12" customHeight="1">
      <c r="A16" s="248" t="s">
        <v>169</v>
      </c>
      <c r="B16" s="7" t="s">
        <v>271</v>
      </c>
      <c r="C16" s="188"/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13206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>
        <f>6996+2330-683+82+2847+1634</f>
        <v>13206</v>
      </c>
    </row>
    <row r="24" spans="1:3" s="256" customFormat="1" ht="12" customHeight="1" thickBot="1">
      <c r="A24" s="248" t="s">
        <v>163</v>
      </c>
      <c r="B24" s="7" t="s">
        <v>3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4</v>
      </c>
      <c r="C26" s="151">
        <f>+C27+C28</f>
        <v>0</v>
      </c>
    </row>
    <row r="27" spans="1:3" s="256" customFormat="1" ht="12" customHeight="1">
      <c r="A27" s="249" t="s">
        <v>251</v>
      </c>
      <c r="B27" s="250" t="s">
        <v>379</v>
      </c>
      <c r="C27" s="36"/>
    </row>
    <row r="28" spans="1:3" s="256" customFormat="1" ht="12" customHeight="1">
      <c r="A28" s="249" t="s">
        <v>254</v>
      </c>
      <c r="B28" s="251" t="s">
        <v>381</v>
      </c>
      <c r="C28" s="152"/>
    </row>
    <row r="29" spans="1:3" s="256" customFormat="1" ht="12" customHeight="1" thickBot="1">
      <c r="A29" s="248" t="s">
        <v>255</v>
      </c>
      <c r="B29" s="69" t="s">
        <v>5</v>
      </c>
      <c r="C29" s="39"/>
    </row>
    <row r="30" spans="1:3" s="256" customFormat="1" ht="12" customHeight="1" thickBot="1">
      <c r="A30" s="93" t="s">
        <v>87</v>
      </c>
      <c r="B30" s="66" t="s">
        <v>382</v>
      </c>
      <c r="C30" s="151">
        <f>+C31+C32+C33</f>
        <v>710</v>
      </c>
    </row>
    <row r="31" spans="1:3" s="256" customFormat="1" ht="12" customHeight="1">
      <c r="A31" s="249" t="s">
        <v>147</v>
      </c>
      <c r="B31" s="250" t="s">
        <v>278</v>
      </c>
      <c r="C31" s="36"/>
    </row>
    <row r="32" spans="1:3" s="256" customFormat="1" ht="12" customHeight="1">
      <c r="A32" s="249" t="s">
        <v>148</v>
      </c>
      <c r="B32" s="251" t="s">
        <v>279</v>
      </c>
      <c r="C32" s="152">
        <v>500</v>
      </c>
    </row>
    <row r="33" spans="1:3" s="256" customFormat="1" ht="12" customHeight="1" thickBot="1">
      <c r="A33" s="248" t="s">
        <v>149</v>
      </c>
      <c r="B33" s="69" t="s">
        <v>280</v>
      </c>
      <c r="C33" s="39">
        <v>210</v>
      </c>
    </row>
    <row r="34" spans="1:3" s="198" customFormat="1" ht="12" customHeight="1" thickBot="1">
      <c r="A34" s="93" t="s">
        <v>88</v>
      </c>
      <c r="B34" s="66" t="s">
        <v>366</v>
      </c>
      <c r="C34" s="178"/>
    </row>
    <row r="35" spans="1:3" s="198" customFormat="1" ht="12" customHeight="1" thickBot="1">
      <c r="A35" s="93" t="s">
        <v>89</v>
      </c>
      <c r="B35" s="66" t="s">
        <v>383</v>
      </c>
      <c r="C35" s="189">
        <v>960</v>
      </c>
    </row>
    <row r="36" spans="1:3" s="198" customFormat="1" ht="12" customHeight="1" thickBot="1">
      <c r="A36" s="90" t="s">
        <v>90</v>
      </c>
      <c r="B36" s="66" t="s">
        <v>6</v>
      </c>
      <c r="C36" s="190">
        <f>+C8+C20+C25+C26+C30+C34+C35</f>
        <v>214941</v>
      </c>
    </row>
    <row r="37" spans="1:3" s="198" customFormat="1" ht="12" customHeight="1" thickBot="1">
      <c r="A37" s="106" t="s">
        <v>91</v>
      </c>
      <c r="B37" s="66" t="s">
        <v>385</v>
      </c>
      <c r="C37" s="190">
        <f>+C38+C39+C40</f>
        <v>3938</v>
      </c>
    </row>
    <row r="38" spans="1:3" s="198" customFormat="1" ht="12" customHeight="1">
      <c r="A38" s="249" t="s">
        <v>386</v>
      </c>
      <c r="B38" s="250" t="s">
        <v>231</v>
      </c>
      <c r="C38" s="36">
        <v>3938</v>
      </c>
    </row>
    <row r="39" spans="1:3" s="198" customFormat="1" ht="12" customHeight="1">
      <c r="A39" s="249" t="s">
        <v>387</v>
      </c>
      <c r="B39" s="251" t="s">
        <v>74</v>
      </c>
      <c r="C39" s="152"/>
    </row>
    <row r="40" spans="1:3" s="256" customFormat="1" ht="12" customHeight="1" thickBot="1">
      <c r="A40" s="248" t="s">
        <v>388</v>
      </c>
      <c r="B40" s="69" t="s">
        <v>389</v>
      </c>
      <c r="C40" s="39"/>
    </row>
    <row r="41" spans="1:3" s="256" customFormat="1" ht="15" customHeight="1" thickBot="1">
      <c r="A41" s="106" t="s">
        <v>92</v>
      </c>
      <c r="B41" s="107" t="s">
        <v>390</v>
      </c>
      <c r="C41" s="193">
        <f>+C36+C37</f>
        <v>218879</v>
      </c>
    </row>
    <row r="42" spans="1:3" s="256" customFormat="1" ht="15" customHeight="1">
      <c r="A42" s="108"/>
      <c r="B42" s="109"/>
      <c r="C42" s="191"/>
    </row>
    <row r="43" spans="1:3" ht="13.5" thickBot="1">
      <c r="A43" s="110"/>
      <c r="B43" s="111"/>
      <c r="C43" s="192"/>
    </row>
    <row r="44" spans="1:3" s="255" customFormat="1" ht="16.5" customHeight="1" thickBot="1">
      <c r="A44" s="112"/>
      <c r="B44" s="113" t="s">
        <v>121</v>
      </c>
      <c r="C44" s="193"/>
    </row>
    <row r="45" spans="1:3" s="257" customFormat="1" ht="12" customHeight="1" thickBot="1">
      <c r="A45" s="93" t="s">
        <v>83</v>
      </c>
      <c r="B45" s="66" t="s">
        <v>391</v>
      </c>
      <c r="C45" s="151">
        <f>SUM(C46:C50)</f>
        <v>592113</v>
      </c>
    </row>
    <row r="46" spans="1:3" ht="12" customHeight="1">
      <c r="A46" s="248" t="s">
        <v>154</v>
      </c>
      <c r="B46" s="8" t="s">
        <v>112</v>
      </c>
      <c r="C46" s="36">
        <f>265923+7609+993+722+2942+300+523+210+357+1556+3544+1835+65+258+928+2431+3132+361+1224+1618+1625+9986+454+376-765</f>
        <v>308207</v>
      </c>
    </row>
    <row r="47" spans="1:3" ht="12" customHeight="1">
      <c r="A47" s="248" t="s">
        <v>155</v>
      </c>
      <c r="B47" s="7" t="s">
        <v>201</v>
      </c>
      <c r="C47" s="38">
        <f>74383+2054+268+195+794+81+141+57+96+420+957+495+17+70+251+656+846+98+330+437+440+2395-454-376-250</f>
        <v>84401</v>
      </c>
    </row>
    <row r="48" spans="1:3" ht="12" customHeight="1">
      <c r="A48" s="248" t="s">
        <v>156</v>
      </c>
      <c r="B48" s="7" t="s">
        <v>177</v>
      </c>
      <c r="C48" s="38">
        <f>198490+1015</f>
        <v>199505</v>
      </c>
    </row>
    <row r="49" spans="1:3" ht="12" customHeight="1">
      <c r="A49" s="248" t="s">
        <v>157</v>
      </c>
      <c r="B49" s="7" t="s">
        <v>202</v>
      </c>
      <c r="C49" s="38"/>
    </row>
    <row r="50" spans="1:3" ht="12" customHeight="1" thickBot="1">
      <c r="A50" s="248" t="s">
        <v>178</v>
      </c>
      <c r="B50" s="7" t="s">
        <v>203</v>
      </c>
      <c r="C50" s="38"/>
    </row>
    <row r="51" spans="1:3" ht="12" customHeight="1" thickBot="1">
      <c r="A51" s="93" t="s">
        <v>84</v>
      </c>
      <c r="B51" s="66" t="s">
        <v>392</v>
      </c>
      <c r="C51" s="151">
        <f>SUM(C52:C54)</f>
        <v>9440</v>
      </c>
    </row>
    <row r="52" spans="1:3" s="257" customFormat="1" ht="12" customHeight="1">
      <c r="A52" s="248" t="s">
        <v>160</v>
      </c>
      <c r="B52" s="8" t="s">
        <v>221</v>
      </c>
      <c r="C52" s="36">
        <f>9143+160+960+210-683+10-2536+581+640</f>
        <v>8485</v>
      </c>
    </row>
    <row r="53" spans="1:3" ht="12" customHeight="1">
      <c r="A53" s="248" t="s">
        <v>161</v>
      </c>
      <c r="B53" s="7" t="s">
        <v>205</v>
      </c>
      <c r="C53" s="38">
        <v>955</v>
      </c>
    </row>
    <row r="54" spans="1:3" ht="12" customHeight="1">
      <c r="A54" s="248" t="s">
        <v>162</v>
      </c>
      <c r="B54" s="7" t="s">
        <v>122</v>
      </c>
      <c r="C54" s="38"/>
    </row>
    <row r="55" spans="1:3" ht="12" customHeight="1" thickBot="1">
      <c r="A55" s="248" t="s">
        <v>163</v>
      </c>
      <c r="B55" s="7" t="s">
        <v>590</v>
      </c>
      <c r="C55" s="38"/>
    </row>
    <row r="56" spans="1:3" ht="15" customHeight="1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601553</v>
      </c>
    </row>
    <row r="58" ht="15" customHeight="1" thickBot="1">
      <c r="C58" s="195"/>
    </row>
    <row r="59" spans="1:3" ht="14.25" customHeight="1" thickBot="1">
      <c r="A59" s="117" t="s">
        <v>583</v>
      </c>
      <c r="B59" s="118"/>
      <c r="C59" s="533">
        <v>148.8</v>
      </c>
    </row>
    <row r="60" spans="1:3" ht="13.5" thickBot="1">
      <c r="A60" s="117" t="s">
        <v>21</v>
      </c>
      <c r="B60" s="118"/>
      <c r="C60" s="65">
        <v>4</v>
      </c>
    </row>
    <row r="61" spans="1:3" ht="13.5" thickBot="1">
      <c r="A61" s="117" t="s">
        <v>22</v>
      </c>
      <c r="B61" s="118"/>
      <c r="C61" s="65">
        <v>32</v>
      </c>
    </row>
    <row r="62" spans="1:3" ht="13.5" thickBot="1">
      <c r="A62" s="572" t="s">
        <v>23</v>
      </c>
      <c r="B62" s="573"/>
      <c r="C62" s="6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 melléklet a 5/2017.(II.20.)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B65" sqref="B65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 t="e">
        <f>+CONCATENATE("9.3.1. melléklet a ……/",LEFT(#REF!,4),". (….) önkormányzati rendelethez")</f>
        <v>#REF!</v>
      </c>
    </row>
    <row r="2" spans="1:3" s="253" customFormat="1" ht="35.25" customHeight="1">
      <c r="A2" s="208" t="s">
        <v>214</v>
      </c>
      <c r="B2" s="182" t="s">
        <v>48</v>
      </c>
      <c r="C2" s="196" t="s">
        <v>125</v>
      </c>
    </row>
    <row r="3" spans="1:3" s="253" customFormat="1" ht="24.75" thickBot="1">
      <c r="A3" s="246" t="s">
        <v>213</v>
      </c>
      <c r="B3" s="183" t="s">
        <v>393</v>
      </c>
      <c r="C3" s="197" t="s">
        <v>124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3458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v>1750</v>
      </c>
    </row>
    <row r="11" spans="1:3" s="198" customFormat="1" ht="12" customHeight="1">
      <c r="A11" s="248" t="s">
        <v>156</v>
      </c>
      <c r="B11" s="7" t="s">
        <v>266</v>
      </c>
      <c r="C11" s="149"/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>
        <v>1235</v>
      </c>
    </row>
    <row r="14" spans="1:3" s="198" customFormat="1" ht="12" customHeight="1">
      <c r="A14" s="248" t="s">
        <v>158</v>
      </c>
      <c r="B14" s="7" t="s">
        <v>376</v>
      </c>
      <c r="C14" s="149">
        <v>473</v>
      </c>
    </row>
    <row r="15" spans="1:3" s="198" customFormat="1" ht="12" customHeight="1">
      <c r="A15" s="248" t="s">
        <v>159</v>
      </c>
      <c r="B15" s="6" t="s">
        <v>377</v>
      </c>
      <c r="C15" s="149"/>
    </row>
    <row r="16" spans="1:3" s="198" customFormat="1" ht="12" customHeight="1">
      <c r="A16" s="248" t="s">
        <v>169</v>
      </c>
      <c r="B16" s="7" t="s">
        <v>271</v>
      </c>
      <c r="C16" s="188"/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82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>
        <v>82</v>
      </c>
    </row>
    <row r="24" spans="1:3" s="256" customFormat="1" ht="12" customHeight="1" thickBot="1">
      <c r="A24" s="248" t="s">
        <v>163</v>
      </c>
      <c r="B24" s="7" t="s">
        <v>3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4</v>
      </c>
      <c r="C26" s="151">
        <f>+C27+C28</f>
        <v>0</v>
      </c>
    </row>
    <row r="27" spans="1:3" s="256" customFormat="1" ht="12" customHeight="1">
      <c r="A27" s="249" t="s">
        <v>251</v>
      </c>
      <c r="B27" s="250" t="s">
        <v>379</v>
      </c>
      <c r="C27" s="36"/>
    </row>
    <row r="28" spans="1:3" s="256" customFormat="1" ht="12" customHeight="1">
      <c r="A28" s="249" t="s">
        <v>254</v>
      </c>
      <c r="B28" s="251" t="s">
        <v>381</v>
      </c>
      <c r="C28" s="152"/>
    </row>
    <row r="29" spans="1:3" s="256" customFormat="1" ht="12" customHeight="1" thickBot="1">
      <c r="A29" s="248" t="s">
        <v>255</v>
      </c>
      <c r="B29" s="69" t="s">
        <v>5</v>
      </c>
      <c r="C29" s="39"/>
    </row>
    <row r="30" spans="1:3" s="256" customFormat="1" ht="12" customHeight="1" thickBot="1">
      <c r="A30" s="93" t="s">
        <v>87</v>
      </c>
      <c r="B30" s="66" t="s">
        <v>382</v>
      </c>
      <c r="C30" s="151">
        <f>+C31+C32+C33</f>
        <v>0</v>
      </c>
    </row>
    <row r="31" spans="1:3" s="256" customFormat="1" ht="12" customHeight="1">
      <c r="A31" s="249" t="s">
        <v>147</v>
      </c>
      <c r="B31" s="250" t="s">
        <v>278</v>
      </c>
      <c r="C31" s="36"/>
    </row>
    <row r="32" spans="1:3" s="256" customFormat="1" ht="12" customHeight="1">
      <c r="A32" s="249" t="s">
        <v>148</v>
      </c>
      <c r="B32" s="251" t="s">
        <v>279</v>
      </c>
      <c r="C32" s="152"/>
    </row>
    <row r="33" spans="1:3" s="256" customFormat="1" ht="12" customHeight="1" thickBot="1">
      <c r="A33" s="248" t="s">
        <v>149</v>
      </c>
      <c r="B33" s="69" t="s">
        <v>280</v>
      </c>
      <c r="C33" s="39"/>
    </row>
    <row r="34" spans="1:3" s="198" customFormat="1" ht="12" customHeight="1" thickBot="1">
      <c r="A34" s="93" t="s">
        <v>88</v>
      </c>
      <c r="B34" s="66" t="s">
        <v>366</v>
      </c>
      <c r="C34" s="178"/>
    </row>
    <row r="35" spans="1:3" s="198" customFormat="1" ht="12" customHeight="1" thickBot="1">
      <c r="A35" s="93" t="s">
        <v>89</v>
      </c>
      <c r="B35" s="66" t="s">
        <v>383</v>
      </c>
      <c r="C35" s="189"/>
    </row>
    <row r="36" spans="1:3" s="198" customFormat="1" ht="12" customHeight="1" thickBot="1">
      <c r="A36" s="90" t="s">
        <v>90</v>
      </c>
      <c r="B36" s="66" t="s">
        <v>6</v>
      </c>
      <c r="C36" s="190">
        <f>+C8+C20+C25+C26+C30+C34+C35</f>
        <v>3540</v>
      </c>
    </row>
    <row r="37" spans="1:3" s="198" customFormat="1" ht="12" customHeight="1" thickBot="1">
      <c r="A37" s="106" t="s">
        <v>91</v>
      </c>
      <c r="B37" s="66" t="s">
        <v>385</v>
      </c>
      <c r="C37" s="190">
        <f>+C38+C39+C40</f>
        <v>3938</v>
      </c>
    </row>
    <row r="38" spans="1:3" s="198" customFormat="1" ht="12" customHeight="1">
      <c r="A38" s="249" t="s">
        <v>386</v>
      </c>
      <c r="B38" s="250" t="s">
        <v>231</v>
      </c>
      <c r="C38" s="36">
        <v>3938</v>
      </c>
    </row>
    <row r="39" spans="1:3" s="198" customFormat="1" ht="12" customHeight="1">
      <c r="A39" s="249" t="s">
        <v>387</v>
      </c>
      <c r="B39" s="251" t="s">
        <v>74</v>
      </c>
      <c r="C39" s="152"/>
    </row>
    <row r="40" spans="1:3" s="256" customFormat="1" ht="12" customHeight="1" thickBot="1">
      <c r="A40" s="248" t="s">
        <v>388</v>
      </c>
      <c r="B40" s="69" t="s">
        <v>389</v>
      </c>
      <c r="C40" s="39"/>
    </row>
    <row r="41" spans="1:3" s="256" customFormat="1" ht="15" customHeight="1" thickBot="1">
      <c r="A41" s="106" t="s">
        <v>92</v>
      </c>
      <c r="B41" s="107" t="s">
        <v>390</v>
      </c>
      <c r="C41" s="193">
        <f>+C36+C37</f>
        <v>7478</v>
      </c>
    </row>
    <row r="42" spans="1:3" s="256" customFormat="1" ht="15" customHeight="1">
      <c r="A42" s="108"/>
      <c r="B42" s="109"/>
      <c r="C42" s="191"/>
    </row>
    <row r="43" spans="1:3" ht="13.5" thickBot="1">
      <c r="A43" s="110"/>
      <c r="B43" s="111"/>
      <c r="C43" s="192"/>
    </row>
    <row r="44" spans="1:3" s="255" customFormat="1" ht="16.5" customHeight="1" thickBot="1">
      <c r="A44" s="112"/>
      <c r="B44" s="113" t="s">
        <v>121</v>
      </c>
      <c r="C44" s="193"/>
    </row>
    <row r="45" spans="1:3" s="257" customFormat="1" ht="12" customHeight="1" thickBot="1">
      <c r="A45" s="93" t="s">
        <v>83</v>
      </c>
      <c r="B45" s="66" t="s">
        <v>391</v>
      </c>
      <c r="C45" s="151">
        <f>SUM(C46:C50)</f>
        <v>94520</v>
      </c>
    </row>
    <row r="46" spans="1:3" ht="12" customHeight="1">
      <c r="A46" s="248" t="s">
        <v>154</v>
      </c>
      <c r="B46" s="8" t="s">
        <v>112</v>
      </c>
      <c r="C46" s="36">
        <f>55122+643+1047+286+249+807+300+177+452+725+65+129+208+532+942+103+246+474+2334-1075</f>
        <v>63766</v>
      </c>
    </row>
    <row r="47" spans="1:3" ht="12" customHeight="1">
      <c r="A47" s="248" t="s">
        <v>155</v>
      </c>
      <c r="B47" s="7" t="s">
        <v>201</v>
      </c>
      <c r="C47" s="38">
        <f>14839+174+283+77+67+218+81+47+124+195+17+35+56+144+254+28+66+128+633-250</f>
        <v>17216</v>
      </c>
    </row>
    <row r="48" spans="1:3" ht="12" customHeight="1">
      <c r="A48" s="248" t="s">
        <v>156</v>
      </c>
      <c r="B48" s="7" t="s">
        <v>177</v>
      </c>
      <c r="C48" s="38">
        <f>14935-900-27-25-350-95</f>
        <v>13538</v>
      </c>
    </row>
    <row r="49" spans="1:3" ht="12" customHeight="1">
      <c r="A49" s="248" t="s">
        <v>157</v>
      </c>
      <c r="B49" s="7" t="s">
        <v>202</v>
      </c>
      <c r="C49" s="38"/>
    </row>
    <row r="50" spans="1:3" ht="12" customHeight="1" thickBot="1">
      <c r="A50" s="248" t="s">
        <v>178</v>
      </c>
      <c r="B50" s="7" t="s">
        <v>203</v>
      </c>
      <c r="C50" s="38"/>
    </row>
    <row r="51" spans="1:3" ht="12" customHeight="1" thickBot="1">
      <c r="A51" s="93" t="s">
        <v>84</v>
      </c>
      <c r="B51" s="66" t="s">
        <v>392</v>
      </c>
      <c r="C51" s="151">
        <f>SUM(C52:C54)</f>
        <v>2648</v>
      </c>
    </row>
    <row r="52" spans="1:3" s="257" customFormat="1" ht="12" customHeight="1">
      <c r="A52" s="248" t="s">
        <v>160</v>
      </c>
      <c r="B52" s="8" t="s">
        <v>221</v>
      </c>
      <c r="C52" s="36">
        <f>2596+27+25</f>
        <v>2648</v>
      </c>
    </row>
    <row r="53" spans="1:3" ht="12" customHeight="1">
      <c r="A53" s="248" t="s">
        <v>161</v>
      </c>
      <c r="B53" s="7" t="s">
        <v>205</v>
      </c>
      <c r="C53" s="38"/>
    </row>
    <row r="54" spans="1:3" ht="12" customHeight="1">
      <c r="A54" s="248" t="s">
        <v>162</v>
      </c>
      <c r="B54" s="7" t="s">
        <v>122</v>
      </c>
      <c r="C54" s="38"/>
    </row>
    <row r="55" spans="1:3" ht="12" customHeight="1" thickBot="1">
      <c r="A55" s="248" t="s">
        <v>163</v>
      </c>
      <c r="B55" s="7" t="s">
        <v>590</v>
      </c>
      <c r="C55" s="38"/>
    </row>
    <row r="56" spans="1:3" ht="15" customHeight="1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97168</v>
      </c>
    </row>
    <row r="58" ht="15" customHeight="1" thickBot="1">
      <c r="C58" s="195"/>
    </row>
    <row r="59" spans="1:3" ht="14.25" customHeight="1" thickBot="1">
      <c r="A59" s="117" t="s">
        <v>583</v>
      </c>
      <c r="B59" s="118"/>
      <c r="C59" s="456">
        <v>33.5</v>
      </c>
    </row>
    <row r="60" spans="1:3" ht="13.5" thickBot="1">
      <c r="A60" s="117" t="s">
        <v>216</v>
      </c>
      <c r="B60" s="118"/>
      <c r="C60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 melléklet a 5/2017.(II.20.)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7">
      <selection activeCell="B65" sqref="B65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 t="e">
        <f>+CONCATENATE("9.3.2. melléklet a ……/",LEFT(#REF!,4),". (….) önkormányzati rendelethez")</f>
        <v>#REF!</v>
      </c>
    </row>
    <row r="2" spans="1:3" s="253" customFormat="1" ht="34.5" customHeight="1">
      <c r="A2" s="208" t="s">
        <v>214</v>
      </c>
      <c r="B2" s="182" t="s">
        <v>48</v>
      </c>
      <c r="C2" s="196" t="s">
        <v>125</v>
      </c>
    </row>
    <row r="3" spans="1:3" s="253" customFormat="1" ht="24.75" thickBot="1">
      <c r="A3" s="246" t="s">
        <v>213</v>
      </c>
      <c r="B3" s="183" t="s">
        <v>394</v>
      </c>
      <c r="C3" s="197" t="s">
        <v>125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196607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f>22605+704</f>
        <v>23309</v>
      </c>
    </row>
    <row r="11" spans="1:3" s="198" customFormat="1" ht="12" customHeight="1">
      <c r="A11" s="248" t="s">
        <v>156</v>
      </c>
      <c r="B11" s="7" t="s">
        <v>266</v>
      </c>
      <c r="C11" s="149">
        <v>10560</v>
      </c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>
        <v>157514</v>
      </c>
    </row>
    <row r="14" spans="1:3" s="198" customFormat="1" ht="12" customHeight="1">
      <c r="A14" s="248" t="s">
        <v>158</v>
      </c>
      <c r="B14" s="7" t="s">
        <v>376</v>
      </c>
      <c r="C14" s="149">
        <v>5224</v>
      </c>
    </row>
    <row r="15" spans="1:3" s="198" customFormat="1" ht="12" customHeight="1">
      <c r="A15" s="248" t="s">
        <v>159</v>
      </c>
      <c r="B15" s="6" t="s">
        <v>377</v>
      </c>
      <c r="C15" s="149"/>
    </row>
    <row r="16" spans="1:3" s="198" customFormat="1" ht="12" customHeight="1">
      <c r="A16" s="248" t="s">
        <v>169</v>
      </c>
      <c r="B16" s="7" t="s">
        <v>271</v>
      </c>
      <c r="C16" s="188"/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13124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>
        <f>6996+2330-683+2847+1634</f>
        <v>13124</v>
      </c>
    </row>
    <row r="24" spans="1:3" s="256" customFormat="1" ht="12" customHeight="1" thickBot="1">
      <c r="A24" s="248" t="s">
        <v>163</v>
      </c>
      <c r="B24" s="7" t="s">
        <v>3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4</v>
      </c>
      <c r="C26" s="151">
        <f>+C27+C28</f>
        <v>0</v>
      </c>
    </row>
    <row r="27" spans="1:3" s="256" customFormat="1" ht="12" customHeight="1">
      <c r="A27" s="249" t="s">
        <v>251</v>
      </c>
      <c r="B27" s="250" t="s">
        <v>379</v>
      </c>
      <c r="C27" s="36"/>
    </row>
    <row r="28" spans="1:3" s="256" customFormat="1" ht="12" customHeight="1">
      <c r="A28" s="249" t="s">
        <v>254</v>
      </c>
      <c r="B28" s="251" t="s">
        <v>381</v>
      </c>
      <c r="C28" s="152"/>
    </row>
    <row r="29" spans="1:3" s="256" customFormat="1" ht="12" customHeight="1" thickBot="1">
      <c r="A29" s="248" t="s">
        <v>255</v>
      </c>
      <c r="B29" s="69" t="s">
        <v>5</v>
      </c>
      <c r="C29" s="39"/>
    </row>
    <row r="30" spans="1:3" s="256" customFormat="1" ht="12" customHeight="1" thickBot="1">
      <c r="A30" s="93" t="s">
        <v>87</v>
      </c>
      <c r="B30" s="66" t="s">
        <v>382</v>
      </c>
      <c r="C30" s="151">
        <f>+C31+C32+C33</f>
        <v>710</v>
      </c>
    </row>
    <row r="31" spans="1:3" s="256" customFormat="1" ht="12" customHeight="1">
      <c r="A31" s="249" t="s">
        <v>147</v>
      </c>
      <c r="B31" s="250" t="s">
        <v>278</v>
      </c>
      <c r="C31" s="36"/>
    </row>
    <row r="32" spans="1:3" s="256" customFormat="1" ht="12" customHeight="1">
      <c r="A32" s="249" t="s">
        <v>148</v>
      </c>
      <c r="B32" s="251" t="s">
        <v>279</v>
      </c>
      <c r="C32" s="152">
        <v>500</v>
      </c>
    </row>
    <row r="33" spans="1:3" s="256" customFormat="1" ht="12" customHeight="1" thickBot="1">
      <c r="A33" s="248" t="s">
        <v>149</v>
      </c>
      <c r="B33" s="69" t="s">
        <v>280</v>
      </c>
      <c r="C33" s="39">
        <v>210</v>
      </c>
    </row>
    <row r="34" spans="1:3" s="198" customFormat="1" ht="12" customHeight="1" thickBot="1">
      <c r="A34" s="93" t="s">
        <v>88</v>
      </c>
      <c r="B34" s="66" t="s">
        <v>366</v>
      </c>
      <c r="C34" s="178"/>
    </row>
    <row r="35" spans="1:3" s="198" customFormat="1" ht="12" customHeight="1" thickBot="1">
      <c r="A35" s="93" t="s">
        <v>89</v>
      </c>
      <c r="B35" s="66" t="s">
        <v>383</v>
      </c>
      <c r="C35" s="189">
        <v>960</v>
      </c>
    </row>
    <row r="36" spans="1:3" s="198" customFormat="1" ht="12" customHeight="1" thickBot="1">
      <c r="A36" s="90" t="s">
        <v>90</v>
      </c>
      <c r="B36" s="66" t="s">
        <v>6</v>
      </c>
      <c r="C36" s="190">
        <f>+C8+C20+C25+C26+C30+C34+C35</f>
        <v>211401</v>
      </c>
    </row>
    <row r="37" spans="1:3" s="198" customFormat="1" ht="12" customHeight="1" thickBot="1">
      <c r="A37" s="106" t="s">
        <v>91</v>
      </c>
      <c r="B37" s="66" t="s">
        <v>385</v>
      </c>
      <c r="C37" s="190">
        <f>+C38+C39+C40</f>
        <v>0</v>
      </c>
    </row>
    <row r="38" spans="1:3" s="198" customFormat="1" ht="12" customHeight="1">
      <c r="A38" s="249" t="s">
        <v>386</v>
      </c>
      <c r="B38" s="250" t="s">
        <v>231</v>
      </c>
      <c r="C38" s="36"/>
    </row>
    <row r="39" spans="1:3" s="198" customFormat="1" ht="12" customHeight="1">
      <c r="A39" s="249" t="s">
        <v>387</v>
      </c>
      <c r="B39" s="251" t="s">
        <v>74</v>
      </c>
      <c r="C39" s="152"/>
    </row>
    <row r="40" spans="1:3" s="256" customFormat="1" ht="12" customHeight="1" thickBot="1">
      <c r="A40" s="248" t="s">
        <v>388</v>
      </c>
      <c r="B40" s="69" t="s">
        <v>389</v>
      </c>
      <c r="C40" s="39"/>
    </row>
    <row r="41" spans="1:3" s="256" customFormat="1" ht="15" customHeight="1" thickBot="1">
      <c r="A41" s="106" t="s">
        <v>92</v>
      </c>
      <c r="B41" s="107" t="s">
        <v>390</v>
      </c>
      <c r="C41" s="193">
        <f>+C36+C37</f>
        <v>211401</v>
      </c>
    </row>
    <row r="42" spans="1:3" s="256" customFormat="1" ht="15" customHeight="1">
      <c r="A42" s="108"/>
      <c r="B42" s="109"/>
      <c r="C42" s="191"/>
    </row>
    <row r="43" spans="1:3" ht="13.5" thickBot="1">
      <c r="A43" s="110"/>
      <c r="B43" s="111"/>
      <c r="C43" s="192"/>
    </row>
    <row r="44" spans="1:3" s="255" customFormat="1" ht="16.5" customHeight="1" thickBot="1">
      <c r="A44" s="112"/>
      <c r="B44" s="113" t="s">
        <v>121</v>
      </c>
      <c r="C44" s="193"/>
    </row>
    <row r="45" spans="1:3" s="257" customFormat="1" ht="12" customHeight="1" thickBot="1">
      <c r="A45" s="93" t="s">
        <v>83</v>
      </c>
      <c r="B45" s="66" t="s">
        <v>391</v>
      </c>
      <c r="C45" s="151">
        <f>SUM(C46:C50)</f>
        <v>497593</v>
      </c>
    </row>
    <row r="46" spans="1:3" ht="12" customHeight="1">
      <c r="A46" s="248" t="s">
        <v>154</v>
      </c>
      <c r="B46" s="8" t="s">
        <v>112</v>
      </c>
      <c r="C46" s="36">
        <f>210801+2928+2991+707+473+2135+523+210+180+1104+2819+1835+129+720+1899+2190+258+978+1144+1625+7652+454+376-1120+1430</f>
        <v>244441</v>
      </c>
    </row>
    <row r="47" spans="1:3" ht="12" customHeight="1">
      <c r="A47" s="248" t="s">
        <v>155</v>
      </c>
      <c r="B47" s="7" t="s">
        <v>201</v>
      </c>
      <c r="C47" s="38">
        <f>59544+790+807+191+128+576+141+57+49+296+762+495+35+195+512+592+70+264+309+440+1762-454-376</f>
        <v>67185</v>
      </c>
    </row>
    <row r="48" spans="1:3" ht="12" customHeight="1">
      <c r="A48" s="248" t="s">
        <v>156</v>
      </c>
      <c r="B48" s="7" t="s">
        <v>177</v>
      </c>
      <c r="C48" s="38">
        <f>184507+350+95+1325-310</f>
        <v>185967</v>
      </c>
    </row>
    <row r="49" spans="1:3" ht="12" customHeight="1">
      <c r="A49" s="248" t="s">
        <v>157</v>
      </c>
      <c r="B49" s="7" t="s">
        <v>202</v>
      </c>
      <c r="C49" s="38"/>
    </row>
    <row r="50" spans="1:3" ht="12" customHeight="1" thickBot="1">
      <c r="A50" s="248" t="s">
        <v>178</v>
      </c>
      <c r="B50" s="7" t="s">
        <v>203</v>
      </c>
      <c r="C50" s="38"/>
    </row>
    <row r="51" spans="1:3" ht="12" customHeight="1" thickBot="1">
      <c r="A51" s="93" t="s">
        <v>84</v>
      </c>
      <c r="B51" s="66" t="s">
        <v>392</v>
      </c>
      <c r="C51" s="151">
        <f>SUM(C52:C54)</f>
        <v>6792</v>
      </c>
    </row>
    <row r="52" spans="1:3" s="257" customFormat="1" ht="12" customHeight="1">
      <c r="A52" s="248" t="s">
        <v>160</v>
      </c>
      <c r="B52" s="8" t="s">
        <v>221</v>
      </c>
      <c r="C52" s="36">
        <f>6547+160+960+210-683+10-2536+581+588</f>
        <v>5837</v>
      </c>
    </row>
    <row r="53" spans="1:3" ht="12" customHeight="1">
      <c r="A53" s="248" t="s">
        <v>161</v>
      </c>
      <c r="B53" s="7" t="s">
        <v>205</v>
      </c>
      <c r="C53" s="38">
        <v>955</v>
      </c>
    </row>
    <row r="54" spans="1:3" ht="12" customHeight="1">
      <c r="A54" s="248" t="s">
        <v>162</v>
      </c>
      <c r="B54" s="7" t="s">
        <v>122</v>
      </c>
      <c r="C54" s="38"/>
    </row>
    <row r="55" spans="1:3" ht="12" customHeight="1" thickBot="1">
      <c r="A55" s="248" t="s">
        <v>163</v>
      </c>
      <c r="B55" s="7" t="s">
        <v>590</v>
      </c>
      <c r="C55" s="38"/>
    </row>
    <row r="56" spans="1:3" ht="15" customHeight="1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504385</v>
      </c>
    </row>
    <row r="58" ht="15" customHeight="1" thickBot="1">
      <c r="C58" s="195"/>
    </row>
    <row r="59" spans="1:3" ht="14.25" customHeight="1" thickBot="1">
      <c r="A59" s="117" t="s">
        <v>583</v>
      </c>
      <c r="B59" s="118"/>
      <c r="C59" s="456">
        <v>115.3</v>
      </c>
    </row>
    <row r="60" spans="1:3" ht="13.5" thickBot="1">
      <c r="A60" s="117" t="s">
        <v>21</v>
      </c>
      <c r="B60" s="118"/>
      <c r="C60" s="65">
        <v>4</v>
      </c>
    </row>
    <row r="61" spans="1:3" ht="13.5" thickBot="1">
      <c r="A61" s="117" t="s">
        <v>22</v>
      </c>
      <c r="B61" s="118"/>
      <c r="C61" s="65">
        <v>32</v>
      </c>
    </row>
    <row r="62" spans="1:3" ht="13.5" thickBot="1">
      <c r="A62" s="572" t="s">
        <v>23</v>
      </c>
      <c r="B62" s="573"/>
      <c r="C62" s="6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5/2017.(II.20.)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I159"/>
  <sheetViews>
    <sheetView zoomScaleSheetLayoutView="100" workbookViewId="0" topLeftCell="A52">
      <selection activeCell="D74" sqref="D74"/>
    </sheetView>
  </sheetViews>
  <sheetFormatPr defaultColWidth="9.00390625" defaultRowHeight="12.75"/>
  <cols>
    <col min="1" max="1" width="9.50390625" style="201" customWidth="1"/>
    <col min="2" max="2" width="91.625" style="201" customWidth="1"/>
    <col min="3" max="3" width="21.625" style="202" customWidth="1"/>
    <col min="4" max="4" width="9.00390625" style="215" customWidth="1"/>
    <col min="5" max="16384" width="9.375" style="215" customWidth="1"/>
  </cols>
  <sheetData>
    <row r="1" spans="1:3" ht="15.75" customHeight="1">
      <c r="A1" s="558" t="s">
        <v>80</v>
      </c>
      <c r="B1" s="558"/>
      <c r="C1" s="558"/>
    </row>
    <row r="2" spans="1:3" ht="15.75" customHeight="1" thickBot="1">
      <c r="A2" s="557" t="s">
        <v>181</v>
      </c>
      <c r="B2" s="557"/>
      <c r="C2" s="143" t="s">
        <v>222</v>
      </c>
    </row>
    <row r="3" spans="1:3" ht="37.5" customHeight="1" thickBot="1">
      <c r="A3" s="22" t="s">
        <v>130</v>
      </c>
      <c r="B3" s="23" t="s">
        <v>82</v>
      </c>
      <c r="C3" s="30" t="s">
        <v>38</v>
      </c>
    </row>
    <row r="4" spans="1:3" s="216" customFormat="1" ht="12" customHeight="1" thickBot="1">
      <c r="A4" s="210" t="s">
        <v>504</v>
      </c>
      <c r="B4" s="211" t="s">
        <v>505</v>
      </c>
      <c r="C4" s="212" t="s">
        <v>506</v>
      </c>
    </row>
    <row r="5" spans="1:3" s="217" customFormat="1" ht="12" customHeight="1" thickBot="1">
      <c r="A5" s="19" t="s">
        <v>83</v>
      </c>
      <c r="B5" s="20" t="s">
        <v>235</v>
      </c>
      <c r="C5" s="134">
        <f>+C6+C7+C8+C9+C10+C11</f>
        <v>1049864</v>
      </c>
    </row>
    <row r="6" spans="1:3" s="217" customFormat="1" ht="12" customHeight="1">
      <c r="A6" s="14" t="s">
        <v>154</v>
      </c>
      <c r="B6" s="218" t="s">
        <v>236</v>
      </c>
      <c r="C6" s="258">
        <v>231988</v>
      </c>
    </row>
    <row r="7" spans="1:3" s="217" customFormat="1" ht="12" customHeight="1">
      <c r="A7" s="13" t="s">
        <v>155</v>
      </c>
      <c r="B7" s="219" t="s">
        <v>237</v>
      </c>
      <c r="C7" s="510">
        <f>217051+1171</f>
        <v>218222</v>
      </c>
    </row>
    <row r="8" spans="1:3" s="217" customFormat="1" ht="12" customHeight="1">
      <c r="A8" s="13" t="s">
        <v>156</v>
      </c>
      <c r="B8" s="219" t="s">
        <v>45</v>
      </c>
      <c r="C8" s="510">
        <f>567601-6973</f>
        <v>560628</v>
      </c>
    </row>
    <row r="9" spans="1:3" s="217" customFormat="1" ht="12" customHeight="1">
      <c r="A9" s="13" t="s">
        <v>157</v>
      </c>
      <c r="B9" s="219" t="s">
        <v>239</v>
      </c>
      <c r="C9" s="138">
        <v>26943</v>
      </c>
    </row>
    <row r="10" spans="1:3" s="217" customFormat="1" ht="12" customHeight="1">
      <c r="A10" s="13" t="s">
        <v>178</v>
      </c>
      <c r="B10" s="130" t="s">
        <v>507</v>
      </c>
      <c r="C10" s="510">
        <f>10020+324</f>
        <v>10344</v>
      </c>
    </row>
    <row r="11" spans="1:3" s="217" customFormat="1" ht="12" customHeight="1" thickBot="1">
      <c r="A11" s="15" t="s">
        <v>158</v>
      </c>
      <c r="B11" s="131" t="s">
        <v>508</v>
      </c>
      <c r="C11" s="138">
        <v>1739</v>
      </c>
    </row>
    <row r="12" spans="1:3" s="217" customFormat="1" ht="12" customHeight="1" thickBot="1">
      <c r="A12" s="19" t="s">
        <v>84</v>
      </c>
      <c r="B12" s="129" t="s">
        <v>240</v>
      </c>
      <c r="C12" s="134">
        <f>+C13+C14+C15+C16+C17</f>
        <v>639836</v>
      </c>
    </row>
    <row r="13" spans="1:3" s="217" customFormat="1" ht="12" customHeight="1">
      <c r="A13" s="14" t="s">
        <v>160</v>
      </c>
      <c r="B13" s="218" t="s">
        <v>241</v>
      </c>
      <c r="C13" s="136"/>
    </row>
    <row r="14" spans="1:3" s="217" customFormat="1" ht="12" customHeight="1">
      <c r="A14" s="13" t="s">
        <v>161</v>
      </c>
      <c r="B14" s="219" t="s">
        <v>242</v>
      </c>
      <c r="C14" s="135"/>
    </row>
    <row r="15" spans="1:3" s="217" customFormat="1" ht="12" customHeight="1">
      <c r="A15" s="13" t="s">
        <v>162</v>
      </c>
      <c r="B15" s="219" t="s">
        <v>398</v>
      </c>
      <c r="C15" s="135"/>
    </row>
    <row r="16" spans="1:3" s="217" customFormat="1" ht="12" customHeight="1">
      <c r="A16" s="13" t="s">
        <v>163</v>
      </c>
      <c r="B16" s="219" t="s">
        <v>399</v>
      </c>
      <c r="C16" s="135"/>
    </row>
    <row r="17" spans="1:3" s="217" customFormat="1" ht="12" customHeight="1">
      <c r="A17" s="13" t="s">
        <v>164</v>
      </c>
      <c r="B17" s="219" t="s">
        <v>243</v>
      </c>
      <c r="C17" s="138">
        <v>639836</v>
      </c>
    </row>
    <row r="18" spans="1:3" s="217" customFormat="1" ht="12" customHeight="1" thickBot="1">
      <c r="A18" s="15" t="s">
        <v>173</v>
      </c>
      <c r="B18" s="131" t="s">
        <v>244</v>
      </c>
      <c r="C18" s="207"/>
    </row>
    <row r="19" spans="1:3" s="217" customFormat="1" ht="12" customHeight="1" thickBot="1">
      <c r="A19" s="19" t="s">
        <v>85</v>
      </c>
      <c r="B19" s="20" t="s">
        <v>245</v>
      </c>
      <c r="C19" s="134">
        <f>+C20+C21+C22+C23+C24</f>
        <v>16653</v>
      </c>
    </row>
    <row r="20" spans="1:3" s="217" customFormat="1" ht="12" customHeight="1">
      <c r="A20" s="14" t="s">
        <v>143</v>
      </c>
      <c r="B20" s="218" t="s">
        <v>246</v>
      </c>
      <c r="C20" s="258">
        <v>895</v>
      </c>
    </row>
    <row r="21" spans="1:3" s="217" customFormat="1" ht="12" customHeight="1">
      <c r="A21" s="13" t="s">
        <v>144</v>
      </c>
      <c r="B21" s="219" t="s">
        <v>247</v>
      </c>
      <c r="C21" s="138"/>
    </row>
    <row r="22" spans="1:3" s="217" customFormat="1" ht="12" customHeight="1">
      <c r="A22" s="13" t="s">
        <v>145</v>
      </c>
      <c r="B22" s="219" t="s">
        <v>400</v>
      </c>
      <c r="C22" s="138"/>
    </row>
    <row r="23" spans="1:3" s="217" customFormat="1" ht="12" customHeight="1">
      <c r="A23" s="13" t="s">
        <v>146</v>
      </c>
      <c r="B23" s="219" t="s">
        <v>401</v>
      </c>
      <c r="C23" s="138"/>
    </row>
    <row r="24" spans="1:3" s="217" customFormat="1" ht="12" customHeight="1">
      <c r="A24" s="13" t="s">
        <v>189</v>
      </c>
      <c r="B24" s="219" t="s">
        <v>248</v>
      </c>
      <c r="C24" s="138">
        <v>15758</v>
      </c>
    </row>
    <row r="25" spans="1:3" s="217" customFormat="1" ht="12" customHeight="1" thickBot="1">
      <c r="A25" s="15" t="s">
        <v>190</v>
      </c>
      <c r="B25" s="220" t="s">
        <v>249</v>
      </c>
      <c r="C25" s="137"/>
    </row>
    <row r="26" spans="1:3" s="217" customFormat="1" ht="12" customHeight="1" thickBot="1">
      <c r="A26" s="19" t="s">
        <v>191</v>
      </c>
      <c r="B26" s="20" t="s">
        <v>250</v>
      </c>
      <c r="C26" s="139">
        <f>+C27+C31+C32+C33</f>
        <v>366438</v>
      </c>
    </row>
    <row r="27" spans="1:3" s="217" customFormat="1" ht="12" customHeight="1">
      <c r="A27" s="14" t="s">
        <v>251</v>
      </c>
      <c r="B27" s="218" t="s">
        <v>509</v>
      </c>
      <c r="C27" s="213">
        <f>SUM(C28:C30)</f>
        <v>323618</v>
      </c>
    </row>
    <row r="28" spans="1:3" s="217" customFormat="1" ht="12" customHeight="1">
      <c r="A28" s="13" t="s">
        <v>252</v>
      </c>
      <c r="B28" s="219" t="s">
        <v>257</v>
      </c>
      <c r="C28" s="138">
        <v>83000</v>
      </c>
    </row>
    <row r="29" spans="1:3" s="217" customFormat="1" ht="12" customHeight="1">
      <c r="A29" s="13" t="s">
        <v>253</v>
      </c>
      <c r="B29" s="219" t="s">
        <v>20</v>
      </c>
      <c r="C29" s="510">
        <f>237500+2978</f>
        <v>240478</v>
      </c>
    </row>
    <row r="30" spans="1:3" s="217" customFormat="1" ht="12" customHeight="1">
      <c r="A30" s="13" t="s">
        <v>510</v>
      </c>
      <c r="B30" s="219" t="s">
        <v>17</v>
      </c>
      <c r="C30" s="138">
        <v>140</v>
      </c>
    </row>
    <row r="31" spans="1:3" s="217" customFormat="1" ht="12" customHeight="1">
      <c r="A31" s="13" t="s">
        <v>254</v>
      </c>
      <c r="B31" s="219" t="s">
        <v>259</v>
      </c>
      <c r="C31" s="138">
        <v>28200</v>
      </c>
    </row>
    <row r="32" spans="1:3" s="217" customFormat="1" ht="12" customHeight="1">
      <c r="A32" s="13" t="s">
        <v>255</v>
      </c>
      <c r="B32" s="219" t="s">
        <v>260</v>
      </c>
      <c r="C32" s="138">
        <v>5620</v>
      </c>
    </row>
    <row r="33" spans="1:3" s="217" customFormat="1" ht="12" customHeight="1" thickBot="1">
      <c r="A33" s="15" t="s">
        <v>256</v>
      </c>
      <c r="B33" s="220" t="s">
        <v>261</v>
      </c>
      <c r="C33" s="207">
        <v>9000</v>
      </c>
    </row>
    <row r="34" spans="1:3" s="217" customFormat="1" ht="12" customHeight="1" thickBot="1">
      <c r="A34" s="19" t="s">
        <v>87</v>
      </c>
      <c r="B34" s="20" t="s">
        <v>512</v>
      </c>
      <c r="C34" s="134">
        <f>SUM(C35:C45)</f>
        <v>232931</v>
      </c>
    </row>
    <row r="35" spans="1:3" s="217" customFormat="1" ht="12" customHeight="1">
      <c r="A35" s="14" t="s">
        <v>147</v>
      </c>
      <c r="B35" s="218" t="s">
        <v>264</v>
      </c>
      <c r="C35" s="258">
        <v>5400</v>
      </c>
    </row>
    <row r="36" spans="1:3" s="217" customFormat="1" ht="12" customHeight="1">
      <c r="A36" s="13" t="s">
        <v>148</v>
      </c>
      <c r="B36" s="219" t="s">
        <v>265</v>
      </c>
      <c r="C36" s="138">
        <v>54603</v>
      </c>
    </row>
    <row r="37" spans="1:3" s="217" customFormat="1" ht="12" customHeight="1">
      <c r="A37" s="13" t="s">
        <v>149</v>
      </c>
      <c r="B37" s="219" t="s">
        <v>266</v>
      </c>
      <c r="C37" s="510">
        <f>84230+4354</f>
        <v>88584</v>
      </c>
    </row>
    <row r="38" spans="1:3" s="217" customFormat="1" ht="12" customHeight="1">
      <c r="A38" s="13" t="s">
        <v>193</v>
      </c>
      <c r="B38" s="219" t="s">
        <v>267</v>
      </c>
      <c r="C38" s="138">
        <v>376</v>
      </c>
    </row>
    <row r="39" spans="1:3" s="217" customFormat="1" ht="12" customHeight="1">
      <c r="A39" s="13" t="s">
        <v>194</v>
      </c>
      <c r="B39" s="219" t="s">
        <v>268</v>
      </c>
      <c r="C39" s="138">
        <v>24761</v>
      </c>
    </row>
    <row r="40" spans="1:3" s="217" customFormat="1" ht="12" customHeight="1">
      <c r="A40" s="13" t="s">
        <v>195</v>
      </c>
      <c r="B40" s="219" t="s">
        <v>269</v>
      </c>
      <c r="C40" s="510">
        <f>34297+1176</f>
        <v>35473</v>
      </c>
    </row>
    <row r="41" spans="1:3" s="217" customFormat="1" ht="12" customHeight="1">
      <c r="A41" s="13" t="s">
        <v>196</v>
      </c>
      <c r="B41" s="219" t="s">
        <v>270</v>
      </c>
      <c r="C41" s="138">
        <v>22424</v>
      </c>
    </row>
    <row r="42" spans="1:3" s="217" customFormat="1" ht="12" customHeight="1">
      <c r="A42" s="13" t="s">
        <v>197</v>
      </c>
      <c r="B42" s="219" t="s">
        <v>46</v>
      </c>
      <c r="C42" s="138">
        <v>10</v>
      </c>
    </row>
    <row r="43" spans="1:3" s="217" customFormat="1" ht="12" customHeight="1">
      <c r="A43" s="13" t="s">
        <v>262</v>
      </c>
      <c r="B43" s="219" t="s">
        <v>272</v>
      </c>
      <c r="C43" s="138"/>
    </row>
    <row r="44" spans="1:3" s="217" customFormat="1" ht="12" customHeight="1">
      <c r="A44" s="15" t="s">
        <v>263</v>
      </c>
      <c r="B44" s="220" t="s">
        <v>513</v>
      </c>
      <c r="C44" s="207">
        <v>500</v>
      </c>
    </row>
    <row r="45" spans="1:3" s="217" customFormat="1" ht="12" customHeight="1" thickBot="1">
      <c r="A45" s="15" t="s">
        <v>514</v>
      </c>
      <c r="B45" s="131" t="s">
        <v>273</v>
      </c>
      <c r="C45" s="506">
        <v>800</v>
      </c>
    </row>
    <row r="46" spans="1:3" s="217" customFormat="1" ht="12" customHeight="1" thickBot="1">
      <c r="A46" s="19" t="s">
        <v>88</v>
      </c>
      <c r="B46" s="20" t="s">
        <v>274</v>
      </c>
      <c r="C46" s="134">
        <f>SUM(C47:C51)</f>
        <v>36043</v>
      </c>
    </row>
    <row r="47" spans="1:3" s="217" customFormat="1" ht="12" customHeight="1">
      <c r="A47" s="14" t="s">
        <v>150</v>
      </c>
      <c r="B47" s="218" t="s">
        <v>278</v>
      </c>
      <c r="C47" s="258"/>
    </row>
    <row r="48" spans="1:3" s="217" customFormat="1" ht="12" customHeight="1">
      <c r="A48" s="13" t="s">
        <v>151</v>
      </c>
      <c r="B48" s="219" t="s">
        <v>279</v>
      </c>
      <c r="C48" s="138">
        <v>36043</v>
      </c>
    </row>
    <row r="49" spans="1:3" s="217" customFormat="1" ht="12" customHeight="1">
      <c r="A49" s="13" t="s">
        <v>275</v>
      </c>
      <c r="B49" s="219" t="s">
        <v>280</v>
      </c>
      <c r="C49" s="138"/>
    </row>
    <row r="50" spans="1:3" s="217" customFormat="1" ht="12" customHeight="1">
      <c r="A50" s="13" t="s">
        <v>276</v>
      </c>
      <c r="B50" s="219" t="s">
        <v>281</v>
      </c>
      <c r="C50" s="138"/>
    </row>
    <row r="51" spans="1:3" s="217" customFormat="1" ht="12" customHeight="1" thickBot="1">
      <c r="A51" s="15" t="s">
        <v>277</v>
      </c>
      <c r="B51" s="131" t="s">
        <v>282</v>
      </c>
      <c r="C51" s="207"/>
    </row>
    <row r="52" spans="1:3" s="217" customFormat="1" ht="12" customHeight="1" thickBot="1">
      <c r="A52" s="19" t="s">
        <v>198</v>
      </c>
      <c r="B52" s="20" t="s">
        <v>283</v>
      </c>
      <c r="C52" s="134">
        <f>SUM(C53:C55)</f>
        <v>14687</v>
      </c>
    </row>
    <row r="53" spans="1:3" s="217" customFormat="1" ht="12" customHeight="1">
      <c r="A53" s="14" t="s">
        <v>152</v>
      </c>
      <c r="B53" s="218" t="s">
        <v>284</v>
      </c>
      <c r="C53" s="136"/>
    </row>
    <row r="54" spans="1:3" s="217" customFormat="1" ht="12" customHeight="1">
      <c r="A54" s="13" t="s">
        <v>153</v>
      </c>
      <c r="B54" s="219" t="s">
        <v>402</v>
      </c>
      <c r="C54" s="138">
        <v>1000</v>
      </c>
    </row>
    <row r="55" spans="1:3" s="217" customFormat="1" ht="12" customHeight="1">
      <c r="A55" s="13" t="s">
        <v>287</v>
      </c>
      <c r="B55" s="219" t="s">
        <v>285</v>
      </c>
      <c r="C55" s="138">
        <v>13687</v>
      </c>
    </row>
    <row r="56" spans="1:3" s="217" customFormat="1" ht="12" customHeight="1" thickBot="1">
      <c r="A56" s="15" t="s">
        <v>288</v>
      </c>
      <c r="B56" s="131" t="s">
        <v>286</v>
      </c>
      <c r="C56" s="137"/>
    </row>
    <row r="57" spans="1:3" s="217" customFormat="1" ht="12" customHeight="1" thickBot="1">
      <c r="A57" s="19" t="s">
        <v>90</v>
      </c>
      <c r="B57" s="129" t="s">
        <v>289</v>
      </c>
      <c r="C57" s="134">
        <f>SUM(C58:C60)</f>
        <v>800</v>
      </c>
    </row>
    <row r="58" spans="1:3" s="217" customFormat="1" ht="12" customHeight="1">
      <c r="A58" s="14" t="s">
        <v>199</v>
      </c>
      <c r="B58" s="218" t="s">
        <v>291</v>
      </c>
      <c r="C58" s="138"/>
    </row>
    <row r="59" spans="1:3" s="217" customFormat="1" ht="12" customHeight="1">
      <c r="A59" s="13" t="s">
        <v>200</v>
      </c>
      <c r="B59" s="219" t="s">
        <v>403</v>
      </c>
      <c r="C59" s="138"/>
    </row>
    <row r="60" spans="1:3" s="217" customFormat="1" ht="12" customHeight="1">
      <c r="A60" s="13" t="s">
        <v>223</v>
      </c>
      <c r="B60" s="219" t="s">
        <v>292</v>
      </c>
      <c r="C60" s="138">
        <v>800</v>
      </c>
    </row>
    <row r="61" spans="1:3" s="217" customFormat="1" ht="12" customHeight="1" thickBot="1">
      <c r="A61" s="15" t="s">
        <v>290</v>
      </c>
      <c r="B61" s="131" t="s">
        <v>293</v>
      </c>
      <c r="C61" s="138"/>
    </row>
    <row r="62" spans="1:3" s="217" customFormat="1" ht="12" customHeight="1" thickBot="1">
      <c r="A62" s="438" t="s">
        <v>515</v>
      </c>
      <c r="B62" s="20" t="s">
        <v>294</v>
      </c>
      <c r="C62" s="139">
        <f>+C5+C12+C19+C26+C34+C46+C52+C57</f>
        <v>2357252</v>
      </c>
    </row>
    <row r="63" spans="1:3" s="217" customFormat="1" ht="12" customHeight="1" thickBot="1">
      <c r="A63" s="439" t="s">
        <v>295</v>
      </c>
      <c r="B63" s="129" t="s">
        <v>296</v>
      </c>
      <c r="C63" s="134">
        <f>SUM(C64:C66)</f>
        <v>10303</v>
      </c>
    </row>
    <row r="64" spans="1:3" s="217" customFormat="1" ht="12" customHeight="1">
      <c r="A64" s="14" t="s">
        <v>327</v>
      </c>
      <c r="B64" s="218" t="s">
        <v>297</v>
      </c>
      <c r="C64" s="138">
        <v>10303</v>
      </c>
    </row>
    <row r="65" spans="1:3" s="217" customFormat="1" ht="12" customHeight="1">
      <c r="A65" s="13" t="s">
        <v>336</v>
      </c>
      <c r="B65" s="219" t="s">
        <v>298</v>
      </c>
      <c r="C65" s="138"/>
    </row>
    <row r="66" spans="1:3" s="217" customFormat="1" ht="12" customHeight="1" thickBot="1">
      <c r="A66" s="15" t="s">
        <v>337</v>
      </c>
      <c r="B66" s="440" t="s">
        <v>516</v>
      </c>
      <c r="C66" s="138"/>
    </row>
    <row r="67" spans="1:3" s="217" customFormat="1" ht="12" customHeight="1" thickBot="1">
      <c r="A67" s="439" t="s">
        <v>300</v>
      </c>
      <c r="B67" s="129" t="s">
        <v>301</v>
      </c>
      <c r="C67" s="134">
        <f>SUM(C68:C71)</f>
        <v>0</v>
      </c>
    </row>
    <row r="68" spans="1:3" s="217" customFormat="1" ht="12" customHeight="1">
      <c r="A68" s="14" t="s">
        <v>179</v>
      </c>
      <c r="B68" s="218" t="s">
        <v>302</v>
      </c>
      <c r="C68" s="138"/>
    </row>
    <row r="69" spans="1:3" s="217" customFormat="1" ht="12" customHeight="1">
      <c r="A69" s="13" t="s">
        <v>180</v>
      </c>
      <c r="B69" s="219" t="s">
        <v>303</v>
      </c>
      <c r="C69" s="138"/>
    </row>
    <row r="70" spans="1:3" s="217" customFormat="1" ht="12" customHeight="1">
      <c r="A70" s="13" t="s">
        <v>328</v>
      </c>
      <c r="B70" s="219" t="s">
        <v>304</v>
      </c>
      <c r="C70" s="138"/>
    </row>
    <row r="71" spans="1:3" s="217" customFormat="1" ht="12" customHeight="1" thickBot="1">
      <c r="A71" s="15" t="s">
        <v>329</v>
      </c>
      <c r="B71" s="131" t="s">
        <v>305</v>
      </c>
      <c r="C71" s="138"/>
    </row>
    <row r="72" spans="1:3" s="217" customFormat="1" ht="12" customHeight="1" thickBot="1">
      <c r="A72" s="439" t="s">
        <v>306</v>
      </c>
      <c r="B72" s="129" t="s">
        <v>307</v>
      </c>
      <c r="C72" s="134">
        <f>SUM(C73:C74)</f>
        <v>264950</v>
      </c>
    </row>
    <row r="73" spans="1:3" s="217" customFormat="1" ht="12" customHeight="1">
      <c r="A73" s="14" t="s">
        <v>330</v>
      </c>
      <c r="B73" s="218" t="s">
        <v>308</v>
      </c>
      <c r="C73" s="510">
        <f>264547+2+401</f>
        <v>264950</v>
      </c>
    </row>
    <row r="74" spans="1:3" s="217" customFormat="1" ht="12" customHeight="1" thickBot="1">
      <c r="A74" s="15" t="s">
        <v>331</v>
      </c>
      <c r="B74" s="131" t="s">
        <v>309</v>
      </c>
      <c r="C74" s="138"/>
    </row>
    <row r="75" spans="1:3" s="217" customFormat="1" ht="12" customHeight="1" thickBot="1">
      <c r="A75" s="439" t="s">
        <v>310</v>
      </c>
      <c r="B75" s="129" t="s">
        <v>311</v>
      </c>
      <c r="C75" s="134">
        <f>SUM(C76:C78)</f>
        <v>35165</v>
      </c>
    </row>
    <row r="76" spans="1:3" s="217" customFormat="1" ht="12" customHeight="1">
      <c r="A76" s="14" t="s">
        <v>332</v>
      </c>
      <c r="B76" s="218" t="s">
        <v>312</v>
      </c>
      <c r="C76" s="510">
        <f>35165</f>
        <v>35165</v>
      </c>
    </row>
    <row r="77" spans="1:3" s="217" customFormat="1" ht="12" customHeight="1">
      <c r="A77" s="13" t="s">
        <v>333</v>
      </c>
      <c r="B77" s="219" t="s">
        <v>313</v>
      </c>
      <c r="C77" s="138"/>
    </row>
    <row r="78" spans="1:3" s="217" customFormat="1" ht="12" customHeight="1" thickBot="1">
      <c r="A78" s="15" t="s">
        <v>334</v>
      </c>
      <c r="B78" s="131" t="s">
        <v>314</v>
      </c>
      <c r="C78" s="138"/>
    </row>
    <row r="79" spans="1:3" s="217" customFormat="1" ht="12" customHeight="1" thickBot="1">
      <c r="A79" s="439" t="s">
        <v>315</v>
      </c>
      <c r="B79" s="129" t="s">
        <v>335</v>
      </c>
      <c r="C79" s="134">
        <f>SUM(C80:C83)</f>
        <v>0</v>
      </c>
    </row>
    <row r="80" spans="1:3" s="217" customFormat="1" ht="12" customHeight="1">
      <c r="A80" s="222" t="s">
        <v>316</v>
      </c>
      <c r="B80" s="218" t="s">
        <v>317</v>
      </c>
      <c r="C80" s="138"/>
    </row>
    <row r="81" spans="1:3" s="217" customFormat="1" ht="12" customHeight="1">
      <c r="A81" s="223" t="s">
        <v>318</v>
      </c>
      <c r="B81" s="219" t="s">
        <v>319</v>
      </c>
      <c r="C81" s="138"/>
    </row>
    <row r="82" spans="1:3" s="217" customFormat="1" ht="12" customHeight="1">
      <c r="A82" s="223" t="s">
        <v>320</v>
      </c>
      <c r="B82" s="219" t="s">
        <v>321</v>
      </c>
      <c r="C82" s="138"/>
    </row>
    <row r="83" spans="1:3" s="217" customFormat="1" ht="12" customHeight="1" thickBot="1">
      <c r="A83" s="224" t="s">
        <v>322</v>
      </c>
      <c r="B83" s="131" t="s">
        <v>323</v>
      </c>
      <c r="C83" s="138"/>
    </row>
    <row r="84" spans="1:3" s="217" customFormat="1" ht="12" customHeight="1" thickBot="1">
      <c r="A84" s="439" t="s">
        <v>324</v>
      </c>
      <c r="B84" s="129" t="s">
        <v>517</v>
      </c>
      <c r="C84" s="259"/>
    </row>
    <row r="85" spans="1:3" s="217" customFormat="1" ht="13.5" customHeight="1" thickBot="1">
      <c r="A85" s="439" t="s">
        <v>326</v>
      </c>
      <c r="B85" s="129" t="s">
        <v>325</v>
      </c>
      <c r="C85" s="259"/>
    </row>
    <row r="86" spans="1:3" s="217" customFormat="1" ht="15.75" customHeight="1" thickBot="1">
      <c r="A86" s="439" t="s">
        <v>338</v>
      </c>
      <c r="B86" s="225" t="s">
        <v>518</v>
      </c>
      <c r="C86" s="139">
        <f>+C63+C67+C72+C75+C79+C85+C84</f>
        <v>310418</v>
      </c>
    </row>
    <row r="87" spans="1:3" s="217" customFormat="1" ht="16.5" customHeight="1" thickBot="1">
      <c r="A87" s="441" t="s">
        <v>519</v>
      </c>
      <c r="B87" s="226" t="s">
        <v>520</v>
      </c>
      <c r="C87" s="139">
        <f>+C62+C86</f>
        <v>2667670</v>
      </c>
    </row>
    <row r="88" spans="1:3" s="217" customFormat="1" ht="83.25" customHeight="1">
      <c r="A88" s="4"/>
      <c r="B88" s="5"/>
      <c r="C88" s="140"/>
    </row>
    <row r="89" spans="1:3" ht="16.5" customHeight="1">
      <c r="A89" s="558" t="s">
        <v>110</v>
      </c>
      <c r="B89" s="558"/>
      <c r="C89" s="558"/>
    </row>
    <row r="90" spans="1:3" s="227" customFormat="1" ht="16.5" customHeight="1" thickBot="1">
      <c r="A90" s="559" t="s">
        <v>182</v>
      </c>
      <c r="B90" s="559"/>
      <c r="C90" s="68" t="s">
        <v>222</v>
      </c>
    </row>
    <row r="91" spans="1:3" ht="37.5" customHeight="1" thickBot="1">
      <c r="A91" s="22" t="s">
        <v>130</v>
      </c>
      <c r="B91" s="23" t="s">
        <v>111</v>
      </c>
      <c r="C91" s="30" t="str">
        <f>+C3</f>
        <v>2016. évi előirányzat</v>
      </c>
    </row>
    <row r="92" spans="1:3" s="216" customFormat="1" ht="12" customHeight="1" thickBot="1">
      <c r="A92" s="26" t="s">
        <v>504</v>
      </c>
      <c r="B92" s="27" t="s">
        <v>505</v>
      </c>
      <c r="C92" s="28" t="s">
        <v>506</v>
      </c>
    </row>
    <row r="93" spans="1:3" ht="12" customHeight="1" thickBot="1">
      <c r="A93" s="21" t="s">
        <v>83</v>
      </c>
      <c r="B93" s="25" t="s">
        <v>558</v>
      </c>
      <c r="C93" s="133">
        <f>C94+C95+C96+C97+C98+C111</f>
        <v>2173989</v>
      </c>
    </row>
    <row r="94" spans="1:3" ht="12" customHeight="1">
      <c r="A94" s="16" t="s">
        <v>154</v>
      </c>
      <c r="B94" s="9" t="s">
        <v>112</v>
      </c>
      <c r="C94" s="511">
        <f>1006476-201-1020-540+62</f>
        <v>1004777</v>
      </c>
    </row>
    <row r="95" spans="1:3" ht="12" customHeight="1">
      <c r="A95" s="13" t="s">
        <v>155</v>
      </c>
      <c r="B95" s="7" t="s">
        <v>201</v>
      </c>
      <c r="C95" s="510">
        <f>193571-55-170-62</f>
        <v>193284</v>
      </c>
    </row>
    <row r="96" spans="1:3" ht="12" customHeight="1">
      <c r="A96" s="13" t="s">
        <v>156</v>
      </c>
      <c r="B96" s="7" t="s">
        <v>177</v>
      </c>
      <c r="C96" s="457">
        <f>620041-6510+5530-135+540-22</f>
        <v>619444</v>
      </c>
    </row>
    <row r="97" spans="1:3" ht="12" customHeight="1">
      <c r="A97" s="13" t="s">
        <v>157</v>
      </c>
      <c r="B97" s="10" t="s">
        <v>202</v>
      </c>
      <c r="C97" s="207">
        <v>76140</v>
      </c>
    </row>
    <row r="98" spans="1:3" ht="12" customHeight="1">
      <c r="A98" s="13" t="s">
        <v>168</v>
      </c>
      <c r="B98" s="18" t="s">
        <v>203</v>
      </c>
      <c r="C98" s="457">
        <f>159128+22</f>
        <v>159150</v>
      </c>
    </row>
    <row r="99" spans="1:3" ht="12" customHeight="1">
      <c r="A99" s="13" t="s">
        <v>158</v>
      </c>
      <c r="B99" s="7" t="s">
        <v>521</v>
      </c>
      <c r="C99" s="207">
        <v>6599</v>
      </c>
    </row>
    <row r="100" spans="1:3" ht="12" customHeight="1">
      <c r="A100" s="13" t="s">
        <v>159</v>
      </c>
      <c r="B100" s="72" t="s">
        <v>522</v>
      </c>
      <c r="C100" s="207"/>
    </row>
    <row r="101" spans="1:3" ht="12" customHeight="1">
      <c r="A101" s="13" t="s">
        <v>169</v>
      </c>
      <c r="B101" s="72" t="s">
        <v>523</v>
      </c>
      <c r="C101" s="207"/>
    </row>
    <row r="102" spans="1:3" ht="12" customHeight="1">
      <c r="A102" s="13" t="s">
        <v>170</v>
      </c>
      <c r="B102" s="70" t="s">
        <v>341</v>
      </c>
      <c r="C102" s="207"/>
    </row>
    <row r="103" spans="1:3" ht="12" customHeight="1">
      <c r="A103" s="13" t="s">
        <v>171</v>
      </c>
      <c r="B103" s="71" t="s">
        <v>342</v>
      </c>
      <c r="C103" s="207"/>
    </row>
    <row r="104" spans="1:3" ht="12" customHeight="1">
      <c r="A104" s="13" t="s">
        <v>172</v>
      </c>
      <c r="B104" s="71" t="s">
        <v>343</v>
      </c>
      <c r="C104" s="207"/>
    </row>
    <row r="105" spans="1:3" ht="12" customHeight="1">
      <c r="A105" s="13" t="s">
        <v>174</v>
      </c>
      <c r="B105" s="70" t="s">
        <v>344</v>
      </c>
      <c r="C105" s="457">
        <f>104176+22</f>
        <v>104198</v>
      </c>
    </row>
    <row r="106" spans="1:3" ht="12" customHeight="1">
      <c r="A106" s="13" t="s">
        <v>204</v>
      </c>
      <c r="B106" s="70" t="s">
        <v>345</v>
      </c>
      <c r="C106" s="207"/>
    </row>
    <row r="107" spans="1:3" ht="12" customHeight="1">
      <c r="A107" s="13" t="s">
        <v>339</v>
      </c>
      <c r="B107" s="71" t="s">
        <v>346</v>
      </c>
      <c r="C107" s="207"/>
    </row>
    <row r="108" spans="1:3" ht="12" customHeight="1">
      <c r="A108" s="12" t="s">
        <v>340</v>
      </c>
      <c r="B108" s="72" t="s">
        <v>347</v>
      </c>
      <c r="C108" s="207"/>
    </row>
    <row r="109" spans="1:3" ht="12" customHeight="1">
      <c r="A109" s="13" t="s">
        <v>524</v>
      </c>
      <c r="B109" s="72" t="s">
        <v>348</v>
      </c>
      <c r="C109" s="207"/>
    </row>
    <row r="110" spans="1:3" ht="12" customHeight="1">
      <c r="A110" s="15" t="s">
        <v>525</v>
      </c>
      <c r="B110" s="72" t="s">
        <v>349</v>
      </c>
      <c r="C110" s="207">
        <v>48353</v>
      </c>
    </row>
    <row r="111" spans="1:3" ht="12" customHeight="1">
      <c r="A111" s="13" t="s">
        <v>526</v>
      </c>
      <c r="B111" s="10" t="s">
        <v>113</v>
      </c>
      <c r="C111" s="138">
        <f>SUM(C112:C113)</f>
        <v>121194</v>
      </c>
    </row>
    <row r="112" spans="1:3" ht="12" customHeight="1">
      <c r="A112" s="13" t="s">
        <v>527</v>
      </c>
      <c r="B112" s="7" t="s">
        <v>528</v>
      </c>
      <c r="C112" s="510">
        <f>908+36504</f>
        <v>37412</v>
      </c>
    </row>
    <row r="113" spans="1:3" ht="12" customHeight="1" thickBot="1">
      <c r="A113" s="17" t="s">
        <v>529</v>
      </c>
      <c r="B113" s="442" t="s">
        <v>530</v>
      </c>
      <c r="C113" s="540">
        <v>83782</v>
      </c>
    </row>
    <row r="114" spans="1:3" ht="12" customHeight="1" thickBot="1">
      <c r="A114" s="443" t="s">
        <v>84</v>
      </c>
      <c r="B114" s="444" t="s">
        <v>350</v>
      </c>
      <c r="C114" s="445">
        <f>+C115+C117+C119</f>
        <v>117474</v>
      </c>
    </row>
    <row r="115" spans="1:3" ht="12" customHeight="1">
      <c r="A115" s="14" t="s">
        <v>160</v>
      </c>
      <c r="B115" s="7" t="s">
        <v>221</v>
      </c>
      <c r="C115" s="258">
        <v>62459</v>
      </c>
    </row>
    <row r="116" spans="1:3" ht="12" customHeight="1">
      <c r="A116" s="14" t="s">
        <v>161</v>
      </c>
      <c r="B116" s="11" t="s">
        <v>354</v>
      </c>
      <c r="C116" s="258"/>
    </row>
    <row r="117" spans="1:3" ht="12" customHeight="1">
      <c r="A117" s="14" t="s">
        <v>162</v>
      </c>
      <c r="B117" s="11" t="s">
        <v>205</v>
      </c>
      <c r="C117" s="138">
        <v>44670</v>
      </c>
    </row>
    <row r="118" spans="1:3" ht="12" customHeight="1">
      <c r="A118" s="14" t="s">
        <v>163</v>
      </c>
      <c r="B118" s="11" t="s">
        <v>355</v>
      </c>
      <c r="C118" s="459"/>
    </row>
    <row r="119" spans="1:3" ht="12" customHeight="1">
      <c r="A119" s="14" t="s">
        <v>164</v>
      </c>
      <c r="B119" s="131" t="s">
        <v>224</v>
      </c>
      <c r="C119" s="459">
        <v>10345</v>
      </c>
    </row>
    <row r="120" spans="1:3" ht="12" customHeight="1">
      <c r="A120" s="14" t="s">
        <v>173</v>
      </c>
      <c r="B120" s="130" t="s">
        <v>404</v>
      </c>
      <c r="C120" s="459"/>
    </row>
    <row r="121" spans="1:3" ht="12" customHeight="1">
      <c r="A121" s="14" t="s">
        <v>175</v>
      </c>
      <c r="B121" s="214" t="s">
        <v>360</v>
      </c>
      <c r="C121" s="459"/>
    </row>
    <row r="122" spans="1:3" ht="15.75">
      <c r="A122" s="14" t="s">
        <v>206</v>
      </c>
      <c r="B122" s="71" t="s">
        <v>343</v>
      </c>
      <c r="C122" s="459"/>
    </row>
    <row r="123" spans="1:3" ht="12" customHeight="1">
      <c r="A123" s="14" t="s">
        <v>207</v>
      </c>
      <c r="B123" s="71" t="s">
        <v>359</v>
      </c>
      <c r="C123" s="459"/>
    </row>
    <row r="124" spans="1:3" ht="12" customHeight="1">
      <c r="A124" s="14" t="s">
        <v>208</v>
      </c>
      <c r="B124" s="71" t="s">
        <v>358</v>
      </c>
      <c r="C124" s="459"/>
    </row>
    <row r="125" spans="1:3" ht="12" customHeight="1">
      <c r="A125" s="14" t="s">
        <v>351</v>
      </c>
      <c r="B125" s="71" t="s">
        <v>346</v>
      </c>
      <c r="C125" s="459"/>
    </row>
    <row r="126" spans="1:3" ht="12" customHeight="1">
      <c r="A126" s="14" t="s">
        <v>352</v>
      </c>
      <c r="B126" s="71" t="s">
        <v>357</v>
      </c>
      <c r="C126" s="459"/>
    </row>
    <row r="127" spans="1:3" ht="16.5" thickBot="1">
      <c r="A127" s="12" t="s">
        <v>353</v>
      </c>
      <c r="B127" s="71" t="s">
        <v>356</v>
      </c>
      <c r="C127" s="487">
        <v>10345</v>
      </c>
    </row>
    <row r="128" spans="1:3" ht="12" customHeight="1" thickBot="1">
      <c r="A128" s="19" t="s">
        <v>85</v>
      </c>
      <c r="B128" s="66" t="s">
        <v>531</v>
      </c>
      <c r="C128" s="134">
        <f>+C93+C114</f>
        <v>2291463</v>
      </c>
    </row>
    <row r="129" spans="1:3" ht="12" customHeight="1" thickBot="1">
      <c r="A129" s="19" t="s">
        <v>86</v>
      </c>
      <c r="B129" s="66" t="s">
        <v>532</v>
      </c>
      <c r="C129" s="134">
        <f>+C130+C131+C132</f>
        <v>0</v>
      </c>
    </row>
    <row r="130" spans="1:3" ht="12" customHeight="1">
      <c r="A130" s="14" t="s">
        <v>251</v>
      </c>
      <c r="B130" s="11" t="s">
        <v>533</v>
      </c>
      <c r="C130" s="459"/>
    </row>
    <row r="131" spans="1:3" ht="12" customHeight="1">
      <c r="A131" s="14" t="s">
        <v>254</v>
      </c>
      <c r="B131" s="11" t="s">
        <v>534</v>
      </c>
      <c r="C131" s="121"/>
    </row>
    <row r="132" spans="1:3" ht="12" customHeight="1" thickBot="1">
      <c r="A132" s="12" t="s">
        <v>255</v>
      </c>
      <c r="B132" s="11" t="s">
        <v>535</v>
      </c>
      <c r="C132" s="121"/>
    </row>
    <row r="133" spans="1:3" ht="12" customHeight="1" thickBot="1">
      <c r="A133" s="19" t="s">
        <v>87</v>
      </c>
      <c r="B133" s="66" t="s">
        <v>536</v>
      </c>
      <c r="C133" s="134">
        <f>SUM(C134:C139)</f>
        <v>0</v>
      </c>
    </row>
    <row r="134" spans="1:3" ht="12" customHeight="1">
      <c r="A134" s="14" t="s">
        <v>147</v>
      </c>
      <c r="B134" s="8" t="s">
        <v>537</v>
      </c>
      <c r="C134" s="121"/>
    </row>
    <row r="135" spans="1:3" ht="12" customHeight="1">
      <c r="A135" s="14" t="s">
        <v>148</v>
      </c>
      <c r="B135" s="8" t="s">
        <v>538</v>
      </c>
      <c r="C135" s="121"/>
    </row>
    <row r="136" spans="1:3" ht="12" customHeight="1">
      <c r="A136" s="14" t="s">
        <v>149</v>
      </c>
      <c r="B136" s="8" t="s">
        <v>539</v>
      </c>
      <c r="C136" s="121"/>
    </row>
    <row r="137" spans="1:3" ht="12" customHeight="1">
      <c r="A137" s="14" t="s">
        <v>193</v>
      </c>
      <c r="B137" s="8" t="s">
        <v>540</v>
      </c>
      <c r="C137" s="121"/>
    </row>
    <row r="138" spans="1:3" ht="12" customHeight="1">
      <c r="A138" s="14" t="s">
        <v>194</v>
      </c>
      <c r="B138" s="8" t="s">
        <v>541</v>
      </c>
      <c r="C138" s="121"/>
    </row>
    <row r="139" spans="1:3" ht="12" customHeight="1" thickBot="1">
      <c r="A139" s="12" t="s">
        <v>195</v>
      </c>
      <c r="B139" s="8" t="s">
        <v>542</v>
      </c>
      <c r="C139" s="121"/>
    </row>
    <row r="140" spans="1:3" ht="12" customHeight="1" thickBot="1">
      <c r="A140" s="19" t="s">
        <v>88</v>
      </c>
      <c r="B140" s="66" t="s">
        <v>543</v>
      </c>
      <c r="C140" s="139">
        <f>+C141+C142+C143+C144</f>
        <v>33302</v>
      </c>
    </row>
    <row r="141" spans="1:3" ht="12" customHeight="1">
      <c r="A141" s="14" t="s">
        <v>150</v>
      </c>
      <c r="B141" s="8" t="s">
        <v>361</v>
      </c>
      <c r="C141" s="121"/>
    </row>
    <row r="142" spans="1:3" ht="12" customHeight="1">
      <c r="A142" s="14" t="s">
        <v>151</v>
      </c>
      <c r="B142" s="8" t="s">
        <v>362</v>
      </c>
      <c r="C142" s="121">
        <v>33302</v>
      </c>
    </row>
    <row r="143" spans="1:3" ht="12" customHeight="1">
      <c r="A143" s="14" t="s">
        <v>275</v>
      </c>
      <c r="B143" s="8" t="s">
        <v>544</v>
      </c>
      <c r="C143" s="121"/>
    </row>
    <row r="144" spans="1:3" ht="12" customHeight="1" thickBot="1">
      <c r="A144" s="12" t="s">
        <v>276</v>
      </c>
      <c r="B144" s="6" t="s">
        <v>372</v>
      </c>
      <c r="C144" s="121"/>
    </row>
    <row r="145" spans="1:3" ht="12" customHeight="1" thickBot="1">
      <c r="A145" s="19" t="s">
        <v>89</v>
      </c>
      <c r="B145" s="66" t="s">
        <v>545</v>
      </c>
      <c r="C145" s="142">
        <f>SUM(C146:C150)</f>
        <v>0</v>
      </c>
    </row>
    <row r="146" spans="1:3" ht="12" customHeight="1">
      <c r="A146" s="14" t="s">
        <v>152</v>
      </c>
      <c r="B146" s="8" t="s">
        <v>546</v>
      </c>
      <c r="C146" s="121"/>
    </row>
    <row r="147" spans="1:3" ht="12" customHeight="1">
      <c r="A147" s="14" t="s">
        <v>153</v>
      </c>
      <c r="B147" s="8" t="s">
        <v>547</v>
      </c>
      <c r="C147" s="121"/>
    </row>
    <row r="148" spans="1:3" ht="12" customHeight="1">
      <c r="A148" s="14" t="s">
        <v>287</v>
      </c>
      <c r="B148" s="8" t="s">
        <v>548</v>
      </c>
      <c r="C148" s="121"/>
    </row>
    <row r="149" spans="1:3" ht="12" customHeight="1">
      <c r="A149" s="14" t="s">
        <v>288</v>
      </c>
      <c r="B149" s="8" t="s">
        <v>549</v>
      </c>
      <c r="C149" s="121"/>
    </row>
    <row r="150" spans="1:3" ht="12" customHeight="1" thickBot="1">
      <c r="A150" s="14" t="s">
        <v>550</v>
      </c>
      <c r="B150" s="8" t="s">
        <v>551</v>
      </c>
      <c r="C150" s="121"/>
    </row>
    <row r="151" spans="1:3" ht="12" customHeight="1" thickBot="1">
      <c r="A151" s="19" t="s">
        <v>90</v>
      </c>
      <c r="B151" s="66" t="s">
        <v>552</v>
      </c>
      <c r="C151" s="446"/>
    </row>
    <row r="152" spans="1:3" ht="12" customHeight="1" thickBot="1">
      <c r="A152" s="19" t="s">
        <v>91</v>
      </c>
      <c r="B152" s="66" t="s">
        <v>553</v>
      </c>
      <c r="C152" s="446"/>
    </row>
    <row r="153" spans="1:9" ht="15" customHeight="1" thickBot="1">
      <c r="A153" s="19" t="s">
        <v>92</v>
      </c>
      <c r="B153" s="66" t="s">
        <v>554</v>
      </c>
      <c r="C153" s="228">
        <f>+C129+C133+C140+C145+C151+C152</f>
        <v>33302</v>
      </c>
      <c r="F153" s="229"/>
      <c r="G153" s="230"/>
      <c r="H153" s="230"/>
      <c r="I153" s="230"/>
    </row>
    <row r="154" spans="1:3" s="217" customFormat="1" ht="12.75" customHeight="1" thickBot="1">
      <c r="A154" s="132" t="s">
        <v>93</v>
      </c>
      <c r="B154" s="200" t="s">
        <v>555</v>
      </c>
      <c r="C154" s="228">
        <f>+C128+C153</f>
        <v>2324765</v>
      </c>
    </row>
    <row r="155" ht="7.5" customHeight="1"/>
    <row r="156" spans="1:3" ht="15.75">
      <c r="A156" s="560" t="s">
        <v>363</v>
      </c>
      <c r="B156" s="560"/>
      <c r="C156" s="560"/>
    </row>
    <row r="157" spans="1:3" ht="15" customHeight="1" thickBot="1">
      <c r="A157" s="557" t="s">
        <v>183</v>
      </c>
      <c r="B157" s="557"/>
      <c r="C157" s="143" t="s">
        <v>222</v>
      </c>
    </row>
    <row r="158" spans="1:4" ht="13.5" customHeight="1" thickBot="1">
      <c r="A158" s="19">
        <v>1</v>
      </c>
      <c r="B158" s="24" t="s">
        <v>556</v>
      </c>
      <c r="C158" s="134">
        <f>+C62-C128</f>
        <v>65789</v>
      </c>
      <c r="D158" s="231"/>
    </row>
    <row r="159" spans="1:3" ht="27.75" customHeight="1" thickBot="1">
      <c r="A159" s="19" t="s">
        <v>84</v>
      </c>
      <c r="B159" s="24" t="s">
        <v>557</v>
      </c>
      <c r="C159" s="134">
        <f>+C86-C153</f>
        <v>277116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5/2017.(II.20.)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B65" sqref="B65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 t="e">
        <f>+CONCATENATE("9.3. melléklet a ……/",LEFT(#REF!,4),". (….) önkormányzati rendelethez")</f>
        <v>#REF!</v>
      </c>
    </row>
    <row r="2" spans="1:3" s="253" customFormat="1" ht="36" customHeight="1">
      <c r="A2" s="208" t="s">
        <v>214</v>
      </c>
      <c r="B2" s="182" t="s">
        <v>8</v>
      </c>
      <c r="C2" s="196" t="s">
        <v>125</v>
      </c>
    </row>
    <row r="3" spans="1:3" s="253" customFormat="1" ht="24.75" thickBot="1">
      <c r="A3" s="246" t="s">
        <v>213</v>
      </c>
      <c r="B3" s="183" t="s">
        <v>375</v>
      </c>
      <c r="C3" s="197" t="s">
        <v>116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4533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v>1720</v>
      </c>
    </row>
    <row r="11" spans="1:3" s="198" customFormat="1" ht="12" customHeight="1">
      <c r="A11" s="248" t="s">
        <v>156</v>
      </c>
      <c r="B11" s="7" t="s">
        <v>266</v>
      </c>
      <c r="C11" s="149"/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>
        <v>1919</v>
      </c>
    </row>
    <row r="14" spans="1:3" s="198" customFormat="1" ht="12" customHeight="1">
      <c r="A14" s="248" t="s">
        <v>158</v>
      </c>
      <c r="B14" s="7" t="s">
        <v>376</v>
      </c>
      <c r="C14" s="149">
        <v>894</v>
      </c>
    </row>
    <row r="15" spans="1:3" s="198" customFormat="1" ht="12" customHeight="1">
      <c r="A15" s="248" t="s">
        <v>159</v>
      </c>
      <c r="B15" s="6" t="s">
        <v>377</v>
      </c>
      <c r="C15" s="149"/>
    </row>
    <row r="16" spans="1:3" s="198" customFormat="1" ht="12" customHeight="1">
      <c r="A16" s="248" t="s">
        <v>169</v>
      </c>
      <c r="B16" s="7" t="s">
        <v>271</v>
      </c>
      <c r="C16" s="188"/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0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/>
    </row>
    <row r="24" spans="1:3" s="256" customFormat="1" ht="12" customHeight="1" thickBot="1">
      <c r="A24" s="248" t="s">
        <v>163</v>
      </c>
      <c r="B24" s="7" t="s">
        <v>3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4</v>
      </c>
      <c r="C26" s="151">
        <f>+C27+C28</f>
        <v>0</v>
      </c>
    </row>
    <row r="27" spans="1:3" s="256" customFormat="1" ht="12" customHeight="1">
      <c r="A27" s="249" t="s">
        <v>251</v>
      </c>
      <c r="B27" s="250" t="s">
        <v>379</v>
      </c>
      <c r="C27" s="36"/>
    </row>
    <row r="28" spans="1:3" s="256" customFormat="1" ht="12" customHeight="1">
      <c r="A28" s="249" t="s">
        <v>254</v>
      </c>
      <c r="B28" s="251" t="s">
        <v>381</v>
      </c>
      <c r="C28" s="152"/>
    </row>
    <row r="29" spans="1:3" s="256" customFormat="1" ht="12" customHeight="1" thickBot="1">
      <c r="A29" s="248" t="s">
        <v>255</v>
      </c>
      <c r="B29" s="69" t="s">
        <v>5</v>
      </c>
      <c r="C29" s="39"/>
    </row>
    <row r="30" spans="1:3" s="256" customFormat="1" ht="12" customHeight="1" thickBot="1">
      <c r="A30" s="93" t="s">
        <v>87</v>
      </c>
      <c r="B30" s="66" t="s">
        <v>382</v>
      </c>
      <c r="C30" s="151">
        <f>+C31+C32+C33</f>
        <v>0</v>
      </c>
    </row>
    <row r="31" spans="1:3" s="256" customFormat="1" ht="12" customHeight="1">
      <c r="A31" s="249" t="s">
        <v>147</v>
      </c>
      <c r="B31" s="250" t="s">
        <v>278</v>
      </c>
      <c r="C31" s="36"/>
    </row>
    <row r="32" spans="1:3" s="256" customFormat="1" ht="12" customHeight="1">
      <c r="A32" s="249" t="s">
        <v>148</v>
      </c>
      <c r="B32" s="251" t="s">
        <v>279</v>
      </c>
      <c r="C32" s="152"/>
    </row>
    <row r="33" spans="1:3" s="256" customFormat="1" ht="12" customHeight="1" thickBot="1">
      <c r="A33" s="248" t="s">
        <v>149</v>
      </c>
      <c r="B33" s="69" t="s">
        <v>280</v>
      </c>
      <c r="C33" s="39"/>
    </row>
    <row r="34" spans="1:3" s="198" customFormat="1" ht="12" customHeight="1" thickBot="1">
      <c r="A34" s="93" t="s">
        <v>88</v>
      </c>
      <c r="B34" s="66" t="s">
        <v>366</v>
      </c>
      <c r="C34" s="178"/>
    </row>
    <row r="35" spans="1:3" s="198" customFormat="1" ht="12" customHeight="1" thickBot="1">
      <c r="A35" s="93" t="s">
        <v>89</v>
      </c>
      <c r="B35" s="66" t="s">
        <v>383</v>
      </c>
      <c r="C35" s="189">
        <v>330</v>
      </c>
    </row>
    <row r="36" spans="1:3" s="198" customFormat="1" ht="12" customHeight="1" thickBot="1">
      <c r="A36" s="90" t="s">
        <v>90</v>
      </c>
      <c r="B36" s="66" t="s">
        <v>6</v>
      </c>
      <c r="C36" s="190">
        <f>+C8+C20+C25+C26+C30+C34+C35</f>
        <v>4863</v>
      </c>
    </row>
    <row r="37" spans="1:3" s="198" customFormat="1" ht="12" customHeight="1" thickBot="1">
      <c r="A37" s="106" t="s">
        <v>91</v>
      </c>
      <c r="B37" s="66" t="s">
        <v>385</v>
      </c>
      <c r="C37" s="190">
        <f>+C38+C39+C40</f>
        <v>312</v>
      </c>
    </row>
    <row r="38" spans="1:3" s="198" customFormat="1" ht="12" customHeight="1">
      <c r="A38" s="249" t="s">
        <v>386</v>
      </c>
      <c r="B38" s="250" t="s">
        <v>231</v>
      </c>
      <c r="C38" s="36">
        <v>312</v>
      </c>
    </row>
    <row r="39" spans="1:3" s="198" customFormat="1" ht="12" customHeight="1">
      <c r="A39" s="249" t="s">
        <v>387</v>
      </c>
      <c r="B39" s="251" t="s">
        <v>74</v>
      </c>
      <c r="C39" s="152"/>
    </row>
    <row r="40" spans="1:3" s="256" customFormat="1" ht="12" customHeight="1" thickBot="1">
      <c r="A40" s="248" t="s">
        <v>388</v>
      </c>
      <c r="B40" s="69" t="s">
        <v>389</v>
      </c>
      <c r="C40" s="39"/>
    </row>
    <row r="41" spans="1:3" s="256" customFormat="1" ht="15" customHeight="1" thickBot="1">
      <c r="A41" s="106" t="s">
        <v>92</v>
      </c>
      <c r="B41" s="107" t="s">
        <v>390</v>
      </c>
      <c r="C41" s="193">
        <f>+C36+C37</f>
        <v>5175</v>
      </c>
    </row>
    <row r="42" spans="1:3" s="256" customFormat="1" ht="15" customHeight="1">
      <c r="A42" s="108"/>
      <c r="B42" s="109"/>
      <c r="C42" s="191"/>
    </row>
    <row r="43" spans="1:3" ht="13.5" thickBot="1">
      <c r="A43" s="110"/>
      <c r="B43" s="111"/>
      <c r="C43" s="192"/>
    </row>
    <row r="44" spans="1:3" s="255" customFormat="1" ht="16.5" customHeight="1" thickBot="1">
      <c r="A44" s="112"/>
      <c r="B44" s="113" t="s">
        <v>121</v>
      </c>
      <c r="C44" s="193"/>
    </row>
    <row r="45" spans="1:3" s="257" customFormat="1" ht="12" customHeight="1" thickBot="1">
      <c r="A45" s="93" t="s">
        <v>83</v>
      </c>
      <c r="B45" s="66" t="s">
        <v>391</v>
      </c>
      <c r="C45" s="151">
        <f>SUM(C46:C50)</f>
        <v>66705</v>
      </c>
    </row>
    <row r="46" spans="1:3" ht="12" customHeight="1">
      <c r="A46" s="248" t="s">
        <v>154</v>
      </c>
      <c r="B46" s="8" t="s">
        <v>112</v>
      </c>
      <c r="C46" s="36">
        <f>32245+2361+1299+548+132+474+834+418+85+264+313+476+194+127+149+227+1669+53</f>
        <v>41868</v>
      </c>
    </row>
    <row r="47" spans="1:3" ht="12" customHeight="1">
      <c r="A47" s="248" t="s">
        <v>155</v>
      </c>
      <c r="B47" s="7" t="s">
        <v>201</v>
      </c>
      <c r="C47" s="38">
        <f>8582+637+350+148+36+128+226+113+23+71+85+129+53+35+40+61+536+59</f>
        <v>11312</v>
      </c>
    </row>
    <row r="48" spans="1:3" ht="12" customHeight="1">
      <c r="A48" s="248" t="s">
        <v>156</v>
      </c>
      <c r="B48" s="7" t="s">
        <v>177</v>
      </c>
      <c r="C48" s="38">
        <f>13143+498-2-2-112</f>
        <v>13525</v>
      </c>
    </row>
    <row r="49" spans="1:3" ht="12" customHeight="1">
      <c r="A49" s="248" t="s">
        <v>157</v>
      </c>
      <c r="B49" s="7" t="s">
        <v>202</v>
      </c>
      <c r="C49" s="38"/>
    </row>
    <row r="50" spans="1:3" ht="12" customHeight="1" thickBot="1">
      <c r="A50" s="248" t="s">
        <v>178</v>
      </c>
      <c r="B50" s="7" t="s">
        <v>203</v>
      </c>
      <c r="C50" s="38"/>
    </row>
    <row r="51" spans="1:3" ht="12" customHeight="1" thickBot="1">
      <c r="A51" s="93" t="s">
        <v>84</v>
      </c>
      <c r="B51" s="66" t="s">
        <v>392</v>
      </c>
      <c r="C51" s="151">
        <f>SUM(C52:C54)</f>
        <v>411</v>
      </c>
    </row>
    <row r="52" spans="1:3" s="257" customFormat="1" ht="12" customHeight="1">
      <c r="A52" s="248" t="s">
        <v>160</v>
      </c>
      <c r="B52" s="8" t="s">
        <v>221</v>
      </c>
      <c r="C52" s="36">
        <f>77+2+2+330</f>
        <v>411</v>
      </c>
    </row>
    <row r="53" spans="1:3" ht="12" customHeight="1">
      <c r="A53" s="248" t="s">
        <v>161</v>
      </c>
      <c r="B53" s="7" t="s">
        <v>205</v>
      </c>
      <c r="C53" s="38"/>
    </row>
    <row r="54" spans="1:3" ht="12" customHeight="1">
      <c r="A54" s="248" t="s">
        <v>162</v>
      </c>
      <c r="B54" s="7" t="s">
        <v>122</v>
      </c>
      <c r="C54" s="38"/>
    </row>
    <row r="55" spans="1:3" ht="12" customHeight="1" thickBot="1">
      <c r="A55" s="248" t="s">
        <v>163</v>
      </c>
      <c r="B55" s="7" t="s">
        <v>590</v>
      </c>
      <c r="C55" s="38"/>
    </row>
    <row r="56" spans="1:3" ht="15" customHeight="1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67116</v>
      </c>
    </row>
    <row r="58" ht="15" customHeight="1" thickBot="1">
      <c r="C58" s="195"/>
    </row>
    <row r="59" spans="1:3" ht="14.25" customHeight="1" thickBot="1">
      <c r="A59" s="117" t="s">
        <v>583</v>
      </c>
      <c r="B59" s="118"/>
      <c r="C59" s="65">
        <v>20</v>
      </c>
    </row>
    <row r="60" spans="1:3" ht="13.5" thickBot="1">
      <c r="A60" s="117" t="s">
        <v>216</v>
      </c>
      <c r="B60" s="118"/>
      <c r="C60" s="6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5/2017.(II.20.)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0" sqref="C40"/>
    </sheetView>
  </sheetViews>
  <sheetFormatPr defaultColWidth="9.00390625" defaultRowHeight="12.75"/>
  <cols>
    <col min="1" max="1" width="13.875" style="115" customWidth="1"/>
    <col min="2" max="2" width="79.125" style="116" customWidth="1"/>
    <col min="3" max="3" width="25.00390625" style="116" customWidth="1"/>
    <col min="4" max="16384" width="9.375" style="116" customWidth="1"/>
  </cols>
  <sheetData>
    <row r="1" spans="1:3" s="95" customFormat="1" ht="21" customHeight="1" thickBot="1">
      <c r="A1" s="94"/>
      <c r="B1" s="96"/>
      <c r="C1" s="252" t="e">
        <f>+CONCATENATE("9.3.1. melléklet a ……/",LEFT(#REF!,4),". (….) önkormányzati rendelethez")</f>
        <v>#REF!</v>
      </c>
    </row>
    <row r="2" spans="1:3" s="253" customFormat="1" ht="36" customHeight="1">
      <c r="A2" s="208" t="s">
        <v>214</v>
      </c>
      <c r="B2" s="182" t="s">
        <v>8</v>
      </c>
      <c r="C2" s="196" t="s">
        <v>125</v>
      </c>
    </row>
    <row r="3" spans="1:3" s="253" customFormat="1" ht="24.75" thickBot="1">
      <c r="A3" s="246" t="s">
        <v>213</v>
      </c>
      <c r="B3" s="183" t="s">
        <v>393</v>
      </c>
      <c r="C3" s="197" t="s">
        <v>124</v>
      </c>
    </row>
    <row r="4" spans="1:3" s="254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s="25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255" customFormat="1" ht="15.75" customHeight="1" thickBot="1">
      <c r="A7" s="102"/>
      <c r="B7" s="103" t="s">
        <v>120</v>
      </c>
      <c r="C7" s="104"/>
    </row>
    <row r="8" spans="1:3" s="198" customFormat="1" ht="12" customHeight="1" thickBot="1">
      <c r="A8" s="90" t="s">
        <v>83</v>
      </c>
      <c r="B8" s="105" t="s">
        <v>586</v>
      </c>
      <c r="C8" s="151">
        <f>SUM(C9:C19)</f>
        <v>4533</v>
      </c>
    </row>
    <row r="9" spans="1:3" s="198" customFormat="1" ht="12" customHeight="1">
      <c r="A9" s="247" t="s">
        <v>154</v>
      </c>
      <c r="B9" s="9" t="s">
        <v>264</v>
      </c>
      <c r="C9" s="187"/>
    </row>
    <row r="10" spans="1:3" s="198" customFormat="1" ht="12" customHeight="1">
      <c r="A10" s="248" t="s">
        <v>155</v>
      </c>
      <c r="B10" s="7" t="s">
        <v>265</v>
      </c>
      <c r="C10" s="149">
        <v>1720</v>
      </c>
    </row>
    <row r="11" spans="1:3" s="198" customFormat="1" ht="12" customHeight="1">
      <c r="A11" s="248" t="s">
        <v>156</v>
      </c>
      <c r="B11" s="7" t="s">
        <v>266</v>
      </c>
      <c r="C11" s="149"/>
    </row>
    <row r="12" spans="1:3" s="198" customFormat="1" ht="12" customHeight="1">
      <c r="A12" s="248" t="s">
        <v>157</v>
      </c>
      <c r="B12" s="7" t="s">
        <v>267</v>
      </c>
      <c r="C12" s="149"/>
    </row>
    <row r="13" spans="1:3" s="198" customFormat="1" ht="12" customHeight="1">
      <c r="A13" s="248" t="s">
        <v>178</v>
      </c>
      <c r="B13" s="7" t="s">
        <v>268</v>
      </c>
      <c r="C13" s="149">
        <v>1919</v>
      </c>
    </row>
    <row r="14" spans="1:3" s="198" customFormat="1" ht="12" customHeight="1">
      <c r="A14" s="248" t="s">
        <v>158</v>
      </c>
      <c r="B14" s="7" t="s">
        <v>376</v>
      </c>
      <c r="C14" s="149">
        <v>894</v>
      </c>
    </row>
    <row r="15" spans="1:3" s="198" customFormat="1" ht="12" customHeight="1">
      <c r="A15" s="248" t="s">
        <v>159</v>
      </c>
      <c r="B15" s="6" t="s">
        <v>377</v>
      </c>
      <c r="C15" s="149"/>
    </row>
    <row r="16" spans="1:3" s="198" customFormat="1" ht="12" customHeight="1">
      <c r="A16" s="248" t="s">
        <v>169</v>
      </c>
      <c r="B16" s="7" t="s">
        <v>271</v>
      </c>
      <c r="C16" s="188"/>
    </row>
    <row r="17" spans="1:3" s="256" customFormat="1" ht="12" customHeight="1">
      <c r="A17" s="248" t="s">
        <v>170</v>
      </c>
      <c r="B17" s="7" t="s">
        <v>272</v>
      </c>
      <c r="C17" s="149"/>
    </row>
    <row r="18" spans="1:3" s="256" customFormat="1" ht="12" customHeight="1">
      <c r="A18" s="248" t="s">
        <v>171</v>
      </c>
      <c r="B18" s="7" t="s">
        <v>513</v>
      </c>
      <c r="C18" s="150"/>
    </row>
    <row r="19" spans="1:3" s="256" customFormat="1" ht="12" customHeight="1" thickBot="1">
      <c r="A19" s="248" t="s">
        <v>172</v>
      </c>
      <c r="B19" s="6" t="s">
        <v>273</v>
      </c>
      <c r="C19" s="150"/>
    </row>
    <row r="20" spans="1:3" s="198" customFormat="1" ht="12" customHeight="1" thickBot="1">
      <c r="A20" s="90" t="s">
        <v>84</v>
      </c>
      <c r="B20" s="105" t="s">
        <v>378</v>
      </c>
      <c r="C20" s="151">
        <f>SUM(C21:C23)</f>
        <v>0</v>
      </c>
    </row>
    <row r="21" spans="1:3" s="256" customFormat="1" ht="12" customHeight="1">
      <c r="A21" s="248" t="s">
        <v>160</v>
      </c>
      <c r="B21" s="8" t="s">
        <v>241</v>
      </c>
      <c r="C21" s="149"/>
    </row>
    <row r="22" spans="1:3" s="256" customFormat="1" ht="12" customHeight="1">
      <c r="A22" s="248" t="s">
        <v>161</v>
      </c>
      <c r="B22" s="7" t="s">
        <v>379</v>
      </c>
      <c r="C22" s="149"/>
    </row>
    <row r="23" spans="1:3" s="256" customFormat="1" ht="12" customHeight="1">
      <c r="A23" s="248" t="s">
        <v>162</v>
      </c>
      <c r="B23" s="7" t="s">
        <v>380</v>
      </c>
      <c r="C23" s="149"/>
    </row>
    <row r="24" spans="1:3" s="256" customFormat="1" ht="12" customHeight="1" thickBot="1">
      <c r="A24" s="248" t="s">
        <v>163</v>
      </c>
      <c r="B24" s="7" t="s">
        <v>3</v>
      </c>
      <c r="C24" s="149"/>
    </row>
    <row r="25" spans="1:3" s="256" customFormat="1" ht="12" customHeight="1" thickBot="1">
      <c r="A25" s="93" t="s">
        <v>85</v>
      </c>
      <c r="B25" s="66" t="s">
        <v>192</v>
      </c>
      <c r="C25" s="178"/>
    </row>
    <row r="26" spans="1:3" s="256" customFormat="1" ht="12" customHeight="1" thickBot="1">
      <c r="A26" s="93" t="s">
        <v>86</v>
      </c>
      <c r="B26" s="66" t="s">
        <v>4</v>
      </c>
      <c r="C26" s="151">
        <f>+C27+C28</f>
        <v>0</v>
      </c>
    </row>
    <row r="27" spans="1:3" s="256" customFormat="1" ht="12" customHeight="1">
      <c r="A27" s="249" t="s">
        <v>251</v>
      </c>
      <c r="B27" s="250" t="s">
        <v>379</v>
      </c>
      <c r="C27" s="36"/>
    </row>
    <row r="28" spans="1:3" s="256" customFormat="1" ht="12" customHeight="1">
      <c r="A28" s="249" t="s">
        <v>254</v>
      </c>
      <c r="B28" s="251" t="s">
        <v>381</v>
      </c>
      <c r="C28" s="152"/>
    </row>
    <row r="29" spans="1:3" s="256" customFormat="1" ht="12" customHeight="1" thickBot="1">
      <c r="A29" s="248" t="s">
        <v>255</v>
      </c>
      <c r="B29" s="69" t="s">
        <v>5</v>
      </c>
      <c r="C29" s="39"/>
    </row>
    <row r="30" spans="1:3" s="256" customFormat="1" ht="12" customHeight="1" thickBot="1">
      <c r="A30" s="93" t="s">
        <v>87</v>
      </c>
      <c r="B30" s="66" t="s">
        <v>382</v>
      </c>
      <c r="C30" s="151">
        <f>+C31+C32+C33</f>
        <v>0</v>
      </c>
    </row>
    <row r="31" spans="1:3" s="256" customFormat="1" ht="12" customHeight="1">
      <c r="A31" s="249" t="s">
        <v>147</v>
      </c>
      <c r="B31" s="250" t="s">
        <v>278</v>
      </c>
      <c r="C31" s="36"/>
    </row>
    <row r="32" spans="1:3" s="256" customFormat="1" ht="12" customHeight="1">
      <c r="A32" s="249" t="s">
        <v>148</v>
      </c>
      <c r="B32" s="251" t="s">
        <v>279</v>
      </c>
      <c r="C32" s="152"/>
    </row>
    <row r="33" spans="1:3" s="256" customFormat="1" ht="12" customHeight="1" thickBot="1">
      <c r="A33" s="248" t="s">
        <v>149</v>
      </c>
      <c r="B33" s="69" t="s">
        <v>280</v>
      </c>
      <c r="C33" s="39"/>
    </row>
    <row r="34" spans="1:3" s="198" customFormat="1" ht="12" customHeight="1" thickBot="1">
      <c r="A34" s="93" t="s">
        <v>88</v>
      </c>
      <c r="B34" s="66" t="s">
        <v>366</v>
      </c>
      <c r="C34" s="178"/>
    </row>
    <row r="35" spans="1:3" s="198" customFormat="1" ht="12" customHeight="1" thickBot="1">
      <c r="A35" s="93" t="s">
        <v>89</v>
      </c>
      <c r="B35" s="66" t="s">
        <v>383</v>
      </c>
      <c r="C35" s="189">
        <v>330</v>
      </c>
    </row>
    <row r="36" spans="1:3" s="198" customFormat="1" ht="12" customHeight="1" thickBot="1">
      <c r="A36" s="90" t="s">
        <v>90</v>
      </c>
      <c r="B36" s="66" t="s">
        <v>6</v>
      </c>
      <c r="C36" s="190">
        <f>+C8+C20+C25+C26+C30+C34+C35</f>
        <v>4863</v>
      </c>
    </row>
    <row r="37" spans="1:3" s="198" customFormat="1" ht="12" customHeight="1" thickBot="1">
      <c r="A37" s="106" t="s">
        <v>91</v>
      </c>
      <c r="B37" s="66" t="s">
        <v>385</v>
      </c>
      <c r="C37" s="190">
        <f>+C38+C39+C40</f>
        <v>312</v>
      </c>
    </row>
    <row r="38" spans="1:3" s="198" customFormat="1" ht="12" customHeight="1">
      <c r="A38" s="249" t="s">
        <v>386</v>
      </c>
      <c r="B38" s="250" t="s">
        <v>231</v>
      </c>
      <c r="C38" s="36">
        <v>312</v>
      </c>
    </row>
    <row r="39" spans="1:3" s="198" customFormat="1" ht="12" customHeight="1">
      <c r="A39" s="249" t="s">
        <v>387</v>
      </c>
      <c r="B39" s="251" t="s">
        <v>74</v>
      </c>
      <c r="C39" s="152"/>
    </row>
    <row r="40" spans="1:3" s="256" customFormat="1" ht="12" customHeight="1" thickBot="1">
      <c r="A40" s="248" t="s">
        <v>388</v>
      </c>
      <c r="B40" s="69" t="s">
        <v>389</v>
      </c>
      <c r="C40" s="39"/>
    </row>
    <row r="41" spans="1:3" s="256" customFormat="1" ht="15" customHeight="1" thickBot="1">
      <c r="A41" s="106" t="s">
        <v>92</v>
      </c>
      <c r="B41" s="107" t="s">
        <v>390</v>
      </c>
      <c r="C41" s="193">
        <f>+C36+C37</f>
        <v>5175</v>
      </c>
    </row>
    <row r="42" spans="1:3" s="256" customFormat="1" ht="15" customHeight="1">
      <c r="A42" s="108"/>
      <c r="B42" s="109"/>
      <c r="C42" s="191"/>
    </row>
    <row r="43" spans="1:3" ht="13.5" thickBot="1">
      <c r="A43" s="110"/>
      <c r="B43" s="111"/>
      <c r="C43" s="192"/>
    </row>
    <row r="44" spans="1:3" s="255" customFormat="1" ht="16.5" customHeight="1" thickBot="1">
      <c r="A44" s="112"/>
      <c r="B44" s="113" t="s">
        <v>121</v>
      </c>
      <c r="C44" s="193"/>
    </row>
    <row r="45" spans="1:3" s="257" customFormat="1" ht="12" customHeight="1" thickBot="1">
      <c r="A45" s="93" t="s">
        <v>83</v>
      </c>
      <c r="B45" s="66" t="s">
        <v>391</v>
      </c>
      <c r="C45" s="151">
        <f>SUM(C46:C50)</f>
        <v>66705</v>
      </c>
    </row>
    <row r="46" spans="1:3" ht="12" customHeight="1">
      <c r="A46" s="248" t="s">
        <v>154</v>
      </c>
      <c r="B46" s="8" t="s">
        <v>112</v>
      </c>
      <c r="C46" s="36">
        <f>32245+2361+1299+548+132+474+834+418+85+264+313+476+697+1669+53</f>
        <v>41868</v>
      </c>
    </row>
    <row r="47" spans="1:3" ht="12" customHeight="1">
      <c r="A47" s="248" t="s">
        <v>155</v>
      </c>
      <c r="B47" s="7" t="s">
        <v>201</v>
      </c>
      <c r="C47" s="38">
        <f>8582+637+350+148+36+128+226+113+23+71+85+129+189+536+59</f>
        <v>11312</v>
      </c>
    </row>
    <row r="48" spans="1:3" ht="12" customHeight="1">
      <c r="A48" s="248" t="s">
        <v>156</v>
      </c>
      <c r="B48" s="7" t="s">
        <v>177</v>
      </c>
      <c r="C48" s="38">
        <f>13143+498-2-2-112</f>
        <v>13525</v>
      </c>
    </row>
    <row r="49" spans="1:3" ht="12" customHeight="1">
      <c r="A49" s="248" t="s">
        <v>157</v>
      </c>
      <c r="B49" s="7" t="s">
        <v>202</v>
      </c>
      <c r="C49" s="38"/>
    </row>
    <row r="50" spans="1:3" ht="12" customHeight="1" thickBot="1">
      <c r="A50" s="248" t="s">
        <v>178</v>
      </c>
      <c r="B50" s="7" t="s">
        <v>203</v>
      </c>
      <c r="C50" s="38"/>
    </row>
    <row r="51" spans="1:3" ht="12" customHeight="1" thickBot="1">
      <c r="A51" s="93" t="s">
        <v>84</v>
      </c>
      <c r="B51" s="66" t="s">
        <v>392</v>
      </c>
      <c r="C51" s="151">
        <f>SUM(C52:C54)</f>
        <v>411</v>
      </c>
    </row>
    <row r="52" spans="1:3" s="257" customFormat="1" ht="12" customHeight="1">
      <c r="A52" s="248" t="s">
        <v>160</v>
      </c>
      <c r="B52" s="8" t="s">
        <v>221</v>
      </c>
      <c r="C52" s="36">
        <f>77+2+2+330</f>
        <v>411</v>
      </c>
    </row>
    <row r="53" spans="1:3" ht="12" customHeight="1">
      <c r="A53" s="248" t="s">
        <v>161</v>
      </c>
      <c r="B53" s="7" t="s">
        <v>205</v>
      </c>
      <c r="C53" s="38"/>
    </row>
    <row r="54" spans="1:3" ht="12" customHeight="1">
      <c r="A54" s="248" t="s">
        <v>162</v>
      </c>
      <c r="B54" s="7" t="s">
        <v>122</v>
      </c>
      <c r="C54" s="38"/>
    </row>
    <row r="55" spans="1:3" ht="12" customHeight="1" thickBot="1">
      <c r="A55" s="248" t="s">
        <v>163</v>
      </c>
      <c r="B55" s="7" t="s">
        <v>590</v>
      </c>
      <c r="C55" s="38"/>
    </row>
    <row r="56" spans="1:3" ht="15" customHeight="1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67116</v>
      </c>
    </row>
    <row r="58" ht="15" customHeight="1" thickBot="1">
      <c r="C58" s="195"/>
    </row>
    <row r="59" spans="1:3" ht="14.25" customHeight="1" thickBot="1">
      <c r="A59" s="117" t="s">
        <v>583</v>
      </c>
      <c r="B59" s="118"/>
      <c r="C59" s="65">
        <v>20</v>
      </c>
    </row>
    <row r="60" spans="1:3" ht="13.5" thickBot="1">
      <c r="A60" s="117" t="s">
        <v>216</v>
      </c>
      <c r="B60" s="118"/>
      <c r="C60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5/2017.(II.20.)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workbookViewId="0" topLeftCell="A34">
      <selection activeCell="B62" sqref="B62"/>
    </sheetView>
  </sheetViews>
  <sheetFormatPr defaultColWidth="9.00390625" defaultRowHeight="12.75"/>
  <cols>
    <col min="1" max="1" width="13.875" style="115" customWidth="1"/>
    <col min="2" max="2" width="79.375" style="0" customWidth="1"/>
    <col min="3" max="3" width="25.00390625" style="0" customWidth="1"/>
  </cols>
  <sheetData>
    <row r="1" spans="1:3" ht="16.5" customHeight="1" thickBot="1">
      <c r="A1" s="94"/>
      <c r="B1" s="96"/>
      <c r="C1" s="252" t="e">
        <f>+CONCATENATE("9.3.1. melléklet a ……/",LEFT(#REF!,4),". (….) önkormányzati rendelethez")</f>
        <v>#REF!</v>
      </c>
    </row>
    <row r="2" spans="1:3" ht="36" customHeight="1">
      <c r="A2" s="208" t="s">
        <v>214</v>
      </c>
      <c r="B2" s="182" t="s">
        <v>53</v>
      </c>
      <c r="C2" s="196" t="s">
        <v>125</v>
      </c>
    </row>
    <row r="3" spans="1:3" ht="24" customHeight="1" thickBot="1">
      <c r="A3" s="246" t="s">
        <v>213</v>
      </c>
      <c r="B3" s="183" t="s">
        <v>54</v>
      </c>
      <c r="C3" s="197" t="s">
        <v>116</v>
      </c>
    </row>
    <row r="4" spans="1:3" ht="14.25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ht="13.5" thickBot="1">
      <c r="A6" s="90" t="s">
        <v>504</v>
      </c>
      <c r="B6" s="91" t="s">
        <v>505</v>
      </c>
      <c r="C6" s="92" t="s">
        <v>506</v>
      </c>
    </row>
    <row r="7" spans="1:3" ht="13.5" thickBot="1">
      <c r="A7" s="102"/>
      <c r="B7" s="103" t="s">
        <v>120</v>
      </c>
      <c r="C7" s="104"/>
    </row>
    <row r="8" spans="1:3" ht="13.5" thickBot="1">
      <c r="A8" s="90" t="s">
        <v>83</v>
      </c>
      <c r="B8" s="105" t="s">
        <v>586</v>
      </c>
      <c r="C8" s="151">
        <f>SUM(C9:C19)</f>
        <v>11262</v>
      </c>
    </row>
    <row r="9" spans="1:3" ht="12.75">
      <c r="A9" s="247" t="s">
        <v>154</v>
      </c>
      <c r="B9" s="9" t="s">
        <v>264</v>
      </c>
      <c r="C9" s="187">
        <v>30</v>
      </c>
    </row>
    <row r="10" spans="1:3" ht="12.75">
      <c r="A10" s="248" t="s">
        <v>155</v>
      </c>
      <c r="B10" s="7" t="s">
        <v>265</v>
      </c>
      <c r="C10" s="149">
        <f>6450+487-873</f>
        <v>6064</v>
      </c>
    </row>
    <row r="11" spans="1:3" ht="12.75">
      <c r="A11" s="248" t="s">
        <v>156</v>
      </c>
      <c r="B11" s="7" t="s">
        <v>266</v>
      </c>
      <c r="C11" s="149">
        <f>690+13-74</f>
        <v>629</v>
      </c>
    </row>
    <row r="12" spans="1:3" ht="12.75">
      <c r="A12" s="248" t="s">
        <v>157</v>
      </c>
      <c r="B12" s="7" t="s">
        <v>267</v>
      </c>
      <c r="C12" s="149"/>
    </row>
    <row r="13" spans="1:3" ht="12.75">
      <c r="A13" s="248" t="s">
        <v>178</v>
      </c>
      <c r="B13" s="7" t="s">
        <v>268</v>
      </c>
      <c r="C13" s="149"/>
    </row>
    <row r="14" spans="1:3" ht="12.75">
      <c r="A14" s="248" t="s">
        <v>158</v>
      </c>
      <c r="B14" s="7" t="s">
        <v>376</v>
      </c>
      <c r="C14" s="149">
        <f>284+151-2</f>
        <v>433</v>
      </c>
    </row>
    <row r="15" spans="1:3" ht="12.75">
      <c r="A15" s="248" t="s">
        <v>159</v>
      </c>
      <c r="B15" s="6" t="s">
        <v>377</v>
      </c>
      <c r="C15" s="149">
        <f>2707+1399</f>
        <v>4106</v>
      </c>
    </row>
    <row r="16" spans="1:3" ht="12.75">
      <c r="A16" s="248" t="s">
        <v>169</v>
      </c>
      <c r="B16" s="7" t="s">
        <v>271</v>
      </c>
      <c r="C16" s="188"/>
    </row>
    <row r="17" spans="1:3" ht="12.75">
      <c r="A17" s="248" t="s">
        <v>170</v>
      </c>
      <c r="B17" s="7" t="s">
        <v>272</v>
      </c>
      <c r="C17" s="149"/>
    </row>
    <row r="18" spans="1:3" ht="12.75">
      <c r="A18" s="248" t="s">
        <v>171</v>
      </c>
      <c r="B18" s="7" t="s">
        <v>513</v>
      </c>
      <c r="C18" s="150"/>
    </row>
    <row r="19" spans="1:3" ht="13.5" thickBot="1">
      <c r="A19" s="248" t="s">
        <v>172</v>
      </c>
      <c r="B19" s="6" t="s">
        <v>273</v>
      </c>
      <c r="C19" s="150"/>
    </row>
    <row r="20" spans="1:3" ht="13.5" thickBot="1">
      <c r="A20" s="90" t="s">
        <v>84</v>
      </c>
      <c r="B20" s="105" t="s">
        <v>378</v>
      </c>
      <c r="C20" s="151">
        <f>SUM(C21:C23)</f>
        <v>300</v>
      </c>
    </row>
    <row r="21" spans="1:3" ht="12.75">
      <c r="A21" s="248" t="s">
        <v>160</v>
      </c>
      <c r="B21" s="8" t="s">
        <v>241</v>
      </c>
      <c r="C21" s="149"/>
    </row>
    <row r="22" spans="1:3" ht="12.75">
      <c r="A22" s="248" t="s">
        <v>161</v>
      </c>
      <c r="B22" s="7" t="s">
        <v>379</v>
      </c>
      <c r="C22" s="149"/>
    </row>
    <row r="23" spans="1:3" ht="12.75">
      <c r="A23" s="248" t="s">
        <v>162</v>
      </c>
      <c r="B23" s="7" t="s">
        <v>380</v>
      </c>
      <c r="C23" s="149">
        <v>300</v>
      </c>
    </row>
    <row r="24" spans="1:3" ht="13.5" thickBot="1">
      <c r="A24" s="248" t="s">
        <v>163</v>
      </c>
      <c r="B24" s="7" t="s">
        <v>3</v>
      </c>
      <c r="C24" s="149"/>
    </row>
    <row r="25" spans="1:3" ht="13.5" thickBot="1">
      <c r="A25" s="93" t="s">
        <v>85</v>
      </c>
      <c r="B25" s="66" t="s">
        <v>192</v>
      </c>
      <c r="C25" s="178"/>
    </row>
    <row r="26" spans="1:3" ht="13.5" thickBot="1">
      <c r="A26" s="93" t="s">
        <v>86</v>
      </c>
      <c r="B26" s="66" t="s">
        <v>4</v>
      </c>
      <c r="C26" s="151">
        <f>+C27+C28</f>
        <v>0</v>
      </c>
    </row>
    <row r="27" spans="1:3" ht="12.75">
      <c r="A27" s="249" t="s">
        <v>251</v>
      </c>
      <c r="B27" s="250" t="s">
        <v>379</v>
      </c>
      <c r="C27" s="36"/>
    </row>
    <row r="28" spans="1:3" ht="12.75">
      <c r="A28" s="249" t="s">
        <v>254</v>
      </c>
      <c r="B28" s="251" t="s">
        <v>381</v>
      </c>
      <c r="C28" s="152"/>
    </row>
    <row r="29" spans="1:3" ht="13.5" thickBot="1">
      <c r="A29" s="248" t="s">
        <v>255</v>
      </c>
      <c r="B29" s="69" t="s">
        <v>5</v>
      </c>
      <c r="C29" s="39"/>
    </row>
    <row r="30" spans="1:3" ht="13.5" thickBot="1">
      <c r="A30" s="93" t="s">
        <v>87</v>
      </c>
      <c r="B30" s="66" t="s">
        <v>382</v>
      </c>
      <c r="C30" s="151">
        <f>+C31+C32+C33</f>
        <v>0</v>
      </c>
    </row>
    <row r="31" spans="1:3" ht="12.75">
      <c r="A31" s="249" t="s">
        <v>147</v>
      </c>
      <c r="B31" s="250" t="s">
        <v>278</v>
      </c>
      <c r="C31" s="36"/>
    </row>
    <row r="32" spans="1:3" ht="12.75">
      <c r="A32" s="249" t="s">
        <v>148</v>
      </c>
      <c r="B32" s="251" t="s">
        <v>279</v>
      </c>
      <c r="C32" s="152"/>
    </row>
    <row r="33" spans="1:3" ht="13.5" thickBot="1">
      <c r="A33" s="248" t="s">
        <v>149</v>
      </c>
      <c r="B33" s="69" t="s">
        <v>280</v>
      </c>
      <c r="C33" s="39"/>
    </row>
    <row r="34" spans="1:3" ht="13.5" thickBot="1">
      <c r="A34" s="93" t="s">
        <v>88</v>
      </c>
      <c r="B34" s="66" t="s">
        <v>366</v>
      </c>
      <c r="C34" s="178"/>
    </row>
    <row r="35" spans="1:3" ht="13.5" thickBot="1">
      <c r="A35" s="93" t="s">
        <v>89</v>
      </c>
      <c r="B35" s="66" t="s">
        <v>383</v>
      </c>
      <c r="C35" s="189">
        <v>70</v>
      </c>
    </row>
    <row r="36" spans="1:3" ht="13.5" thickBot="1">
      <c r="A36" s="90" t="s">
        <v>90</v>
      </c>
      <c r="B36" s="66" t="s">
        <v>6</v>
      </c>
      <c r="C36" s="190">
        <f>+C8+C20+C25+C26+C30+C34+C35</f>
        <v>11632</v>
      </c>
    </row>
    <row r="37" spans="1:3" ht="13.5" thickBot="1">
      <c r="A37" s="106" t="s">
        <v>91</v>
      </c>
      <c r="B37" s="66" t="s">
        <v>385</v>
      </c>
      <c r="C37" s="190">
        <f>+C38+C39+C40</f>
        <v>0</v>
      </c>
    </row>
    <row r="38" spans="1:3" ht="12.75">
      <c r="A38" s="249" t="s">
        <v>386</v>
      </c>
      <c r="B38" s="250" t="s">
        <v>231</v>
      </c>
      <c r="C38" s="36"/>
    </row>
    <row r="39" spans="1:3" ht="12.75">
      <c r="A39" s="249" t="s">
        <v>387</v>
      </c>
      <c r="B39" s="251" t="s">
        <v>74</v>
      </c>
      <c r="C39" s="152"/>
    </row>
    <row r="40" spans="1:3" ht="13.5" thickBot="1">
      <c r="A40" s="248" t="s">
        <v>388</v>
      </c>
      <c r="B40" s="69" t="s">
        <v>389</v>
      </c>
      <c r="C40" s="39"/>
    </row>
    <row r="41" spans="1:3" ht="13.5" thickBot="1">
      <c r="A41" s="106" t="s">
        <v>92</v>
      </c>
      <c r="B41" s="107" t="s">
        <v>390</v>
      </c>
      <c r="C41" s="193">
        <f>+C36+C37</f>
        <v>11632</v>
      </c>
    </row>
    <row r="42" spans="1:3" ht="12.75">
      <c r="A42" s="108"/>
      <c r="B42" s="109"/>
      <c r="C42" s="191"/>
    </row>
    <row r="43" spans="1:3" ht="13.5" thickBot="1">
      <c r="A43" s="110"/>
      <c r="B43" s="111"/>
      <c r="C43" s="192"/>
    </row>
    <row r="44" spans="1:3" ht="13.5" thickBot="1">
      <c r="A44" s="112"/>
      <c r="B44" s="113" t="s">
        <v>121</v>
      </c>
      <c r="C44" s="193"/>
    </row>
    <row r="45" spans="1:3" ht="13.5" thickBot="1">
      <c r="A45" s="93" t="s">
        <v>83</v>
      </c>
      <c r="B45" s="66" t="s">
        <v>391</v>
      </c>
      <c r="C45" s="151">
        <f>SUM(C46:C50)</f>
        <v>71132</v>
      </c>
    </row>
    <row r="46" spans="1:3" ht="12.75">
      <c r="A46" s="248" t="s">
        <v>154</v>
      </c>
      <c r="B46" s="8" t="s">
        <v>112</v>
      </c>
      <c r="C46" s="36">
        <f>27794+64-3+67+93+56-1180+111+111+112</f>
        <v>27225</v>
      </c>
    </row>
    <row r="47" spans="1:3" ht="12.75">
      <c r="A47" s="248" t="s">
        <v>155</v>
      </c>
      <c r="B47" s="7" t="s">
        <v>201</v>
      </c>
      <c r="C47" s="38">
        <f>7509+17-36+18+23+15-320+30+30+30</f>
        <v>7316</v>
      </c>
    </row>
    <row r="48" spans="1:3" ht="12.75">
      <c r="A48" s="248" t="s">
        <v>156</v>
      </c>
      <c r="B48" s="7" t="s">
        <v>177</v>
      </c>
      <c r="C48" s="38">
        <f>27270+325+7169-116-29+87+85+1500+300</f>
        <v>36591</v>
      </c>
    </row>
    <row r="49" spans="1:3" ht="12.75">
      <c r="A49" s="248" t="s">
        <v>157</v>
      </c>
      <c r="B49" s="7" t="s">
        <v>202</v>
      </c>
      <c r="C49" s="38"/>
    </row>
    <row r="50" spans="1:3" ht="13.5" thickBot="1">
      <c r="A50" s="248" t="s">
        <v>178</v>
      </c>
      <c r="B50" s="7" t="s">
        <v>203</v>
      </c>
      <c r="C50" s="38"/>
    </row>
    <row r="51" spans="1:3" ht="13.5" thickBot="1">
      <c r="A51" s="93" t="s">
        <v>84</v>
      </c>
      <c r="B51" s="66" t="s">
        <v>392</v>
      </c>
      <c r="C51" s="151">
        <f>SUM(C52:C54)</f>
        <v>8560</v>
      </c>
    </row>
    <row r="52" spans="1:3" ht="12.75">
      <c r="A52" s="248" t="s">
        <v>160</v>
      </c>
      <c r="B52" s="8" t="s">
        <v>221</v>
      </c>
      <c r="C52" s="36">
        <f>4737+154+3044-1905+29+70+526</f>
        <v>6655</v>
      </c>
    </row>
    <row r="53" spans="1:3" ht="12.75">
      <c r="A53" s="248" t="s">
        <v>161</v>
      </c>
      <c r="B53" s="7" t="s">
        <v>205</v>
      </c>
      <c r="C53" s="38">
        <v>1905</v>
      </c>
    </row>
    <row r="54" spans="1:3" ht="12.75">
      <c r="A54" s="248" t="s">
        <v>162</v>
      </c>
      <c r="B54" s="7" t="s">
        <v>122</v>
      </c>
      <c r="C54" s="38"/>
    </row>
    <row r="55" spans="1:3" ht="13.5" thickBot="1">
      <c r="A55" s="248" t="s">
        <v>163</v>
      </c>
      <c r="B55" s="7" t="s">
        <v>590</v>
      </c>
      <c r="C55" s="38"/>
    </row>
    <row r="56" spans="1:3" ht="13.5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79692</v>
      </c>
    </row>
    <row r="58" spans="2:3" ht="13.5" thickBot="1">
      <c r="B58" s="116"/>
      <c r="C58" s="195"/>
    </row>
    <row r="59" spans="1:3" ht="13.5" thickBot="1">
      <c r="A59" s="117" t="s">
        <v>583</v>
      </c>
      <c r="B59" s="118"/>
      <c r="C59" s="455">
        <v>17.75</v>
      </c>
    </row>
    <row r="60" spans="1:3" ht="13.5" thickBot="1">
      <c r="A60" s="117" t="s">
        <v>216</v>
      </c>
      <c r="B60" s="118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&amp;R22. melléklet a 5/2017.(II.20.) önkormányzati 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workbookViewId="0" topLeftCell="A34">
      <selection activeCell="C47" sqref="C47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94"/>
      <c r="B1" s="96"/>
      <c r="C1" s="252" t="e">
        <f>+CONCATENATE("9.3.1. melléklet a ……/",LEFT(#REF!,4),". (….) önkormányzati rendelethez")</f>
        <v>#REF!</v>
      </c>
    </row>
    <row r="2" spans="1:3" ht="36">
      <c r="A2" s="208" t="s">
        <v>214</v>
      </c>
      <c r="B2" s="182" t="s">
        <v>53</v>
      </c>
      <c r="C2" s="196" t="s">
        <v>125</v>
      </c>
    </row>
    <row r="3" spans="1:3" ht="24.75" thickBot="1">
      <c r="A3" s="246" t="s">
        <v>213</v>
      </c>
      <c r="B3" s="183" t="s">
        <v>393</v>
      </c>
      <c r="C3" s="197" t="s">
        <v>124</v>
      </c>
    </row>
    <row r="4" spans="1:3" ht="14.25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01" t="s">
        <v>119</v>
      </c>
    </row>
    <row r="6" spans="1:3" ht="13.5" thickBot="1">
      <c r="A6" s="90" t="s">
        <v>504</v>
      </c>
      <c r="B6" s="91" t="s">
        <v>505</v>
      </c>
      <c r="C6" s="92" t="s">
        <v>506</v>
      </c>
    </row>
    <row r="7" spans="1:3" ht="13.5" thickBot="1">
      <c r="A7" s="102"/>
      <c r="B7" s="103" t="s">
        <v>120</v>
      </c>
      <c r="C7" s="104"/>
    </row>
    <row r="8" spans="1:3" ht="13.5" thickBot="1">
      <c r="A8" s="90" t="s">
        <v>83</v>
      </c>
      <c r="B8" s="105" t="s">
        <v>586</v>
      </c>
      <c r="C8" s="151">
        <f>SUM(C9:C19)</f>
        <v>11262</v>
      </c>
    </row>
    <row r="9" spans="1:3" ht="12.75">
      <c r="A9" s="247" t="s">
        <v>154</v>
      </c>
      <c r="B9" s="9" t="s">
        <v>264</v>
      </c>
      <c r="C9" s="187">
        <v>30</v>
      </c>
    </row>
    <row r="10" spans="1:3" ht="12.75">
      <c r="A10" s="248" t="s">
        <v>155</v>
      </c>
      <c r="B10" s="7" t="s">
        <v>265</v>
      </c>
      <c r="C10" s="149">
        <f>6450+487-873</f>
        <v>6064</v>
      </c>
    </row>
    <row r="11" spans="1:3" ht="12.75">
      <c r="A11" s="248" t="s">
        <v>156</v>
      </c>
      <c r="B11" s="7" t="s">
        <v>266</v>
      </c>
      <c r="C11" s="149">
        <f>690+13-74</f>
        <v>629</v>
      </c>
    </row>
    <row r="12" spans="1:3" ht="12.75">
      <c r="A12" s="248" t="s">
        <v>157</v>
      </c>
      <c r="B12" s="7" t="s">
        <v>267</v>
      </c>
      <c r="C12" s="149"/>
    </row>
    <row r="13" spans="1:3" ht="12.75">
      <c r="A13" s="248" t="s">
        <v>178</v>
      </c>
      <c r="B13" s="7" t="s">
        <v>268</v>
      </c>
      <c r="C13" s="149"/>
    </row>
    <row r="14" spans="1:3" ht="12.75">
      <c r="A14" s="248" t="s">
        <v>158</v>
      </c>
      <c r="B14" s="7" t="s">
        <v>376</v>
      </c>
      <c r="C14" s="149">
        <f>284+151-2</f>
        <v>433</v>
      </c>
    </row>
    <row r="15" spans="1:3" ht="12.75">
      <c r="A15" s="248" t="s">
        <v>159</v>
      </c>
      <c r="B15" s="6" t="s">
        <v>377</v>
      </c>
      <c r="C15" s="149">
        <f>2707+1399</f>
        <v>4106</v>
      </c>
    </row>
    <row r="16" spans="1:3" ht="12.75">
      <c r="A16" s="248" t="s">
        <v>169</v>
      </c>
      <c r="B16" s="7" t="s">
        <v>271</v>
      </c>
      <c r="C16" s="188"/>
    </row>
    <row r="17" spans="1:3" ht="12.75">
      <c r="A17" s="248" t="s">
        <v>170</v>
      </c>
      <c r="B17" s="7" t="s">
        <v>272</v>
      </c>
      <c r="C17" s="149"/>
    </row>
    <row r="18" spans="1:3" ht="12.75">
      <c r="A18" s="248" t="s">
        <v>171</v>
      </c>
      <c r="B18" s="7" t="s">
        <v>513</v>
      </c>
      <c r="C18" s="150"/>
    </row>
    <row r="19" spans="1:3" ht="13.5" thickBot="1">
      <c r="A19" s="248" t="s">
        <v>172</v>
      </c>
      <c r="B19" s="6" t="s">
        <v>273</v>
      </c>
      <c r="C19" s="150"/>
    </row>
    <row r="20" spans="1:3" ht="13.5" thickBot="1">
      <c r="A20" s="90" t="s">
        <v>84</v>
      </c>
      <c r="B20" s="105" t="s">
        <v>378</v>
      </c>
      <c r="C20" s="151">
        <f>SUM(C21:C23)</f>
        <v>300</v>
      </c>
    </row>
    <row r="21" spans="1:3" ht="12.75">
      <c r="A21" s="248" t="s">
        <v>160</v>
      </c>
      <c r="B21" s="8" t="s">
        <v>241</v>
      </c>
      <c r="C21" s="149"/>
    </row>
    <row r="22" spans="1:3" ht="12.75">
      <c r="A22" s="248" t="s">
        <v>161</v>
      </c>
      <c r="B22" s="7" t="s">
        <v>379</v>
      </c>
      <c r="C22" s="149"/>
    </row>
    <row r="23" spans="1:3" ht="12.75">
      <c r="A23" s="248" t="s">
        <v>162</v>
      </c>
      <c r="B23" s="7" t="s">
        <v>380</v>
      </c>
      <c r="C23" s="149">
        <v>300</v>
      </c>
    </row>
    <row r="24" spans="1:3" ht="13.5" thickBot="1">
      <c r="A24" s="248" t="s">
        <v>163</v>
      </c>
      <c r="B24" s="7" t="s">
        <v>3</v>
      </c>
      <c r="C24" s="149"/>
    </row>
    <row r="25" spans="1:3" ht="13.5" thickBot="1">
      <c r="A25" s="93" t="s">
        <v>85</v>
      </c>
      <c r="B25" s="66" t="s">
        <v>192</v>
      </c>
      <c r="C25" s="178"/>
    </row>
    <row r="26" spans="1:3" ht="13.5" thickBot="1">
      <c r="A26" s="93" t="s">
        <v>86</v>
      </c>
      <c r="B26" s="66" t="s">
        <v>4</v>
      </c>
      <c r="C26" s="151">
        <f>+C27+C28</f>
        <v>0</v>
      </c>
    </row>
    <row r="27" spans="1:3" ht="12.75">
      <c r="A27" s="249" t="s">
        <v>251</v>
      </c>
      <c r="B27" s="250" t="s">
        <v>379</v>
      </c>
      <c r="C27" s="36"/>
    </row>
    <row r="28" spans="1:3" ht="12.75">
      <c r="A28" s="249" t="s">
        <v>254</v>
      </c>
      <c r="B28" s="251" t="s">
        <v>381</v>
      </c>
      <c r="C28" s="152"/>
    </row>
    <row r="29" spans="1:3" ht="13.5" thickBot="1">
      <c r="A29" s="248" t="s">
        <v>255</v>
      </c>
      <c r="B29" s="69" t="s">
        <v>5</v>
      </c>
      <c r="C29" s="39"/>
    </row>
    <row r="30" spans="1:3" ht="13.5" thickBot="1">
      <c r="A30" s="93" t="s">
        <v>87</v>
      </c>
      <c r="B30" s="66" t="s">
        <v>382</v>
      </c>
      <c r="C30" s="151">
        <f>+C31+C32+C33</f>
        <v>0</v>
      </c>
    </row>
    <row r="31" spans="1:3" ht="12.75">
      <c r="A31" s="249" t="s">
        <v>147</v>
      </c>
      <c r="B31" s="250" t="s">
        <v>278</v>
      </c>
      <c r="C31" s="36"/>
    </row>
    <row r="32" spans="1:3" ht="12.75">
      <c r="A32" s="249" t="s">
        <v>148</v>
      </c>
      <c r="B32" s="251" t="s">
        <v>279</v>
      </c>
      <c r="C32" s="152"/>
    </row>
    <row r="33" spans="1:3" ht="13.5" thickBot="1">
      <c r="A33" s="248" t="s">
        <v>149</v>
      </c>
      <c r="B33" s="69" t="s">
        <v>280</v>
      </c>
      <c r="C33" s="39"/>
    </row>
    <row r="34" spans="1:3" ht="13.5" thickBot="1">
      <c r="A34" s="93" t="s">
        <v>88</v>
      </c>
      <c r="B34" s="66" t="s">
        <v>366</v>
      </c>
      <c r="C34" s="178"/>
    </row>
    <row r="35" spans="1:3" ht="13.5" thickBot="1">
      <c r="A35" s="93" t="s">
        <v>89</v>
      </c>
      <c r="B35" s="66" t="s">
        <v>383</v>
      </c>
      <c r="C35" s="189">
        <v>70</v>
      </c>
    </row>
    <row r="36" spans="1:3" ht="13.5" thickBot="1">
      <c r="A36" s="90" t="s">
        <v>90</v>
      </c>
      <c r="B36" s="66" t="s">
        <v>6</v>
      </c>
      <c r="C36" s="190">
        <f>+C8+C20+C25+C26+C30+C34+C35</f>
        <v>11632</v>
      </c>
    </row>
    <row r="37" spans="1:3" ht="13.5" thickBot="1">
      <c r="A37" s="106" t="s">
        <v>91</v>
      </c>
      <c r="B37" s="66" t="s">
        <v>385</v>
      </c>
      <c r="C37" s="190">
        <f>+C38+C39+C40</f>
        <v>0</v>
      </c>
    </row>
    <row r="38" spans="1:3" ht="12.75">
      <c r="A38" s="249" t="s">
        <v>386</v>
      </c>
      <c r="B38" s="250" t="s">
        <v>231</v>
      </c>
      <c r="C38" s="36"/>
    </row>
    <row r="39" spans="1:3" ht="12.75">
      <c r="A39" s="249" t="s">
        <v>387</v>
      </c>
      <c r="B39" s="251" t="s">
        <v>74</v>
      </c>
      <c r="C39" s="152"/>
    </row>
    <row r="40" spans="1:3" ht="13.5" thickBot="1">
      <c r="A40" s="248" t="s">
        <v>388</v>
      </c>
      <c r="B40" s="69" t="s">
        <v>389</v>
      </c>
      <c r="C40" s="39"/>
    </row>
    <row r="41" spans="1:3" ht="13.5" thickBot="1">
      <c r="A41" s="106" t="s">
        <v>92</v>
      </c>
      <c r="B41" s="107" t="s">
        <v>390</v>
      </c>
      <c r="C41" s="193">
        <f>+C36+C37</f>
        <v>11632</v>
      </c>
    </row>
    <row r="42" spans="1:3" ht="12.75">
      <c r="A42" s="108"/>
      <c r="B42" s="109"/>
      <c r="C42" s="191"/>
    </row>
    <row r="43" spans="1:3" ht="13.5" thickBot="1">
      <c r="A43" s="110"/>
      <c r="B43" s="111"/>
      <c r="C43" s="192"/>
    </row>
    <row r="44" spans="1:3" ht="13.5" thickBot="1">
      <c r="A44" s="112"/>
      <c r="B44" s="113" t="s">
        <v>121</v>
      </c>
      <c r="C44" s="193"/>
    </row>
    <row r="45" spans="1:3" ht="13.5" thickBot="1">
      <c r="A45" s="93" t="s">
        <v>83</v>
      </c>
      <c r="B45" s="66" t="s">
        <v>391</v>
      </c>
      <c r="C45" s="151">
        <f>SUM(C46:C50)</f>
        <v>71132</v>
      </c>
    </row>
    <row r="46" spans="1:3" ht="12.75">
      <c r="A46" s="248" t="s">
        <v>154</v>
      </c>
      <c r="B46" s="8" t="s">
        <v>112</v>
      </c>
      <c r="C46" s="36">
        <f>27794+64-3+67+93+56-1180+111+111+112</f>
        <v>27225</v>
      </c>
    </row>
    <row r="47" spans="1:3" ht="12.75">
      <c r="A47" s="248" t="s">
        <v>155</v>
      </c>
      <c r="B47" s="7" t="s">
        <v>201</v>
      </c>
      <c r="C47" s="38">
        <f>7509+17-36+18+23+15-320+30+30+30</f>
        <v>7316</v>
      </c>
    </row>
    <row r="48" spans="1:3" ht="12.75">
      <c r="A48" s="248" t="s">
        <v>156</v>
      </c>
      <c r="B48" s="7" t="s">
        <v>177</v>
      </c>
      <c r="C48" s="38">
        <f>27270+325+7169-116-29+87+85+1500+300</f>
        <v>36591</v>
      </c>
    </row>
    <row r="49" spans="1:3" ht="12.75">
      <c r="A49" s="248" t="s">
        <v>157</v>
      </c>
      <c r="B49" s="7" t="s">
        <v>202</v>
      </c>
      <c r="C49" s="38"/>
    </row>
    <row r="50" spans="1:3" ht="13.5" thickBot="1">
      <c r="A50" s="248" t="s">
        <v>178</v>
      </c>
      <c r="B50" s="7" t="s">
        <v>203</v>
      </c>
      <c r="C50" s="38"/>
    </row>
    <row r="51" spans="1:3" ht="13.5" thickBot="1">
      <c r="A51" s="93" t="s">
        <v>84</v>
      </c>
      <c r="B51" s="66" t="s">
        <v>392</v>
      </c>
      <c r="C51" s="151">
        <f>SUM(C52:C54)</f>
        <v>8560</v>
      </c>
    </row>
    <row r="52" spans="1:3" ht="12.75">
      <c r="A52" s="248" t="s">
        <v>160</v>
      </c>
      <c r="B52" s="8" t="s">
        <v>221</v>
      </c>
      <c r="C52" s="36">
        <f>4737+154+3044-1905+29+70+526</f>
        <v>6655</v>
      </c>
    </row>
    <row r="53" spans="1:3" ht="12.75">
      <c r="A53" s="248" t="s">
        <v>161</v>
      </c>
      <c r="B53" s="7" t="s">
        <v>205</v>
      </c>
      <c r="C53" s="38">
        <v>1905</v>
      </c>
    </row>
    <row r="54" spans="1:3" ht="12.75">
      <c r="A54" s="248" t="s">
        <v>162</v>
      </c>
      <c r="B54" s="7" t="s">
        <v>122</v>
      </c>
      <c r="C54" s="38"/>
    </row>
    <row r="55" spans="1:3" ht="13.5" thickBot="1">
      <c r="A55" s="248" t="s">
        <v>163</v>
      </c>
      <c r="B55" s="7" t="s">
        <v>590</v>
      </c>
      <c r="C55" s="38"/>
    </row>
    <row r="56" spans="1:3" ht="13.5" thickBot="1">
      <c r="A56" s="93" t="s">
        <v>85</v>
      </c>
      <c r="B56" s="66" t="s">
        <v>78</v>
      </c>
      <c r="C56" s="178"/>
    </row>
    <row r="57" spans="1:3" ht="13.5" thickBot="1">
      <c r="A57" s="93" t="s">
        <v>86</v>
      </c>
      <c r="B57" s="114" t="s">
        <v>591</v>
      </c>
      <c r="C57" s="194">
        <f>+C45+C51+C56</f>
        <v>79692</v>
      </c>
    </row>
    <row r="58" spans="1:3" ht="13.5" thickBot="1">
      <c r="A58" s="115"/>
      <c r="B58" s="116"/>
      <c r="C58" s="195"/>
    </row>
    <row r="59" spans="1:3" ht="13.5" thickBot="1">
      <c r="A59" s="117" t="s">
        <v>583</v>
      </c>
      <c r="B59" s="118"/>
      <c r="C59" s="455">
        <v>17.75</v>
      </c>
    </row>
    <row r="60" spans="1:3" ht="13.5" thickBot="1">
      <c r="A60" s="117" t="s">
        <v>216</v>
      </c>
      <c r="B60" s="118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&amp;R23. melléklet a 5/2017.(II.20.)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G22" sqref="G22"/>
    </sheetView>
  </sheetViews>
  <sheetFormatPr defaultColWidth="10.625" defaultRowHeight="12.75"/>
  <cols>
    <col min="1" max="1" width="27.625" style="310" bestFit="1" customWidth="1"/>
    <col min="2" max="2" width="9.625" style="310" customWidth="1"/>
    <col min="3" max="3" width="10.625" style="310" customWidth="1"/>
    <col min="4" max="4" width="10.875" style="310" customWidth="1"/>
    <col min="5" max="5" width="10.375" style="310" customWidth="1"/>
    <col min="6" max="6" width="9.625" style="310" customWidth="1"/>
    <col min="7" max="7" width="8.625" style="310" bestFit="1" customWidth="1"/>
    <col min="8" max="8" width="11.00390625" style="310" customWidth="1"/>
    <col min="9" max="9" width="8.875" style="310" customWidth="1"/>
    <col min="10" max="10" width="10.375" style="310" bestFit="1" customWidth="1"/>
    <col min="11" max="16384" width="10.625" style="310" customWidth="1"/>
  </cols>
  <sheetData>
    <row r="1" spans="1:10" ht="12.75">
      <c r="A1" s="308"/>
      <c r="B1" s="308"/>
      <c r="C1" s="308"/>
      <c r="D1" s="308"/>
      <c r="E1" s="308"/>
      <c r="F1" s="308"/>
      <c r="H1" s="311"/>
      <c r="I1" s="311"/>
      <c r="J1" s="309"/>
    </row>
    <row r="2" spans="1:10" ht="12.75">
      <c r="A2" s="308"/>
      <c r="B2" s="308"/>
      <c r="C2" s="308"/>
      <c r="D2" s="308"/>
      <c r="E2" s="308"/>
      <c r="F2" s="308"/>
      <c r="G2" s="312"/>
      <c r="H2" s="312"/>
      <c r="I2" s="312"/>
      <c r="J2" s="313"/>
    </row>
    <row r="3" spans="1:10" ht="12.75">
      <c r="A3" s="308"/>
      <c r="B3" s="308"/>
      <c r="C3" s="308"/>
      <c r="D3" s="308"/>
      <c r="E3" s="308"/>
      <c r="F3" s="308"/>
      <c r="G3" s="312"/>
      <c r="H3" s="312"/>
      <c r="I3" s="312"/>
      <c r="J3" s="312"/>
    </row>
    <row r="4" spans="1:10" ht="19.5">
      <c r="A4" s="314" t="s">
        <v>419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9.5">
      <c r="A5" s="314" t="s">
        <v>25</v>
      </c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3.5" thickBo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5.75" customHeight="1" thickBot="1">
      <c r="A7" s="316"/>
      <c r="B7" s="574" t="s">
        <v>420</v>
      </c>
      <c r="C7" s="575"/>
      <c r="D7" s="576"/>
      <c r="E7" s="574" t="s">
        <v>421</v>
      </c>
      <c r="F7" s="575"/>
      <c r="G7" s="575"/>
      <c r="H7" s="575"/>
      <c r="I7" s="575"/>
      <c r="J7" s="576"/>
    </row>
    <row r="8" spans="1:10" ht="15.75" customHeight="1">
      <c r="A8" s="317" t="s">
        <v>417</v>
      </c>
      <c r="B8" s="318" t="s">
        <v>422</v>
      </c>
      <c r="C8" s="319" t="s">
        <v>423</v>
      </c>
      <c r="D8" s="320" t="s">
        <v>424</v>
      </c>
      <c r="E8" s="318" t="s">
        <v>425</v>
      </c>
      <c r="F8" s="319" t="s">
        <v>426</v>
      </c>
      <c r="G8" s="319" t="s">
        <v>427</v>
      </c>
      <c r="H8" s="321" t="s">
        <v>428</v>
      </c>
      <c r="I8" s="321" t="s">
        <v>429</v>
      </c>
      <c r="J8" s="460" t="s">
        <v>424</v>
      </c>
    </row>
    <row r="9" spans="1:10" ht="15.75" customHeight="1" thickBot="1">
      <c r="A9" s="322" t="s">
        <v>418</v>
      </c>
      <c r="B9" s="323" t="s">
        <v>430</v>
      </c>
      <c r="C9" s="324" t="s">
        <v>431</v>
      </c>
      <c r="D9" s="325" t="s">
        <v>432</v>
      </c>
      <c r="E9" s="323" t="s">
        <v>433</v>
      </c>
      <c r="F9" s="324" t="s">
        <v>434</v>
      </c>
      <c r="G9" s="324" t="s">
        <v>435</v>
      </c>
      <c r="H9" s="326" t="s">
        <v>436</v>
      </c>
      <c r="I9" s="326" t="s">
        <v>435</v>
      </c>
      <c r="J9" s="461" t="s">
        <v>437</v>
      </c>
    </row>
    <row r="10" spans="1:11" ht="15.75" customHeight="1">
      <c r="A10" s="327" t="s">
        <v>438</v>
      </c>
      <c r="B10" s="462">
        <f>162046+360+5530</f>
        <v>167936</v>
      </c>
      <c r="C10" s="463">
        <f aca="true" t="shared" si="0" ref="C10:C17">J10-B10</f>
        <v>177596</v>
      </c>
      <c r="D10" s="525">
        <f aca="true" t="shared" si="1" ref="D10:D17">SUM(B10:C10)</f>
        <v>345532</v>
      </c>
      <c r="E10" s="464">
        <f>60533+403+93+93+566+76+228</f>
        <v>61992</v>
      </c>
      <c r="F10" s="465">
        <f>18259+103+25+25+153+21+63</f>
        <v>18649</v>
      </c>
      <c r="G10" s="465">
        <f>259786-3344-21+5530</f>
        <v>261951</v>
      </c>
      <c r="H10" s="465"/>
      <c r="I10" s="466">
        <f>1810+571+84+110+313+31+21</f>
        <v>2940</v>
      </c>
      <c r="J10" s="526">
        <f aca="true" t="shared" si="2" ref="J10:J17">SUM(E10:I10)</f>
        <v>345532</v>
      </c>
      <c r="K10" s="315"/>
    </row>
    <row r="11" spans="1:10" ht="15.75" customHeight="1">
      <c r="A11" s="328" t="s">
        <v>439</v>
      </c>
      <c r="B11" s="490">
        <f>10587+150</f>
        <v>10737</v>
      </c>
      <c r="C11" s="467">
        <f t="shared" si="0"/>
        <v>281048</v>
      </c>
      <c r="D11" s="527">
        <f t="shared" si="1"/>
        <v>291785</v>
      </c>
      <c r="E11" s="468">
        <f>166986+1051+49+1393+220+48+757+115+2</f>
        <v>170621</v>
      </c>
      <c r="F11" s="469">
        <f>47618+283+13+376+59+13+733+45+21</f>
        <v>49161</v>
      </c>
      <c r="G11" s="469">
        <f>69542-23</f>
        <v>69519</v>
      </c>
      <c r="H11" s="469"/>
      <c r="I11" s="470">
        <f>2220+30+6+78+150</f>
        <v>2484</v>
      </c>
      <c r="J11" s="528">
        <f t="shared" si="2"/>
        <v>291785</v>
      </c>
    </row>
    <row r="12" spans="1:10" ht="15.75" customHeight="1">
      <c r="A12" s="328" t="s">
        <v>409</v>
      </c>
      <c r="B12" s="490">
        <f>10343-6090+949</f>
        <v>5202</v>
      </c>
      <c r="C12" s="467">
        <f t="shared" si="0"/>
        <v>12325</v>
      </c>
      <c r="D12" s="527">
        <f t="shared" si="1"/>
        <v>17527</v>
      </c>
      <c r="E12" s="468">
        <v>6528</v>
      </c>
      <c r="F12" s="469">
        <v>1801</v>
      </c>
      <c r="G12" s="469">
        <f>28190-17213-2422</f>
        <v>8555</v>
      </c>
      <c r="H12" s="469"/>
      <c r="I12" s="470">
        <f>1694-1057+6</f>
        <v>643</v>
      </c>
      <c r="J12" s="528">
        <f t="shared" si="2"/>
        <v>17527</v>
      </c>
    </row>
    <row r="13" spans="1:10" ht="15.75" customHeight="1">
      <c r="A13" s="328" t="s">
        <v>410</v>
      </c>
      <c r="B13" s="490">
        <f>7020+1334-4071-2050</f>
        <v>2233</v>
      </c>
      <c r="C13" s="467">
        <f t="shared" si="0"/>
        <v>6536</v>
      </c>
      <c r="D13" s="527">
        <f t="shared" si="1"/>
        <v>8769</v>
      </c>
      <c r="E13" s="468">
        <f>12144-9052+110</f>
        <v>3202</v>
      </c>
      <c r="F13" s="469">
        <f>3312-2472+52</f>
        <v>892</v>
      </c>
      <c r="G13" s="469">
        <f>17258+1334-10057-4747</f>
        <v>3788</v>
      </c>
      <c r="H13" s="469"/>
      <c r="I13" s="470">
        <f>6198-3680-1631</f>
        <v>887</v>
      </c>
      <c r="J13" s="528">
        <f t="shared" si="2"/>
        <v>8769</v>
      </c>
    </row>
    <row r="14" spans="1:10" s="315" customFormat="1" ht="18" customHeight="1">
      <c r="A14" s="508" t="s">
        <v>50</v>
      </c>
      <c r="B14" s="471">
        <f>203295+500+7000+3603+2847+1634</f>
        <v>218879</v>
      </c>
      <c r="C14" s="467">
        <f t="shared" si="0"/>
        <v>382674</v>
      </c>
      <c r="D14" s="527">
        <f t="shared" si="1"/>
        <v>601553</v>
      </c>
      <c r="E14" s="436">
        <f>273532+993+722+2942+6490+6749+1900+361+1224+1618+1625+9986+454+376-765</f>
        <v>308207</v>
      </c>
      <c r="F14" s="329">
        <f>76437+268+195+794+1752+1823+512+98+330+437+440+2395-454-376-250</f>
        <v>84401</v>
      </c>
      <c r="G14" s="329">
        <f>198490+1015</f>
        <v>199505</v>
      </c>
      <c r="H14" s="329"/>
      <c r="I14" s="449">
        <v>9440</v>
      </c>
      <c r="J14" s="529">
        <f t="shared" si="2"/>
        <v>601553</v>
      </c>
    </row>
    <row r="15" spans="1:10" s="315" customFormat="1" ht="18" customHeight="1">
      <c r="A15" s="508" t="s">
        <v>8</v>
      </c>
      <c r="B15" s="471">
        <f>4845+330</f>
        <v>5175</v>
      </c>
      <c r="C15" s="467">
        <f t="shared" si="0"/>
        <v>61941</v>
      </c>
      <c r="D15" s="527">
        <f t="shared" si="1"/>
        <v>67116</v>
      </c>
      <c r="E15" s="436">
        <f>35905+548+132+474+834+1556+697+1669+53</f>
        <v>41868</v>
      </c>
      <c r="F15" s="329">
        <f>9569+148+36+128+226+421+189+536+59</f>
        <v>11312</v>
      </c>
      <c r="G15" s="329">
        <f>13641-2-2-112</f>
        <v>13525</v>
      </c>
      <c r="H15" s="329"/>
      <c r="I15" s="449">
        <f>77+2+330+2</f>
        <v>411</v>
      </c>
      <c r="J15" s="529">
        <f t="shared" si="2"/>
        <v>67116</v>
      </c>
    </row>
    <row r="16" spans="1:10" s="315" customFormat="1" ht="18" customHeight="1">
      <c r="A16" s="330" t="s">
        <v>55</v>
      </c>
      <c r="B16" s="514">
        <f>10161+1101+70+300</f>
        <v>11632</v>
      </c>
      <c r="C16" s="467">
        <f t="shared" si="0"/>
        <v>68060</v>
      </c>
      <c r="D16" s="527">
        <f t="shared" si="1"/>
        <v>79692</v>
      </c>
      <c r="E16" s="436">
        <f>27858-3+67+93+56-1069+111+112</f>
        <v>27225</v>
      </c>
      <c r="F16" s="329">
        <f>7526-36+18+23+15-290+30+30</f>
        <v>7316</v>
      </c>
      <c r="G16" s="329">
        <f>34791+1500+300</f>
        <v>36591</v>
      </c>
      <c r="H16" s="329"/>
      <c r="I16" s="449">
        <f>4891+3044+29+70+526</f>
        <v>8560</v>
      </c>
      <c r="J16" s="529">
        <f t="shared" si="2"/>
        <v>79692</v>
      </c>
    </row>
    <row r="17" spans="1:10" s="315" customFormat="1" ht="18" customHeight="1" thickBot="1">
      <c r="A17" s="330" t="s">
        <v>51</v>
      </c>
      <c r="B17" s="480">
        <v>13857</v>
      </c>
      <c r="C17" s="472">
        <f t="shared" si="0"/>
        <v>202273</v>
      </c>
      <c r="D17" s="530">
        <f t="shared" si="1"/>
        <v>216130</v>
      </c>
      <c r="E17" s="481">
        <v>108244</v>
      </c>
      <c r="F17" s="482">
        <v>30833</v>
      </c>
      <c r="G17" s="482">
        <v>47690</v>
      </c>
      <c r="H17" s="482">
        <v>23775</v>
      </c>
      <c r="I17" s="491">
        <v>5588</v>
      </c>
      <c r="J17" s="531">
        <f t="shared" si="2"/>
        <v>216130</v>
      </c>
    </row>
    <row r="18" spans="1:10" s="315" customFormat="1" ht="18" customHeight="1" thickBot="1">
      <c r="A18" s="331" t="s">
        <v>440</v>
      </c>
      <c r="B18" s="332">
        <f aca="true" t="shared" si="3" ref="B18:J18">SUM(B10:B17)</f>
        <v>435651</v>
      </c>
      <c r="C18" s="332">
        <f t="shared" si="3"/>
        <v>1192453</v>
      </c>
      <c r="D18" s="332">
        <f t="shared" si="3"/>
        <v>1628104</v>
      </c>
      <c r="E18" s="332">
        <f t="shared" si="3"/>
        <v>727887</v>
      </c>
      <c r="F18" s="332">
        <f t="shared" si="3"/>
        <v>204365</v>
      </c>
      <c r="G18" s="332">
        <f t="shared" si="3"/>
        <v>641124</v>
      </c>
      <c r="H18" s="332">
        <f t="shared" si="3"/>
        <v>23775</v>
      </c>
      <c r="I18" s="473">
        <f t="shared" si="3"/>
        <v>30953</v>
      </c>
      <c r="J18" s="333">
        <f t="shared" si="3"/>
        <v>1628104</v>
      </c>
    </row>
    <row r="27" ht="12.75">
      <c r="J27" s="431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&amp;R24. melléklet a 5/2017.(II.20.)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159">
    <pageSetUpPr fitToPage="1"/>
  </sheetPr>
  <dimension ref="A1:F31"/>
  <sheetViews>
    <sheetView workbookViewId="0" topLeftCell="A7">
      <selection activeCell="I3" sqref="I3"/>
    </sheetView>
  </sheetViews>
  <sheetFormatPr defaultColWidth="10.625" defaultRowHeight="12.75"/>
  <cols>
    <col min="1" max="1" width="10.00390625" style="267" customWidth="1"/>
    <col min="2" max="2" width="37.375" style="267" customWidth="1"/>
    <col min="3" max="3" width="24.875" style="267" customWidth="1"/>
    <col min="4" max="4" width="22.625" style="267" customWidth="1"/>
    <col min="5" max="16384" width="10.625" style="267" customWidth="1"/>
  </cols>
  <sheetData>
    <row r="1" spans="1:4" ht="15.75">
      <c r="A1" s="265"/>
      <c r="B1" s="265"/>
      <c r="C1" s="265"/>
      <c r="D1" s="266"/>
    </row>
    <row r="2" spans="1:4" ht="15.75">
      <c r="A2" s="265"/>
      <c r="B2" s="265"/>
      <c r="C2" s="265"/>
      <c r="D2" s="268"/>
    </row>
    <row r="3" spans="1:4" ht="15.75">
      <c r="A3" s="265"/>
      <c r="B3" s="265"/>
      <c r="C3" s="265"/>
      <c r="D3" s="266"/>
    </row>
    <row r="4" spans="1:4" ht="15.75">
      <c r="A4" s="265"/>
      <c r="B4" s="265"/>
      <c r="C4" s="265"/>
      <c r="D4" s="269"/>
    </row>
    <row r="5" spans="1:4" ht="15.75">
      <c r="A5" s="265"/>
      <c r="B5" s="265"/>
      <c r="C5" s="265"/>
      <c r="D5" s="269"/>
    </row>
    <row r="6" spans="1:4" ht="15.75">
      <c r="A6" s="265"/>
      <c r="B6" s="265"/>
      <c r="C6" s="265"/>
      <c r="D6" s="270"/>
    </row>
    <row r="7" spans="1:4" ht="19.5">
      <c r="A7" s="271" t="s">
        <v>411</v>
      </c>
      <c r="B7" s="271"/>
      <c r="C7" s="271"/>
      <c r="D7" s="272"/>
    </row>
    <row r="8" spans="1:4" ht="19.5">
      <c r="A8" s="271" t="s">
        <v>56</v>
      </c>
      <c r="B8" s="271"/>
      <c r="C8" s="271"/>
      <c r="D8" s="272"/>
    </row>
    <row r="9" spans="1:4" ht="19.5">
      <c r="A9" s="271"/>
      <c r="B9" s="271"/>
      <c r="C9" s="271"/>
      <c r="D9" s="272"/>
    </row>
    <row r="10" spans="1:4" ht="19.5">
      <c r="A10" s="271"/>
      <c r="B10" s="271"/>
      <c r="C10" s="271"/>
      <c r="D10" s="272"/>
    </row>
    <row r="11" spans="1:4" ht="19.5">
      <c r="A11" s="271"/>
      <c r="B11" s="271"/>
      <c r="C11" s="271"/>
      <c r="D11" s="272"/>
    </row>
    <row r="12" spans="1:4" ht="19.5">
      <c r="A12" s="271"/>
      <c r="B12" s="271"/>
      <c r="C12" s="271"/>
      <c r="D12" s="272"/>
    </row>
    <row r="13" spans="1:4" ht="16.5" thickBot="1">
      <c r="A13" s="265"/>
      <c r="B13" s="265"/>
      <c r="C13" s="265"/>
      <c r="D13" s="273" t="s">
        <v>412</v>
      </c>
    </row>
    <row r="14" spans="1:4" s="278" customFormat="1" ht="33" customHeight="1" thickBot="1">
      <c r="A14" s="274" t="s">
        <v>127</v>
      </c>
      <c r="B14" s="275"/>
      <c r="C14" s="276"/>
      <c r="D14" s="277" t="s">
        <v>119</v>
      </c>
    </row>
    <row r="15" spans="1:6" ht="15.75">
      <c r="A15" s="279" t="s">
        <v>123</v>
      </c>
      <c r="B15" s="280"/>
      <c r="C15" s="281"/>
      <c r="D15" s="516">
        <v>37412</v>
      </c>
      <c r="E15" s="282"/>
      <c r="F15" s="283"/>
    </row>
    <row r="16" spans="1:6" ht="15.75">
      <c r="A16" s="284" t="s">
        <v>413</v>
      </c>
      <c r="B16" s="285"/>
      <c r="C16" s="286"/>
      <c r="D16" s="287"/>
      <c r="E16" s="283"/>
      <c r="F16" s="283"/>
    </row>
    <row r="17" spans="1:6" ht="12.75">
      <c r="A17" s="288" t="s">
        <v>64</v>
      </c>
      <c r="B17" s="289"/>
      <c r="C17" s="290"/>
      <c r="D17" s="291">
        <v>39149</v>
      </c>
      <c r="E17" s="292"/>
      <c r="F17" s="293"/>
    </row>
    <row r="18" spans="1:6" ht="12.75">
      <c r="A18" s="288" t="s">
        <v>414</v>
      </c>
      <c r="B18" s="289"/>
      <c r="C18" s="290"/>
      <c r="D18" s="291">
        <v>68</v>
      </c>
      <c r="E18" s="294"/>
      <c r="F18" s="293"/>
    </row>
    <row r="19" spans="1:6" ht="12.75">
      <c r="A19" s="288" t="s">
        <v>39</v>
      </c>
      <c r="B19" s="289"/>
      <c r="C19" s="290"/>
      <c r="D19" s="291"/>
      <c r="E19" s="294"/>
      <c r="F19" s="293"/>
    </row>
    <row r="20" spans="1:6" ht="12.75">
      <c r="A20" s="295" t="s">
        <v>65</v>
      </c>
      <c r="B20" s="289"/>
      <c r="C20" s="290"/>
      <c r="D20" s="291">
        <v>0</v>
      </c>
      <c r="E20" s="294"/>
      <c r="F20" s="296"/>
    </row>
    <row r="21" spans="1:6" ht="12.75">
      <c r="A21" s="288" t="s">
        <v>2</v>
      </c>
      <c r="B21" s="289"/>
      <c r="C21" s="290"/>
      <c r="D21" s="291">
        <v>207</v>
      </c>
      <c r="E21" s="294"/>
      <c r="F21" s="296"/>
    </row>
    <row r="22" spans="1:6" ht="12.75">
      <c r="A22" s="288" t="s">
        <v>40</v>
      </c>
      <c r="B22" s="289"/>
      <c r="C22" s="290"/>
      <c r="D22" s="291">
        <v>9150</v>
      </c>
      <c r="E22" s="294"/>
      <c r="F22" s="296"/>
    </row>
    <row r="23" spans="1:6" ht="12.75">
      <c r="A23" s="297" t="s">
        <v>441</v>
      </c>
      <c r="B23" s="298"/>
      <c r="C23" s="290"/>
      <c r="D23" s="291">
        <v>29850</v>
      </c>
      <c r="E23" s="294"/>
      <c r="F23" s="293"/>
    </row>
    <row r="24" spans="1:6" ht="12.75">
      <c r="A24" s="297" t="s">
        <v>593</v>
      </c>
      <c r="B24" s="299"/>
      <c r="C24" s="300"/>
      <c r="D24" s="291">
        <v>0</v>
      </c>
      <c r="E24" s="294"/>
      <c r="F24" s="293"/>
    </row>
    <row r="25" spans="1:6" ht="12.75">
      <c r="A25" s="577" t="s">
        <v>66</v>
      </c>
      <c r="B25" s="578"/>
      <c r="C25" s="290"/>
      <c r="D25" s="291"/>
      <c r="E25" s="294"/>
      <c r="F25" s="293"/>
    </row>
    <row r="26" spans="1:6" ht="12.75">
      <c r="A26" s="581" t="s">
        <v>62</v>
      </c>
      <c r="B26" s="582"/>
      <c r="C26" s="583"/>
      <c r="D26" s="291">
        <v>891</v>
      </c>
      <c r="E26" s="294"/>
      <c r="F26" s="293"/>
    </row>
    <row r="27" spans="1:6" ht="12.75">
      <c r="A27" s="577" t="s">
        <v>57</v>
      </c>
      <c r="B27" s="579"/>
      <c r="C27" s="580"/>
      <c r="D27" s="291">
        <v>3737</v>
      </c>
      <c r="E27" s="294"/>
      <c r="F27" s="293"/>
    </row>
    <row r="28" spans="1:6" ht="12.75">
      <c r="A28" s="581" t="s">
        <v>63</v>
      </c>
      <c r="B28" s="582"/>
      <c r="C28" s="583"/>
      <c r="D28" s="291">
        <v>730</v>
      </c>
      <c r="E28" s="294"/>
      <c r="F28" s="293"/>
    </row>
    <row r="29" spans="1:4" ht="15.75">
      <c r="A29" s="284" t="s">
        <v>415</v>
      </c>
      <c r="B29" s="301"/>
      <c r="C29" s="302"/>
      <c r="D29" s="303">
        <f>SUM(D17:D28)</f>
        <v>83782</v>
      </c>
    </row>
    <row r="30" spans="1:4" ht="15.75">
      <c r="A30" s="284"/>
      <c r="B30" s="301"/>
      <c r="C30" s="302"/>
      <c r="D30" s="302"/>
    </row>
    <row r="31" spans="1:4" ht="16.5" thickBot="1">
      <c r="A31" s="304" t="s">
        <v>416</v>
      </c>
      <c r="B31" s="305"/>
      <c r="C31" s="306"/>
      <c r="D31" s="307">
        <f>SUM(D15,D29)</f>
        <v>121194</v>
      </c>
    </row>
  </sheetData>
  <sheetProtection/>
  <mergeCells count="4">
    <mergeCell ref="A25:B25"/>
    <mergeCell ref="A27:C27"/>
    <mergeCell ref="A26:C26"/>
    <mergeCell ref="A28:C28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&amp;R25. melléklet a 5/2017.(II.20.)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160">
    <tabColor rgb="FF92D050"/>
  </sheetPr>
  <dimension ref="A1:P82"/>
  <sheetViews>
    <sheetView workbookViewId="0" topLeftCell="A4">
      <selection activeCell="K19" sqref="K19"/>
    </sheetView>
  </sheetViews>
  <sheetFormatPr defaultColWidth="9.00390625" defaultRowHeight="12.75"/>
  <cols>
    <col min="1" max="1" width="4.875" style="48" customWidth="1"/>
    <col min="2" max="2" width="31.125" style="61" customWidth="1"/>
    <col min="3" max="4" width="9.00390625" style="61" customWidth="1"/>
    <col min="5" max="5" width="9.50390625" style="61" customWidth="1"/>
    <col min="6" max="6" width="8.875" style="61" customWidth="1"/>
    <col min="7" max="7" width="8.625" style="61" customWidth="1"/>
    <col min="8" max="8" width="8.875" style="61" customWidth="1"/>
    <col min="9" max="9" width="8.125" style="61" customWidth="1"/>
    <col min="10" max="14" width="9.50390625" style="61" customWidth="1"/>
    <col min="15" max="15" width="12.625" style="48" customWidth="1"/>
    <col min="16" max="16384" width="9.375" style="61" customWidth="1"/>
  </cols>
  <sheetData>
    <row r="1" spans="1:15" ht="31.5" customHeight="1">
      <c r="A1" s="587" t="s">
        <v>26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ht="16.5" thickBot="1">
      <c r="O2" s="3" t="s">
        <v>117</v>
      </c>
    </row>
    <row r="3" spans="1:15" s="48" customFormat="1" ht="25.5" customHeight="1" thickBot="1">
      <c r="A3" s="45" t="s">
        <v>81</v>
      </c>
      <c r="B3" s="46" t="s">
        <v>127</v>
      </c>
      <c r="C3" s="46" t="s">
        <v>131</v>
      </c>
      <c r="D3" s="46" t="s">
        <v>132</v>
      </c>
      <c r="E3" s="46" t="s">
        <v>133</v>
      </c>
      <c r="F3" s="46" t="s">
        <v>134</v>
      </c>
      <c r="G3" s="46" t="s">
        <v>135</v>
      </c>
      <c r="H3" s="46" t="s">
        <v>136</v>
      </c>
      <c r="I3" s="46" t="s">
        <v>137</v>
      </c>
      <c r="J3" s="46" t="s">
        <v>138</v>
      </c>
      <c r="K3" s="46" t="s">
        <v>139</v>
      </c>
      <c r="L3" s="46" t="s">
        <v>140</v>
      </c>
      <c r="M3" s="46" t="s">
        <v>141</v>
      </c>
      <c r="N3" s="46" t="s">
        <v>142</v>
      </c>
      <c r="O3" s="47" t="s">
        <v>115</v>
      </c>
    </row>
    <row r="4" spans="1:15" s="50" customFormat="1" ht="15" customHeight="1" thickBot="1">
      <c r="A4" s="49" t="s">
        <v>83</v>
      </c>
      <c r="B4" s="584" t="s">
        <v>120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6"/>
    </row>
    <row r="5" spans="1:15" s="50" customFormat="1" ht="22.5">
      <c r="A5" s="51" t="s">
        <v>84</v>
      </c>
      <c r="B5" s="260" t="s">
        <v>364</v>
      </c>
      <c r="C5" s="483">
        <v>80000</v>
      </c>
      <c r="D5" s="483">
        <v>78000</v>
      </c>
      <c r="E5" s="483">
        <v>91000</v>
      </c>
      <c r="F5" s="483">
        <v>72876</v>
      </c>
      <c r="G5" s="483">
        <v>96525</v>
      </c>
      <c r="H5" s="483">
        <v>138222</v>
      </c>
      <c r="I5" s="483">
        <v>109401</v>
      </c>
      <c r="J5" s="483">
        <v>100000</v>
      </c>
      <c r="K5" s="483">
        <v>92000</v>
      </c>
      <c r="L5" s="483">
        <v>128740</v>
      </c>
      <c r="M5" s="483">
        <v>38000</v>
      </c>
      <c r="N5" s="483">
        <f>30578-8084</f>
        <v>22494</v>
      </c>
      <c r="O5" s="484">
        <f aca="true" t="shared" si="0" ref="O5:O14">SUM(C5:N5)</f>
        <v>1047258</v>
      </c>
    </row>
    <row r="6" spans="1:15" s="54" customFormat="1" ht="22.5">
      <c r="A6" s="52" t="s">
        <v>85</v>
      </c>
      <c r="B6" s="125" t="s">
        <v>395</v>
      </c>
      <c r="C6" s="434">
        <v>40000</v>
      </c>
      <c r="D6" s="434">
        <v>60000</v>
      </c>
      <c r="E6" s="434">
        <v>40000</v>
      </c>
      <c r="F6" s="434">
        <v>40000</v>
      </c>
      <c r="G6" s="434">
        <v>32996</v>
      </c>
      <c r="H6" s="434">
        <v>81000</v>
      </c>
      <c r="I6" s="434">
        <v>59836</v>
      </c>
      <c r="J6" s="434">
        <v>60000</v>
      </c>
      <c r="K6" s="434">
        <v>102647</v>
      </c>
      <c r="L6" s="434">
        <v>50000</v>
      </c>
      <c r="M6" s="434">
        <v>91763</v>
      </c>
      <c r="N6" s="434">
        <v>123736</v>
      </c>
      <c r="O6" s="485">
        <f t="shared" si="0"/>
        <v>781978</v>
      </c>
    </row>
    <row r="7" spans="1:15" s="54" customFormat="1" ht="22.5">
      <c r="A7" s="52" t="s">
        <v>86</v>
      </c>
      <c r="B7" s="124" t="s">
        <v>396</v>
      </c>
      <c r="C7" s="435"/>
      <c r="D7" s="435"/>
      <c r="E7" s="435"/>
      <c r="F7" s="435">
        <v>4750</v>
      </c>
      <c r="G7" s="435">
        <v>3000</v>
      </c>
      <c r="H7" s="435">
        <v>3273</v>
      </c>
      <c r="I7" s="435">
        <v>3000</v>
      </c>
      <c r="J7" s="435">
        <v>1000</v>
      </c>
      <c r="K7" s="435">
        <v>1000</v>
      </c>
      <c r="L7" s="435">
        <v>20630</v>
      </c>
      <c r="M7" s="435">
        <v>581</v>
      </c>
      <c r="N7" s="435"/>
      <c r="O7" s="485">
        <f t="shared" si="0"/>
        <v>37234</v>
      </c>
    </row>
    <row r="8" spans="1:15" s="54" customFormat="1" ht="13.5" customHeight="1">
      <c r="A8" s="52" t="s">
        <v>87</v>
      </c>
      <c r="B8" s="123" t="s">
        <v>192</v>
      </c>
      <c r="C8" s="434">
        <v>5000</v>
      </c>
      <c r="D8" s="434">
        <v>10000</v>
      </c>
      <c r="E8" s="434">
        <v>120000</v>
      </c>
      <c r="F8" s="434">
        <v>10000</v>
      </c>
      <c r="G8" s="434">
        <v>2000</v>
      </c>
      <c r="H8" s="434">
        <v>1000</v>
      </c>
      <c r="I8" s="434">
        <v>1000</v>
      </c>
      <c r="J8" s="434">
        <v>3760</v>
      </c>
      <c r="K8" s="434">
        <v>123800</v>
      </c>
      <c r="L8" s="434">
        <v>12000</v>
      </c>
      <c r="M8" s="434">
        <v>24900</v>
      </c>
      <c r="N8" s="434">
        <f>50000+2978</f>
        <v>52978</v>
      </c>
      <c r="O8" s="485">
        <f t="shared" si="0"/>
        <v>366438</v>
      </c>
    </row>
    <row r="9" spans="1:15" s="54" customFormat="1" ht="13.5" customHeight="1">
      <c r="A9" s="52" t="s">
        <v>88</v>
      </c>
      <c r="B9" s="123" t="s">
        <v>397</v>
      </c>
      <c r="C9" s="434">
        <v>36000</v>
      </c>
      <c r="D9" s="434">
        <v>37000</v>
      </c>
      <c r="E9" s="434">
        <v>37284</v>
      </c>
      <c r="F9" s="434">
        <v>36937</v>
      </c>
      <c r="G9" s="434">
        <v>36780</v>
      </c>
      <c r="H9" s="434">
        <v>38040</v>
      </c>
      <c r="I9" s="434">
        <v>35780</v>
      </c>
      <c r="J9" s="434">
        <v>35770</v>
      </c>
      <c r="K9" s="434">
        <v>41300</v>
      </c>
      <c r="L9" s="434">
        <v>42130</v>
      </c>
      <c r="M9" s="434">
        <v>41540</v>
      </c>
      <c r="N9" s="434">
        <f>39098+5530</f>
        <v>44628</v>
      </c>
      <c r="O9" s="485">
        <f t="shared" si="0"/>
        <v>463189</v>
      </c>
    </row>
    <row r="10" spans="1:15" s="54" customFormat="1" ht="13.5" customHeight="1">
      <c r="A10" s="52" t="s">
        <v>89</v>
      </c>
      <c r="B10" s="123" t="s">
        <v>75</v>
      </c>
      <c r="C10" s="434"/>
      <c r="D10" s="434"/>
      <c r="E10" s="434">
        <v>1500</v>
      </c>
      <c r="F10" s="434">
        <v>1274</v>
      </c>
      <c r="G10" s="434">
        <v>500</v>
      </c>
      <c r="H10" s="434"/>
      <c r="I10" s="434"/>
      <c r="J10" s="434"/>
      <c r="K10" s="434">
        <v>210</v>
      </c>
      <c r="L10" s="434"/>
      <c r="M10" s="434"/>
      <c r="N10" s="434">
        <v>32769</v>
      </c>
      <c r="O10" s="485">
        <f t="shared" si="0"/>
        <v>36253</v>
      </c>
    </row>
    <row r="11" spans="1:15" s="54" customFormat="1" ht="13.5" customHeight="1">
      <c r="A11" s="52" t="s">
        <v>90</v>
      </c>
      <c r="B11" s="123" t="s">
        <v>366</v>
      </c>
      <c r="C11" s="434">
        <v>2512</v>
      </c>
      <c r="D11" s="434">
        <v>1400</v>
      </c>
      <c r="E11" s="434">
        <v>1350</v>
      </c>
      <c r="F11" s="434">
        <v>4137</v>
      </c>
      <c r="G11" s="434">
        <v>400</v>
      </c>
      <c r="H11" s="434">
        <v>500</v>
      </c>
      <c r="I11" s="434">
        <v>600</v>
      </c>
      <c r="J11" s="434">
        <v>500</v>
      </c>
      <c r="K11" s="434">
        <v>754</v>
      </c>
      <c r="L11" s="434">
        <v>1600</v>
      </c>
      <c r="M11" s="434">
        <v>1500</v>
      </c>
      <c r="N11" s="434">
        <v>1800</v>
      </c>
      <c r="O11" s="485">
        <f t="shared" si="0"/>
        <v>17053</v>
      </c>
    </row>
    <row r="12" spans="1:15" s="54" customFormat="1" ht="22.5">
      <c r="A12" s="52" t="s">
        <v>91</v>
      </c>
      <c r="B12" s="125" t="s">
        <v>383</v>
      </c>
      <c r="C12" s="434"/>
      <c r="D12" s="434"/>
      <c r="E12" s="434">
        <v>250</v>
      </c>
      <c r="F12" s="434"/>
      <c r="G12" s="434"/>
      <c r="H12" s="434"/>
      <c r="I12" s="434"/>
      <c r="J12" s="434"/>
      <c r="K12" s="434">
        <v>1030</v>
      </c>
      <c r="L12" s="434">
        <v>330</v>
      </c>
      <c r="M12" s="434"/>
      <c r="N12" s="434">
        <v>2618</v>
      </c>
      <c r="O12" s="485">
        <f t="shared" si="0"/>
        <v>4228</v>
      </c>
    </row>
    <row r="13" spans="1:15" s="54" customFormat="1" ht="13.5" customHeight="1" thickBot="1">
      <c r="A13" s="52" t="s">
        <v>92</v>
      </c>
      <c r="B13" s="123" t="s">
        <v>76</v>
      </c>
      <c r="C13" s="53">
        <v>262679</v>
      </c>
      <c r="D13" s="53"/>
      <c r="E13" s="53"/>
      <c r="F13" s="53">
        <v>10000</v>
      </c>
      <c r="G13" s="53">
        <v>20000</v>
      </c>
      <c r="H13" s="53">
        <v>22269</v>
      </c>
      <c r="I13" s="53">
        <v>30000</v>
      </c>
      <c r="J13" s="53">
        <v>20000</v>
      </c>
      <c r="K13" s="53"/>
      <c r="L13" s="53">
        <v>40000</v>
      </c>
      <c r="M13" s="53">
        <v>10000</v>
      </c>
      <c r="N13" s="434">
        <f>10303+35167</f>
        <v>45470</v>
      </c>
      <c r="O13" s="485">
        <f t="shared" si="0"/>
        <v>460418</v>
      </c>
    </row>
    <row r="14" spans="1:15" s="50" customFormat="1" ht="15.75" customHeight="1" thickBot="1">
      <c r="A14" s="49" t="s">
        <v>93</v>
      </c>
      <c r="B14" s="29" t="s">
        <v>165</v>
      </c>
      <c r="C14" s="55">
        <f aca="true" t="shared" si="1" ref="C14:N14">SUM(C5:C13)</f>
        <v>426191</v>
      </c>
      <c r="D14" s="55">
        <f t="shared" si="1"/>
        <v>186400</v>
      </c>
      <c r="E14" s="55">
        <f t="shared" si="1"/>
        <v>291384</v>
      </c>
      <c r="F14" s="55">
        <f t="shared" si="1"/>
        <v>179974</v>
      </c>
      <c r="G14" s="55">
        <f t="shared" si="1"/>
        <v>192201</v>
      </c>
      <c r="H14" s="55">
        <f t="shared" si="1"/>
        <v>284304</v>
      </c>
      <c r="I14" s="55">
        <f t="shared" si="1"/>
        <v>239617</v>
      </c>
      <c r="J14" s="55">
        <f t="shared" si="1"/>
        <v>221030</v>
      </c>
      <c r="K14" s="55">
        <f t="shared" si="1"/>
        <v>362741</v>
      </c>
      <c r="L14" s="55">
        <f t="shared" si="1"/>
        <v>295430</v>
      </c>
      <c r="M14" s="55">
        <f t="shared" si="1"/>
        <v>208284</v>
      </c>
      <c r="N14" s="55">
        <f t="shared" si="1"/>
        <v>326493</v>
      </c>
      <c r="O14" s="56">
        <f t="shared" si="0"/>
        <v>3214049</v>
      </c>
    </row>
    <row r="15" spans="1:15" s="50" customFormat="1" ht="15" customHeight="1" thickBot="1">
      <c r="A15" s="49" t="s">
        <v>94</v>
      </c>
      <c r="B15" s="584" t="s">
        <v>121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6"/>
    </row>
    <row r="16" spans="1:15" s="54" customFormat="1" ht="13.5" customHeight="1">
      <c r="A16" s="57" t="s">
        <v>95</v>
      </c>
      <c r="B16" s="126" t="s">
        <v>128</v>
      </c>
      <c r="C16" s="435">
        <v>72000</v>
      </c>
      <c r="D16" s="435">
        <v>74275</v>
      </c>
      <c r="E16" s="435">
        <v>74226</v>
      </c>
      <c r="F16" s="435">
        <v>104300</v>
      </c>
      <c r="G16" s="435">
        <v>105200</v>
      </c>
      <c r="H16" s="435">
        <v>113226</v>
      </c>
      <c r="I16" s="435">
        <v>116463</v>
      </c>
      <c r="J16" s="435">
        <v>131979</v>
      </c>
      <c r="K16" s="435">
        <v>134095</v>
      </c>
      <c r="L16" s="435">
        <v>129054</v>
      </c>
      <c r="M16" s="435">
        <v>158500</v>
      </c>
      <c r="N16" s="435">
        <f>158114-1136</f>
        <v>156978</v>
      </c>
      <c r="O16" s="486">
        <f aca="true" t="shared" si="2" ref="O16:O26">SUM(C16:N16)</f>
        <v>1370296</v>
      </c>
    </row>
    <row r="17" spans="1:15" s="54" customFormat="1" ht="27" customHeight="1">
      <c r="A17" s="52" t="s">
        <v>96</v>
      </c>
      <c r="B17" s="125" t="s">
        <v>201</v>
      </c>
      <c r="C17" s="434">
        <v>18000</v>
      </c>
      <c r="D17" s="434">
        <v>18570</v>
      </c>
      <c r="E17" s="434">
        <v>18565</v>
      </c>
      <c r="F17" s="434">
        <v>22695</v>
      </c>
      <c r="G17" s="434">
        <v>22935</v>
      </c>
      <c r="H17" s="434">
        <v>24504</v>
      </c>
      <c r="I17" s="434">
        <v>27184</v>
      </c>
      <c r="J17" s="434">
        <v>23935</v>
      </c>
      <c r="K17" s="434">
        <v>29095</v>
      </c>
      <c r="L17" s="434">
        <v>27254</v>
      </c>
      <c r="M17" s="434">
        <v>31285</v>
      </c>
      <c r="N17" s="434">
        <f>31901-219</f>
        <v>31682</v>
      </c>
      <c r="O17" s="485">
        <f t="shared" si="2"/>
        <v>295704</v>
      </c>
    </row>
    <row r="18" spans="1:15" s="54" customFormat="1" ht="13.5" customHeight="1">
      <c r="A18" s="52" t="s">
        <v>97</v>
      </c>
      <c r="B18" s="123" t="s">
        <v>177</v>
      </c>
      <c r="C18" s="434">
        <v>80000</v>
      </c>
      <c r="D18" s="434">
        <v>80000</v>
      </c>
      <c r="E18" s="434">
        <v>78334</v>
      </c>
      <c r="F18" s="434">
        <v>77764</v>
      </c>
      <c r="G18" s="434">
        <v>78470</v>
      </c>
      <c r="H18" s="434">
        <v>54100</v>
      </c>
      <c r="I18" s="434">
        <v>56000</v>
      </c>
      <c r="J18" s="434">
        <v>68768</v>
      </c>
      <c r="K18" s="434">
        <v>75670</v>
      </c>
      <c r="L18" s="434">
        <v>73836</v>
      </c>
      <c r="M18" s="434">
        <v>79137</v>
      </c>
      <c r="N18" s="434">
        <f>91920+420</f>
        <v>92340</v>
      </c>
      <c r="O18" s="485">
        <f t="shared" si="2"/>
        <v>894419</v>
      </c>
    </row>
    <row r="19" spans="1:15" s="54" customFormat="1" ht="13.5" customHeight="1">
      <c r="A19" s="52" t="s">
        <v>98</v>
      </c>
      <c r="B19" s="123" t="s">
        <v>202</v>
      </c>
      <c r="C19" s="434">
        <v>4000</v>
      </c>
      <c r="D19" s="434">
        <v>3800</v>
      </c>
      <c r="E19" s="434">
        <v>4200</v>
      </c>
      <c r="F19" s="434">
        <v>3800</v>
      </c>
      <c r="G19" s="434">
        <v>4000</v>
      </c>
      <c r="H19" s="434">
        <v>4100</v>
      </c>
      <c r="I19" s="434">
        <v>4200</v>
      </c>
      <c r="J19" s="434">
        <v>12000</v>
      </c>
      <c r="K19" s="434">
        <v>4100</v>
      </c>
      <c r="L19" s="434">
        <v>3940</v>
      </c>
      <c r="M19" s="434">
        <v>12000</v>
      </c>
      <c r="N19" s="434">
        <v>16031</v>
      </c>
      <c r="O19" s="485">
        <f t="shared" si="2"/>
        <v>76171</v>
      </c>
    </row>
    <row r="20" spans="1:15" s="54" customFormat="1" ht="13.5" customHeight="1">
      <c r="A20" s="52" t="s">
        <v>99</v>
      </c>
      <c r="B20" s="123" t="s">
        <v>77</v>
      </c>
      <c r="C20" s="434">
        <v>8670</v>
      </c>
      <c r="D20" s="434">
        <v>10670</v>
      </c>
      <c r="E20" s="434">
        <v>12204</v>
      </c>
      <c r="F20" s="434">
        <v>25070</v>
      </c>
      <c r="G20" s="434">
        <v>12997</v>
      </c>
      <c r="H20" s="434">
        <v>18215</v>
      </c>
      <c r="I20" s="434">
        <v>12750</v>
      </c>
      <c r="J20" s="434">
        <v>14260</v>
      </c>
      <c r="K20" s="434">
        <v>27916</v>
      </c>
      <c r="L20" s="434">
        <v>12766</v>
      </c>
      <c r="M20" s="434">
        <v>12670</v>
      </c>
      <c r="N20" s="434">
        <f>15740+22</f>
        <v>15762</v>
      </c>
      <c r="O20" s="485">
        <f t="shared" si="2"/>
        <v>183950</v>
      </c>
    </row>
    <row r="21" spans="1:16" s="54" customFormat="1" ht="13.5" customHeight="1">
      <c r="A21" s="52" t="s">
        <v>100</v>
      </c>
      <c r="B21" s="123" t="s">
        <v>221</v>
      </c>
      <c r="C21" s="434">
        <v>2026</v>
      </c>
      <c r="D21" s="434">
        <v>6657</v>
      </c>
      <c r="E21" s="434">
        <v>3881</v>
      </c>
      <c r="F21" s="434">
        <v>2500</v>
      </c>
      <c r="G21" s="434">
        <v>9000</v>
      </c>
      <c r="H21" s="434">
        <v>5544</v>
      </c>
      <c r="I21" s="434">
        <v>5700</v>
      </c>
      <c r="J21" s="434">
        <v>5500</v>
      </c>
      <c r="K21" s="434">
        <v>13282</v>
      </c>
      <c r="L21" s="434">
        <v>5441</v>
      </c>
      <c r="M21" s="434">
        <v>6200</v>
      </c>
      <c r="N21" s="434">
        <v>12916</v>
      </c>
      <c r="O21" s="485">
        <f t="shared" si="2"/>
        <v>78647</v>
      </c>
      <c r="P21" s="478"/>
    </row>
    <row r="22" spans="1:15" s="54" customFormat="1" ht="15.75">
      <c r="A22" s="52" t="s">
        <v>101</v>
      </c>
      <c r="B22" s="125" t="s">
        <v>205</v>
      </c>
      <c r="C22" s="434"/>
      <c r="D22" s="434"/>
      <c r="E22" s="434">
        <v>350</v>
      </c>
      <c r="F22" s="434"/>
      <c r="G22" s="434">
        <v>10000</v>
      </c>
      <c r="H22" s="434">
        <v>2428</v>
      </c>
      <c r="I22" s="434">
        <v>1270</v>
      </c>
      <c r="J22" s="434">
        <v>1270</v>
      </c>
      <c r="K22" s="434">
        <v>20057</v>
      </c>
      <c r="L22" s="434">
        <v>934</v>
      </c>
      <c r="M22" s="434"/>
      <c r="N22" s="434">
        <v>10167</v>
      </c>
      <c r="O22" s="485">
        <f t="shared" si="2"/>
        <v>46476</v>
      </c>
    </row>
    <row r="23" spans="1:15" s="54" customFormat="1" ht="13.5" customHeight="1">
      <c r="A23" s="52" t="s">
        <v>102</v>
      </c>
      <c r="B23" s="123" t="s">
        <v>224</v>
      </c>
      <c r="C23" s="434"/>
      <c r="D23" s="434"/>
      <c r="E23" s="434"/>
      <c r="F23" s="434">
        <v>5743</v>
      </c>
      <c r="G23" s="434">
        <v>167</v>
      </c>
      <c r="H23" s="434"/>
      <c r="I23" s="434"/>
      <c r="J23" s="434"/>
      <c r="K23" s="434">
        <v>4435</v>
      </c>
      <c r="L23" s="434"/>
      <c r="M23" s="434"/>
      <c r="N23" s="434"/>
      <c r="O23" s="485">
        <f t="shared" si="2"/>
        <v>10345</v>
      </c>
    </row>
    <row r="24" spans="1:15" s="54" customFormat="1" ht="13.5" customHeight="1">
      <c r="A24" s="52" t="s">
        <v>103</v>
      </c>
      <c r="B24" s="123" t="s">
        <v>113</v>
      </c>
      <c r="C24" s="434"/>
      <c r="D24" s="434"/>
      <c r="E24" s="434">
        <v>1600</v>
      </c>
      <c r="F24" s="434">
        <v>1962</v>
      </c>
      <c r="G24" s="434">
        <v>2500</v>
      </c>
      <c r="H24" s="434">
        <v>44968</v>
      </c>
      <c r="I24" s="434">
        <v>3325</v>
      </c>
      <c r="J24" s="434">
        <v>5483</v>
      </c>
      <c r="K24" s="434">
        <v>5500</v>
      </c>
      <c r="L24" s="434">
        <v>8379</v>
      </c>
      <c r="M24" s="434">
        <v>6365</v>
      </c>
      <c r="N24" s="434">
        <f>4608+36504</f>
        <v>41112</v>
      </c>
      <c r="O24" s="485">
        <f t="shared" si="2"/>
        <v>121194</v>
      </c>
    </row>
    <row r="25" spans="1:15" s="54" customFormat="1" ht="13.5" customHeight="1" thickBot="1">
      <c r="A25" s="52" t="s">
        <v>104</v>
      </c>
      <c r="B25" s="123" t="s">
        <v>78</v>
      </c>
      <c r="C25" s="53">
        <v>34789</v>
      </c>
      <c r="D25" s="53"/>
      <c r="E25" s="53">
        <v>365</v>
      </c>
      <c r="F25" s="434"/>
      <c r="G25" s="53"/>
      <c r="H25" s="53">
        <v>365</v>
      </c>
      <c r="I25" s="53"/>
      <c r="J25" s="53"/>
      <c r="K25" s="53">
        <v>70665</v>
      </c>
      <c r="L25" s="53"/>
      <c r="M25" s="53"/>
      <c r="N25" s="53">
        <v>30663</v>
      </c>
      <c r="O25" s="485">
        <f t="shared" si="2"/>
        <v>136847</v>
      </c>
    </row>
    <row r="26" spans="1:15" s="50" customFormat="1" ht="15.75" customHeight="1" thickBot="1">
      <c r="A26" s="58" t="s">
        <v>105</v>
      </c>
      <c r="B26" s="29" t="s">
        <v>166</v>
      </c>
      <c r="C26" s="55">
        <f aca="true" t="shared" si="3" ref="C26:N26">SUM(C16:C25)</f>
        <v>219485</v>
      </c>
      <c r="D26" s="55">
        <f t="shared" si="3"/>
        <v>193972</v>
      </c>
      <c r="E26" s="55">
        <f t="shared" si="3"/>
        <v>193725</v>
      </c>
      <c r="F26" s="55">
        <f t="shared" si="3"/>
        <v>243834</v>
      </c>
      <c r="G26" s="55">
        <f t="shared" si="3"/>
        <v>245269</v>
      </c>
      <c r="H26" s="55">
        <f t="shared" si="3"/>
        <v>267450</v>
      </c>
      <c r="I26" s="55">
        <f t="shared" si="3"/>
        <v>226892</v>
      </c>
      <c r="J26" s="55">
        <f t="shared" si="3"/>
        <v>263195</v>
      </c>
      <c r="K26" s="55">
        <f t="shared" si="3"/>
        <v>384815</v>
      </c>
      <c r="L26" s="55">
        <f t="shared" si="3"/>
        <v>261604</v>
      </c>
      <c r="M26" s="55">
        <f t="shared" si="3"/>
        <v>306157</v>
      </c>
      <c r="N26" s="55">
        <f t="shared" si="3"/>
        <v>407651</v>
      </c>
      <c r="O26" s="56">
        <f t="shared" si="2"/>
        <v>3214049</v>
      </c>
    </row>
    <row r="27" spans="1:15" ht="16.5" thickBot="1">
      <c r="A27" s="58" t="s">
        <v>106</v>
      </c>
      <c r="B27" s="127" t="s">
        <v>167</v>
      </c>
      <c r="C27" s="59">
        <f aca="true" t="shared" si="4" ref="C27:O27">C14-C26</f>
        <v>206706</v>
      </c>
      <c r="D27" s="59">
        <f t="shared" si="4"/>
        <v>-7572</v>
      </c>
      <c r="E27" s="59">
        <f t="shared" si="4"/>
        <v>97659</v>
      </c>
      <c r="F27" s="59">
        <f t="shared" si="4"/>
        <v>-63860</v>
      </c>
      <c r="G27" s="59">
        <f t="shared" si="4"/>
        <v>-53068</v>
      </c>
      <c r="H27" s="59">
        <f t="shared" si="4"/>
        <v>16854</v>
      </c>
      <c r="I27" s="59">
        <f t="shared" si="4"/>
        <v>12725</v>
      </c>
      <c r="J27" s="59">
        <f t="shared" si="4"/>
        <v>-42165</v>
      </c>
      <c r="K27" s="59">
        <f t="shared" si="4"/>
        <v>-22074</v>
      </c>
      <c r="L27" s="59">
        <f t="shared" si="4"/>
        <v>33826</v>
      </c>
      <c r="M27" s="59">
        <f t="shared" si="4"/>
        <v>-97873</v>
      </c>
      <c r="N27" s="59">
        <f t="shared" si="4"/>
        <v>-81158</v>
      </c>
      <c r="O27" s="60">
        <f t="shared" si="4"/>
        <v>0</v>
      </c>
    </row>
    <row r="28" ht="15.75">
      <c r="A28" s="62"/>
    </row>
    <row r="29" spans="2:15" ht="15.75">
      <c r="B29" s="63"/>
      <c r="C29" s="64"/>
      <c r="D29" s="64"/>
      <c r="O29" s="61"/>
    </row>
    <row r="30" ht="15.75">
      <c r="O30" s="61"/>
    </row>
    <row r="31" ht="15.75">
      <c r="O31" s="61"/>
    </row>
    <row r="32" ht="15.75">
      <c r="O32" s="61"/>
    </row>
    <row r="33" ht="15.75">
      <c r="O33" s="61"/>
    </row>
    <row r="34" ht="15.75">
      <c r="O34" s="61"/>
    </row>
    <row r="35" ht="15.75">
      <c r="O35" s="61"/>
    </row>
    <row r="36" ht="15.75">
      <c r="O36" s="61"/>
    </row>
    <row r="37" ht="15.75">
      <c r="O37" s="61"/>
    </row>
    <row r="38" ht="15.75">
      <c r="O38" s="61"/>
    </row>
    <row r="39" ht="15.75">
      <c r="O39" s="61"/>
    </row>
    <row r="40" ht="15.75">
      <c r="O40" s="61"/>
    </row>
    <row r="41" ht="15.75">
      <c r="O41" s="61"/>
    </row>
    <row r="42" ht="15.75">
      <c r="O42" s="61"/>
    </row>
    <row r="43" ht="15.75">
      <c r="O43" s="61"/>
    </row>
    <row r="44" ht="15.75">
      <c r="O44" s="61"/>
    </row>
    <row r="45" ht="15.75">
      <c r="O45" s="61"/>
    </row>
    <row r="46" ht="15.75">
      <c r="O46" s="61"/>
    </row>
    <row r="47" ht="15.75">
      <c r="O47" s="61"/>
    </row>
    <row r="48" ht="15.75">
      <c r="O48" s="61"/>
    </row>
    <row r="49" ht="15.75">
      <c r="O49" s="61"/>
    </row>
    <row r="50" ht="15.75">
      <c r="O50" s="61"/>
    </row>
    <row r="51" ht="15.75">
      <c r="O51" s="61"/>
    </row>
    <row r="52" ht="15.75">
      <c r="O52" s="61"/>
    </row>
    <row r="53" ht="15.75">
      <c r="O53" s="61"/>
    </row>
    <row r="54" ht="15.75">
      <c r="O54" s="61"/>
    </row>
    <row r="55" ht="15.75">
      <c r="O55" s="61"/>
    </row>
    <row r="56" ht="15.75">
      <c r="O56" s="61"/>
    </row>
    <row r="57" ht="15.75">
      <c r="O57" s="61"/>
    </row>
    <row r="58" ht="15.75">
      <c r="O58" s="61"/>
    </row>
    <row r="59" ht="15.75">
      <c r="O59" s="61"/>
    </row>
    <row r="60" ht="15.75">
      <c r="O60" s="61"/>
    </row>
    <row r="61" ht="15.75">
      <c r="O61" s="61"/>
    </row>
    <row r="62" ht="15.75">
      <c r="O62" s="61"/>
    </row>
    <row r="63" ht="15.75">
      <c r="O63" s="61"/>
    </row>
    <row r="64" ht="15.75">
      <c r="O64" s="61"/>
    </row>
    <row r="65" ht="15.75">
      <c r="O65" s="61"/>
    </row>
    <row r="66" ht="15.75">
      <c r="O66" s="61"/>
    </row>
    <row r="67" ht="15.75">
      <c r="O67" s="61"/>
    </row>
    <row r="68" ht="15.75">
      <c r="O68" s="61"/>
    </row>
    <row r="69" ht="15.75">
      <c r="O69" s="61"/>
    </row>
    <row r="70" ht="15.75">
      <c r="O70" s="61"/>
    </row>
    <row r="71" ht="15.75">
      <c r="O71" s="61"/>
    </row>
    <row r="72" ht="15.75">
      <c r="O72" s="61"/>
    </row>
    <row r="73" ht="15.75">
      <c r="O73" s="61"/>
    </row>
    <row r="74" ht="15.75">
      <c r="O74" s="61"/>
    </row>
    <row r="75" ht="15.75">
      <c r="O75" s="61"/>
    </row>
    <row r="76" ht="15.75">
      <c r="O76" s="61"/>
    </row>
    <row r="77" ht="15.75">
      <c r="O77" s="61"/>
    </row>
    <row r="78" ht="15.75">
      <c r="O78" s="61"/>
    </row>
    <row r="79" ht="15.75">
      <c r="O79" s="61"/>
    </row>
    <row r="80" ht="15.75">
      <c r="O80" s="61"/>
    </row>
    <row r="81" ht="15.75">
      <c r="O81" s="61"/>
    </row>
    <row r="82" ht="15.75">
      <c r="O82" s="6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26.  melléklet a 5/2017.(II.20.) önkormányzati rendelethez TÁJÉKOZTATÓ TÁBLA  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34">
    <pageSetUpPr fitToPage="1"/>
  </sheetPr>
  <dimension ref="A1:C42"/>
  <sheetViews>
    <sheetView zoomScale="85" zoomScaleNormal="85" workbookViewId="0" topLeftCell="A1">
      <selection activeCell="E7" sqref="E7"/>
    </sheetView>
  </sheetViews>
  <sheetFormatPr defaultColWidth="9.00390625" defaultRowHeight="12.75"/>
  <cols>
    <col min="1" max="1" width="60.125" style="334" customWidth="1"/>
    <col min="2" max="2" width="48.875" style="338" customWidth="1"/>
    <col min="3" max="3" width="16.50390625" style="334" bestFit="1" customWidth="1"/>
    <col min="4" max="16384" width="10.625" style="334" customWidth="1"/>
  </cols>
  <sheetData>
    <row r="1" spans="1:2" ht="12.75">
      <c r="A1" s="589" t="s">
        <v>594</v>
      </c>
      <c r="B1" s="589"/>
    </row>
    <row r="2" spans="1:2" ht="17.25" customHeight="1">
      <c r="A2" s="335"/>
      <c r="B2" s="450"/>
    </row>
    <row r="3" spans="1:2" ht="42" customHeight="1">
      <c r="A3" s="593" t="s">
        <v>27</v>
      </c>
      <c r="B3" s="593"/>
    </row>
    <row r="4" spans="1:2" ht="33" customHeight="1" thickBot="1">
      <c r="A4" s="336"/>
      <c r="B4" s="199" t="s">
        <v>79</v>
      </c>
    </row>
    <row r="5" spans="1:2" ht="12.75">
      <c r="A5" s="590" t="s">
        <v>127</v>
      </c>
      <c r="B5" s="590" t="s">
        <v>28</v>
      </c>
    </row>
    <row r="6" spans="1:2" ht="12.75">
      <c r="A6" s="591"/>
      <c r="B6" s="591"/>
    </row>
    <row r="7" spans="1:2" ht="13.5" thickBot="1">
      <c r="A7" s="591"/>
      <c r="B7" s="592"/>
    </row>
    <row r="8" spans="1:2" ht="23.25" customHeight="1" thickBot="1">
      <c r="A8" s="128" t="s">
        <v>114</v>
      </c>
      <c r="B8" s="337"/>
    </row>
    <row r="9" spans="1:2" ht="24" customHeight="1">
      <c r="A9" s="339"/>
      <c r="B9" s="348"/>
    </row>
    <row r="10" spans="1:2" ht="18" customHeight="1">
      <c r="A10" s="340" t="s">
        <v>442</v>
      </c>
      <c r="B10" s="497">
        <v>150040800</v>
      </c>
    </row>
    <row r="11" spans="1:2" ht="39" customHeight="1">
      <c r="A11" s="341" t="s">
        <v>443</v>
      </c>
      <c r="B11" s="498">
        <v>73336490</v>
      </c>
    </row>
    <row r="12" spans="1:2" ht="39" customHeight="1">
      <c r="A12" s="341" t="s">
        <v>444</v>
      </c>
      <c r="B12" s="499">
        <v>17077340</v>
      </c>
    </row>
    <row r="13" spans="1:2" ht="39" customHeight="1">
      <c r="A13" s="341" t="s">
        <v>445</v>
      </c>
      <c r="B13" s="499">
        <v>35400000</v>
      </c>
    </row>
    <row r="14" spans="1:2" ht="39" customHeight="1">
      <c r="A14" s="341" t="s">
        <v>446</v>
      </c>
      <c r="B14" s="499">
        <v>100000</v>
      </c>
    </row>
    <row r="15" spans="1:2" ht="39" customHeight="1">
      <c r="A15" s="341" t="s">
        <v>447</v>
      </c>
      <c r="B15" s="499">
        <v>20759150</v>
      </c>
    </row>
    <row r="16" spans="1:2" ht="39" customHeight="1">
      <c r="A16" s="341" t="s">
        <v>448</v>
      </c>
      <c r="B16" s="499">
        <v>7297912</v>
      </c>
    </row>
    <row r="17" spans="1:2" ht="39" customHeight="1">
      <c r="A17" s="341" t="s">
        <v>458</v>
      </c>
      <c r="B17" s="499">
        <v>135150</v>
      </c>
    </row>
    <row r="18" spans="1:2" ht="39" customHeight="1">
      <c r="A18" s="342" t="s">
        <v>0</v>
      </c>
      <c r="B18" s="451">
        <f>SUM(B10+B11+B16+B17)</f>
        <v>230810352</v>
      </c>
    </row>
    <row r="19" spans="1:2" ht="39" customHeight="1">
      <c r="A19" s="341" t="s">
        <v>32</v>
      </c>
      <c r="B19" s="504">
        <v>1177260</v>
      </c>
    </row>
    <row r="20" spans="1:2" ht="39" customHeight="1">
      <c r="A20" s="342" t="s">
        <v>33</v>
      </c>
      <c r="B20" s="451">
        <f>SUM(B18:B19)</f>
        <v>231987612</v>
      </c>
    </row>
    <row r="21" spans="1:2" ht="36" customHeight="1">
      <c r="A21" s="343" t="s">
        <v>449</v>
      </c>
      <c r="B21" s="552">
        <f>171826400+1436000+35000-360000-180000</f>
        <v>172757400</v>
      </c>
    </row>
    <row r="22" spans="1:2" ht="30.75" customHeight="1">
      <c r="A22" s="344" t="s">
        <v>450</v>
      </c>
      <c r="B22" s="552">
        <f>28480000+240000</f>
        <v>28720000</v>
      </c>
    </row>
    <row r="23" spans="1:2" ht="30.75" customHeight="1">
      <c r="A23" s="343" t="s">
        <v>31</v>
      </c>
      <c r="B23" s="499">
        <v>8807500</v>
      </c>
    </row>
    <row r="24" spans="1:2" ht="30.75" customHeight="1">
      <c r="A24" s="343" t="s">
        <v>34</v>
      </c>
      <c r="B24" s="499">
        <v>7936910</v>
      </c>
    </row>
    <row r="25" spans="1:2" ht="31.5" customHeight="1">
      <c r="A25" s="345" t="s">
        <v>451</v>
      </c>
      <c r="B25" s="451">
        <f>SUM(B21:B24)</f>
        <v>218221810</v>
      </c>
    </row>
    <row r="26" spans="1:2" ht="31.5" customHeight="1">
      <c r="A26" s="452" t="s">
        <v>1</v>
      </c>
      <c r="B26" s="499">
        <v>106867641</v>
      </c>
    </row>
    <row r="27" spans="1:2" ht="28.5" customHeight="1">
      <c r="A27" s="346" t="s">
        <v>452</v>
      </c>
      <c r="B27" s="552">
        <f>63410670-218000</f>
        <v>63192670</v>
      </c>
    </row>
    <row r="28" spans="1:3" ht="60" customHeight="1">
      <c r="A28" s="500" t="s">
        <v>29</v>
      </c>
      <c r="B28" s="552">
        <f>127395440-2606040</f>
        <v>124789400</v>
      </c>
      <c r="C28" s="338"/>
    </row>
    <row r="29" spans="1:2" ht="23.25" customHeight="1">
      <c r="A29" s="344" t="s">
        <v>453</v>
      </c>
      <c r="B29" s="499">
        <v>46136640</v>
      </c>
    </row>
    <row r="30" spans="1:2" ht="20.25" customHeight="1">
      <c r="A30" s="346" t="s">
        <v>454</v>
      </c>
      <c r="B30" s="499">
        <v>77502292</v>
      </c>
    </row>
    <row r="31" spans="1:2" ht="26.25" customHeight="1">
      <c r="A31" s="347" t="s">
        <v>70</v>
      </c>
      <c r="B31" s="552">
        <f>56563380-7207080</f>
        <v>49356300</v>
      </c>
    </row>
    <row r="32" spans="1:2" ht="26.25" customHeight="1">
      <c r="A32" s="347" t="s">
        <v>71</v>
      </c>
      <c r="B32" s="552">
        <f>3017520+452628</f>
        <v>3470148</v>
      </c>
    </row>
    <row r="33" spans="1:3" ht="34.5" customHeight="1">
      <c r="A33" s="345" t="s">
        <v>455</v>
      </c>
      <c r="B33" s="349">
        <f>SUM(B26+B27+B28+B29+B30+B31+B32)</f>
        <v>471315091</v>
      </c>
      <c r="C33" s="453"/>
    </row>
    <row r="34" spans="1:3" ht="24.75" customHeight="1">
      <c r="A34" s="501" t="s">
        <v>30</v>
      </c>
      <c r="B34" s="474">
        <v>15562200</v>
      </c>
      <c r="C34" s="453"/>
    </row>
    <row r="35" spans="1:2" ht="27.75" customHeight="1">
      <c r="A35" s="502" t="s">
        <v>456</v>
      </c>
      <c r="B35" s="522">
        <v>26942276</v>
      </c>
    </row>
    <row r="36" spans="1:2" ht="30" customHeight="1">
      <c r="A36" s="509" t="s">
        <v>457</v>
      </c>
      <c r="B36" s="454">
        <v>10629000</v>
      </c>
    </row>
    <row r="37" spans="1:2" ht="31.5" customHeight="1">
      <c r="A37" s="503" t="s">
        <v>72</v>
      </c>
      <c r="B37" s="523">
        <v>16313276</v>
      </c>
    </row>
    <row r="38" spans="1:2" ht="31.5" customHeight="1">
      <c r="A38" s="343" t="s">
        <v>58</v>
      </c>
      <c r="B38" s="517">
        <f>10022167+936185-612535</f>
        <v>10345817</v>
      </c>
    </row>
    <row r="39" spans="1:2" ht="31.5" customHeight="1">
      <c r="A39" s="343" t="s">
        <v>59</v>
      </c>
      <c r="B39" s="536">
        <v>20766325</v>
      </c>
    </row>
    <row r="40" spans="1:2" ht="31.5" customHeight="1">
      <c r="A40" s="343" t="s">
        <v>60</v>
      </c>
      <c r="B40" s="536">
        <v>26616006</v>
      </c>
    </row>
    <row r="41" spans="1:2" ht="31.5" customHeight="1">
      <c r="A41" s="524" t="s">
        <v>67</v>
      </c>
      <c r="B41" s="532">
        <v>1738907</v>
      </c>
    </row>
    <row r="42" spans="1:2" ht="19.5" thickBot="1">
      <c r="A42" s="475" t="s">
        <v>115</v>
      </c>
      <c r="B42" s="476">
        <f>SUM(B20+B25+B33+B34+B35+B38+B39+B40+B41)</f>
        <v>1023496044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161">
    <pageSetUpPr fitToPage="1"/>
  </sheetPr>
  <dimension ref="A1:GL58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3" sqref="J53"/>
    </sheetView>
  </sheetViews>
  <sheetFormatPr defaultColWidth="10.625" defaultRowHeight="12.75"/>
  <cols>
    <col min="1" max="1" width="42.375" style="350" customWidth="1"/>
    <col min="2" max="3" width="9.50390625" style="351" customWidth="1"/>
    <col min="4" max="4" width="9.375" style="351" bestFit="1" customWidth="1"/>
    <col min="5" max="6" width="9.50390625" style="351" customWidth="1"/>
    <col min="7" max="7" width="9.50390625" style="352" customWidth="1"/>
    <col min="8" max="8" width="1.12109375" style="352" customWidth="1"/>
    <col min="9" max="13" width="9.50390625" style="350" customWidth="1"/>
    <col min="14" max="14" width="9.50390625" style="353" customWidth="1"/>
    <col min="15" max="16384" width="10.625" style="350" customWidth="1"/>
  </cols>
  <sheetData>
    <row r="1" spans="10:13" ht="12.75">
      <c r="J1" s="595"/>
      <c r="K1" s="595"/>
      <c r="L1" s="595"/>
      <c r="M1" s="595"/>
    </row>
    <row r="2" spans="1:14" ht="12.75">
      <c r="A2" s="354"/>
      <c r="E2" s="479"/>
      <c r="I2" s="354"/>
      <c r="J2" s="594"/>
      <c r="K2" s="594"/>
      <c r="L2" s="594"/>
      <c r="M2" s="594"/>
      <c r="N2" s="355"/>
    </row>
    <row r="3" spans="1:14" ht="17.25" customHeight="1">
      <c r="A3" s="356" t="s">
        <v>35</v>
      </c>
      <c r="B3" s="357"/>
      <c r="C3" s="357"/>
      <c r="D3" s="357"/>
      <c r="E3" s="357"/>
      <c r="F3" s="357"/>
      <c r="G3" s="358"/>
      <c r="H3" s="358"/>
      <c r="I3" s="359"/>
      <c r="J3" s="359"/>
      <c r="K3" s="359"/>
      <c r="L3" s="359"/>
      <c r="M3" s="359"/>
      <c r="N3" s="360"/>
    </row>
    <row r="4" spans="1:14" ht="19.5">
      <c r="A4" s="361" t="s">
        <v>459</v>
      </c>
      <c r="B4" s="357"/>
      <c r="C4" s="357"/>
      <c r="D4" s="357"/>
      <c r="E4" s="357"/>
      <c r="F4" s="357"/>
      <c r="G4" s="358"/>
      <c r="H4" s="358"/>
      <c r="I4" s="359"/>
      <c r="J4" s="359"/>
      <c r="K4" s="359"/>
      <c r="L4" s="359"/>
      <c r="M4" s="359"/>
      <c r="N4" s="360"/>
    </row>
    <row r="5" spans="1:14" ht="0.75" customHeight="1" thickBot="1">
      <c r="A5" s="362"/>
      <c r="B5" s="357"/>
      <c r="C5" s="357"/>
      <c r="D5" s="357"/>
      <c r="E5" s="357"/>
      <c r="F5" s="357"/>
      <c r="G5" s="358"/>
      <c r="H5" s="358"/>
      <c r="I5" s="359"/>
      <c r="J5" s="359"/>
      <c r="K5" s="359"/>
      <c r="L5" s="359"/>
      <c r="M5" s="359"/>
      <c r="N5" s="355" t="s">
        <v>412</v>
      </c>
    </row>
    <row r="6" spans="1:14" ht="15.75">
      <c r="A6" s="363" t="s">
        <v>213</v>
      </c>
      <c r="B6" s="596" t="s">
        <v>460</v>
      </c>
      <c r="C6" s="597"/>
      <c r="D6" s="597"/>
      <c r="E6" s="597"/>
      <c r="F6" s="597"/>
      <c r="G6" s="598"/>
      <c r="H6" s="364"/>
      <c r="I6" s="596" t="s">
        <v>461</v>
      </c>
      <c r="J6" s="597"/>
      <c r="K6" s="597"/>
      <c r="L6" s="597"/>
      <c r="M6" s="597"/>
      <c r="N6" s="598"/>
    </row>
    <row r="7" spans="1:14" ht="12.75">
      <c r="A7" s="365"/>
      <c r="B7" s="366" t="s">
        <v>462</v>
      </c>
      <c r="C7" s="367" t="s">
        <v>429</v>
      </c>
      <c r="D7" s="367" t="s">
        <v>487</v>
      </c>
      <c r="E7" s="367" t="s">
        <v>463</v>
      </c>
      <c r="F7" s="367" t="s">
        <v>24</v>
      </c>
      <c r="G7" s="368" t="s">
        <v>36</v>
      </c>
      <c r="H7" s="369"/>
      <c r="I7" s="366" t="s">
        <v>462</v>
      </c>
      <c r="J7" s="367" t="s">
        <v>429</v>
      </c>
      <c r="K7" s="367" t="s">
        <v>496</v>
      </c>
      <c r="L7" s="367" t="s">
        <v>176</v>
      </c>
      <c r="M7" s="367" t="s">
        <v>488</v>
      </c>
      <c r="N7" s="368" t="s">
        <v>37</v>
      </c>
    </row>
    <row r="8" spans="1:14" ht="13.5" thickBot="1">
      <c r="A8" s="370"/>
      <c r="B8" s="371" t="s">
        <v>464</v>
      </c>
      <c r="C8" s="372" t="s">
        <v>464</v>
      </c>
      <c r="D8" s="372" t="s">
        <v>464</v>
      </c>
      <c r="E8" s="372" t="s">
        <v>465</v>
      </c>
      <c r="F8" s="372"/>
      <c r="G8" s="373" t="s">
        <v>466</v>
      </c>
      <c r="H8" s="374"/>
      <c r="I8" s="371" t="s">
        <v>467</v>
      </c>
      <c r="J8" s="372" t="s">
        <v>435</v>
      </c>
      <c r="K8" s="372" t="s">
        <v>431</v>
      </c>
      <c r="L8" s="372"/>
      <c r="M8" s="372"/>
      <c r="N8" s="373" t="s">
        <v>468</v>
      </c>
    </row>
    <row r="9" spans="1:194" ht="12.75">
      <c r="A9" s="375" t="s">
        <v>489</v>
      </c>
      <c r="B9" s="518">
        <v>12887</v>
      </c>
      <c r="C9" s="378"/>
      <c r="D9" s="377"/>
      <c r="E9" s="376"/>
      <c r="F9" s="378"/>
      <c r="G9" s="379">
        <f>SUM(B9:F9)</f>
        <v>12887</v>
      </c>
      <c r="H9" s="380"/>
      <c r="I9" s="493"/>
      <c r="J9" s="378"/>
      <c r="K9" s="381"/>
      <c r="L9" s="378"/>
      <c r="M9" s="378"/>
      <c r="N9" s="379">
        <f aca="true" t="shared" si="0" ref="N9:N16">SUM(I9:M9)</f>
        <v>0</v>
      </c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382"/>
      <c r="DW9" s="382"/>
      <c r="DX9" s="382"/>
      <c r="DY9" s="382"/>
      <c r="DZ9" s="382"/>
      <c r="EA9" s="382"/>
      <c r="EB9" s="382"/>
      <c r="EC9" s="382"/>
      <c r="ED9" s="382"/>
      <c r="EE9" s="382"/>
      <c r="EF9" s="382"/>
      <c r="EG9" s="382"/>
      <c r="EH9" s="382"/>
      <c r="EI9" s="382"/>
      <c r="EJ9" s="382"/>
      <c r="EK9" s="382"/>
      <c r="EL9" s="382"/>
      <c r="EM9" s="382"/>
      <c r="EN9" s="382"/>
      <c r="EO9" s="382"/>
      <c r="EP9" s="382"/>
      <c r="EQ9" s="382"/>
      <c r="ER9" s="382"/>
      <c r="ES9" s="382"/>
      <c r="ET9" s="382"/>
      <c r="EU9" s="382"/>
      <c r="EV9" s="382"/>
      <c r="EW9" s="382"/>
      <c r="EX9" s="382"/>
      <c r="EY9" s="382"/>
      <c r="EZ9" s="382"/>
      <c r="FA9" s="382"/>
      <c r="FB9" s="382"/>
      <c r="FC9" s="382"/>
      <c r="FD9" s="382"/>
      <c r="FE9" s="382"/>
      <c r="FF9" s="382"/>
      <c r="FG9" s="382"/>
      <c r="FH9" s="382"/>
      <c r="FI9" s="382"/>
      <c r="FJ9" s="382"/>
      <c r="FK9" s="382"/>
      <c r="FL9" s="382"/>
      <c r="FM9" s="382"/>
      <c r="FN9" s="382"/>
      <c r="FO9" s="382"/>
      <c r="FP9" s="382"/>
      <c r="FQ9" s="382"/>
      <c r="FR9" s="382"/>
      <c r="FS9" s="382"/>
      <c r="FT9" s="382"/>
      <c r="FU9" s="382"/>
      <c r="FV9" s="382"/>
      <c r="FW9" s="382"/>
      <c r="FX9" s="382"/>
      <c r="FY9" s="382"/>
      <c r="FZ9" s="382"/>
      <c r="GA9" s="382"/>
      <c r="GB9" s="382"/>
      <c r="GC9" s="382"/>
      <c r="GD9" s="382"/>
      <c r="GE9" s="382"/>
      <c r="GF9" s="382"/>
      <c r="GG9" s="382"/>
      <c r="GH9" s="382"/>
      <c r="GI9" s="382"/>
      <c r="GJ9" s="382"/>
      <c r="GK9" s="382"/>
      <c r="GL9" s="382"/>
    </row>
    <row r="10" spans="1:14" ht="12.75">
      <c r="A10" s="383" t="s">
        <v>9</v>
      </c>
      <c r="B10" s="389"/>
      <c r="C10" s="392"/>
      <c r="D10" s="385"/>
      <c r="E10" s="385"/>
      <c r="F10" s="385"/>
      <c r="G10" s="386">
        <f>SUM(B10:F10)</f>
        <v>0</v>
      </c>
      <c r="H10" s="387"/>
      <c r="I10" s="389">
        <v>12637</v>
      </c>
      <c r="J10" s="392"/>
      <c r="K10" s="392"/>
      <c r="L10" s="392"/>
      <c r="M10" s="392"/>
      <c r="N10" s="386">
        <f t="shared" si="0"/>
        <v>12637</v>
      </c>
    </row>
    <row r="11" spans="1:14" ht="12.75">
      <c r="A11" s="388" t="s">
        <v>41</v>
      </c>
      <c r="B11" s="389"/>
      <c r="C11" s="392"/>
      <c r="D11" s="385"/>
      <c r="E11" s="385"/>
      <c r="F11" s="385"/>
      <c r="G11" s="386">
        <f>SUM(B11:F11)</f>
        <v>0</v>
      </c>
      <c r="H11" s="387"/>
      <c r="I11" s="389">
        <v>835</v>
      </c>
      <c r="J11" s="392"/>
      <c r="K11" s="392"/>
      <c r="L11" s="392"/>
      <c r="M11" s="392"/>
      <c r="N11" s="386">
        <f t="shared" si="0"/>
        <v>835</v>
      </c>
    </row>
    <row r="12" spans="1:14" ht="12.75">
      <c r="A12" s="388" t="s">
        <v>42</v>
      </c>
      <c r="B12" s="389"/>
      <c r="C12" s="392"/>
      <c r="D12" s="385"/>
      <c r="E12" s="385"/>
      <c r="F12" s="385"/>
      <c r="G12" s="386"/>
      <c r="H12" s="416"/>
      <c r="I12" s="389"/>
      <c r="J12" s="392">
        <v>1920</v>
      </c>
      <c r="K12" s="392"/>
      <c r="L12" s="392"/>
      <c r="M12" s="392"/>
      <c r="N12" s="386">
        <f t="shared" si="0"/>
        <v>1920</v>
      </c>
    </row>
    <row r="13" spans="1:14" ht="12.75">
      <c r="A13" s="388" t="s">
        <v>490</v>
      </c>
      <c r="B13" s="389"/>
      <c r="C13" s="496"/>
      <c r="D13" s="392"/>
      <c r="E13" s="391"/>
      <c r="F13" s="391"/>
      <c r="G13" s="386">
        <f aca="true" t="shared" si="1" ref="G13:G19">SUM(B13:F13)</f>
        <v>0</v>
      </c>
      <c r="H13" s="430" t="e">
        <f>SUM(#REF!)</f>
        <v>#REF!</v>
      </c>
      <c r="I13" s="389">
        <v>1262</v>
      </c>
      <c r="J13" s="392">
        <v>30057</v>
      </c>
      <c r="K13" s="392"/>
      <c r="L13" s="392"/>
      <c r="M13" s="392"/>
      <c r="N13" s="386">
        <f t="shared" si="0"/>
        <v>31319</v>
      </c>
    </row>
    <row r="14" spans="1:14" ht="12.75">
      <c r="A14" s="393" t="s">
        <v>10</v>
      </c>
      <c r="B14" s="389">
        <v>14510</v>
      </c>
      <c r="C14" s="397"/>
      <c r="D14" s="392"/>
      <c r="E14" s="397"/>
      <c r="F14" s="397"/>
      <c r="G14" s="394">
        <f t="shared" si="1"/>
        <v>14510</v>
      </c>
      <c r="H14" s="387"/>
      <c r="I14" s="389">
        <v>11921</v>
      </c>
      <c r="J14" s="392"/>
      <c r="K14" s="397"/>
      <c r="L14" s="397"/>
      <c r="M14" s="397"/>
      <c r="N14" s="394">
        <f t="shared" si="0"/>
        <v>11921</v>
      </c>
    </row>
    <row r="15" spans="1:14" ht="12.75">
      <c r="A15" s="383" t="s">
        <v>469</v>
      </c>
      <c r="B15" s="389"/>
      <c r="C15" s="392"/>
      <c r="D15" s="392"/>
      <c r="E15" s="392"/>
      <c r="F15" s="392"/>
      <c r="G15" s="386">
        <f t="shared" si="1"/>
        <v>0</v>
      </c>
      <c r="H15" s="387"/>
      <c r="I15" s="389">
        <v>8986</v>
      </c>
      <c r="J15" s="392">
        <v>601</v>
      </c>
      <c r="K15" s="392"/>
      <c r="L15" s="392"/>
      <c r="M15" s="392"/>
      <c r="N15" s="386">
        <f t="shared" si="0"/>
        <v>9587</v>
      </c>
    </row>
    <row r="16" spans="1:14" ht="12.75">
      <c r="A16" s="383" t="s">
        <v>470</v>
      </c>
      <c r="B16" s="389">
        <v>500</v>
      </c>
      <c r="C16" s="392"/>
      <c r="D16" s="392"/>
      <c r="E16" s="392"/>
      <c r="F16" s="392"/>
      <c r="G16" s="386">
        <f t="shared" si="1"/>
        <v>500</v>
      </c>
      <c r="H16" s="387"/>
      <c r="I16" s="389">
        <v>2887</v>
      </c>
      <c r="J16" s="392">
        <v>1793</v>
      </c>
      <c r="K16" s="392"/>
      <c r="L16" s="392"/>
      <c r="M16" s="392"/>
      <c r="N16" s="386">
        <f t="shared" si="0"/>
        <v>4680</v>
      </c>
    </row>
    <row r="17" spans="1:14" ht="12.75">
      <c r="A17" s="383" t="s">
        <v>471</v>
      </c>
      <c r="B17" s="389"/>
      <c r="C17" s="392"/>
      <c r="D17" s="392"/>
      <c r="E17" s="392"/>
      <c r="F17" s="392"/>
      <c r="G17" s="386">
        <f t="shared" si="1"/>
        <v>0</v>
      </c>
      <c r="H17" s="387"/>
      <c r="I17" s="389"/>
      <c r="J17" s="392"/>
      <c r="K17" s="392"/>
      <c r="L17" s="392"/>
      <c r="M17" s="392"/>
      <c r="N17" s="386">
        <f aca="true" t="shared" si="2" ref="N17:N48">SUM(I17:M17)</f>
        <v>0</v>
      </c>
    </row>
    <row r="18" spans="1:14" ht="12.75">
      <c r="A18" s="383" t="s">
        <v>472</v>
      </c>
      <c r="B18" s="404"/>
      <c r="C18" s="397"/>
      <c r="D18" s="397"/>
      <c r="E18" s="397"/>
      <c r="F18" s="397"/>
      <c r="G18" s="394">
        <f t="shared" si="1"/>
        <v>0</v>
      </c>
      <c r="H18" s="395"/>
      <c r="I18" s="389">
        <v>23867</v>
      </c>
      <c r="J18" s="392"/>
      <c r="K18" s="397"/>
      <c r="L18" s="397"/>
      <c r="M18" s="397"/>
      <c r="N18" s="394">
        <f t="shared" si="2"/>
        <v>23867</v>
      </c>
    </row>
    <row r="19" spans="1:14" ht="12.75">
      <c r="A19" s="396" t="s">
        <v>473</v>
      </c>
      <c r="B19" s="404"/>
      <c r="C19" s="397"/>
      <c r="D19" s="397"/>
      <c r="E19" s="397"/>
      <c r="F19" s="397"/>
      <c r="G19" s="394">
        <f t="shared" si="1"/>
        <v>0</v>
      </c>
      <c r="H19" s="395"/>
      <c r="I19" s="389">
        <v>300</v>
      </c>
      <c r="J19" s="397"/>
      <c r="K19" s="397"/>
      <c r="L19" s="397"/>
      <c r="M19" s="397"/>
      <c r="N19" s="394">
        <f t="shared" si="2"/>
        <v>300</v>
      </c>
    </row>
    <row r="20" spans="1:14" ht="12.75">
      <c r="A20" s="398" t="s">
        <v>474</v>
      </c>
      <c r="B20" s="534">
        <f>SUM(B21:B23)</f>
        <v>366438</v>
      </c>
      <c r="C20" s="399">
        <f>SUM(C21:C23)</f>
        <v>0</v>
      </c>
      <c r="D20" s="399">
        <f>SUM(D21:D23)</f>
        <v>0</v>
      </c>
      <c r="E20" s="399"/>
      <c r="F20" s="399"/>
      <c r="G20" s="394">
        <f>SUM(G21:G23)</f>
        <v>366438</v>
      </c>
      <c r="H20" s="395"/>
      <c r="I20" s="404"/>
      <c r="J20" s="397"/>
      <c r="K20" s="397">
        <f>SUM(K21:K23)</f>
        <v>0</v>
      </c>
      <c r="L20" s="397"/>
      <c r="M20" s="397"/>
      <c r="N20" s="394">
        <f t="shared" si="2"/>
        <v>0</v>
      </c>
    </row>
    <row r="21" spans="1:14" ht="12.75">
      <c r="A21" s="400" t="s">
        <v>491</v>
      </c>
      <c r="B21" s="554">
        <f>326720+2978</f>
        <v>329698</v>
      </c>
      <c r="C21" s="397"/>
      <c r="D21" s="397"/>
      <c r="E21" s="397"/>
      <c r="F21" s="397"/>
      <c r="G21" s="401">
        <f aca="true" t="shared" si="3" ref="G21:G27">SUM(B21:F21)</f>
        <v>329698</v>
      </c>
      <c r="H21" s="395"/>
      <c r="I21" s="404"/>
      <c r="J21" s="397"/>
      <c r="K21" s="397"/>
      <c r="L21" s="397"/>
      <c r="M21" s="397"/>
      <c r="N21" s="401">
        <f t="shared" si="2"/>
        <v>0</v>
      </c>
    </row>
    <row r="22" spans="1:14" ht="12.75">
      <c r="A22" s="400" t="s">
        <v>475</v>
      </c>
      <c r="B22" s="389">
        <v>28200</v>
      </c>
      <c r="C22" s="397"/>
      <c r="D22" s="397"/>
      <c r="E22" s="397"/>
      <c r="F22" s="397"/>
      <c r="G22" s="401">
        <f t="shared" si="3"/>
        <v>28200</v>
      </c>
      <c r="H22" s="395"/>
      <c r="I22" s="404"/>
      <c r="J22" s="397"/>
      <c r="K22" s="397"/>
      <c r="L22" s="397"/>
      <c r="M22" s="397"/>
      <c r="N22" s="401">
        <f t="shared" si="2"/>
        <v>0</v>
      </c>
    </row>
    <row r="23" spans="1:14" ht="12.75">
      <c r="A23" s="400" t="s">
        <v>11</v>
      </c>
      <c r="B23" s="389">
        <v>8540</v>
      </c>
      <c r="C23" s="397"/>
      <c r="D23" s="397"/>
      <c r="E23" s="397"/>
      <c r="F23" s="397"/>
      <c r="G23" s="401">
        <f t="shared" si="3"/>
        <v>8540</v>
      </c>
      <c r="H23" s="395"/>
      <c r="I23" s="404"/>
      <c r="J23" s="397"/>
      <c r="K23" s="397"/>
      <c r="L23" s="397"/>
      <c r="M23" s="397"/>
      <c r="N23" s="401">
        <f t="shared" si="2"/>
        <v>0</v>
      </c>
    </row>
    <row r="24" spans="1:14" ht="12.75">
      <c r="A24" s="537" t="s">
        <v>69</v>
      </c>
      <c r="B24" s="404"/>
      <c r="C24" s="392">
        <v>20000</v>
      </c>
      <c r="D24" s="397"/>
      <c r="E24" s="397"/>
      <c r="F24" s="397"/>
      <c r="G24" s="401">
        <f t="shared" si="3"/>
        <v>20000</v>
      </c>
      <c r="H24" s="395"/>
      <c r="I24" s="389"/>
      <c r="J24" s="392"/>
      <c r="K24" s="397"/>
      <c r="L24" s="397"/>
      <c r="M24" s="397"/>
      <c r="N24" s="401">
        <f t="shared" si="2"/>
        <v>0</v>
      </c>
    </row>
    <row r="25" spans="1:14" ht="12.75">
      <c r="A25" s="383" t="s">
        <v>503</v>
      </c>
      <c r="B25" s="404"/>
      <c r="C25" s="397"/>
      <c r="D25" s="397"/>
      <c r="E25" s="397"/>
      <c r="F25" s="397"/>
      <c r="G25" s="394">
        <f t="shared" si="3"/>
        <v>0</v>
      </c>
      <c r="H25" s="395"/>
      <c r="I25" s="389"/>
      <c r="J25" s="397"/>
      <c r="K25" s="397"/>
      <c r="L25" s="397"/>
      <c r="M25" s="397"/>
      <c r="N25" s="394">
        <f t="shared" si="2"/>
        <v>0</v>
      </c>
    </row>
    <row r="26" spans="1:14" ht="12.75">
      <c r="A26" s="383" t="s">
        <v>476</v>
      </c>
      <c r="B26" s="404"/>
      <c r="C26" s="397"/>
      <c r="D26" s="397"/>
      <c r="E26" s="397"/>
      <c r="F26" s="397"/>
      <c r="G26" s="394">
        <f t="shared" si="3"/>
        <v>0</v>
      </c>
      <c r="H26" s="395"/>
      <c r="I26" s="389">
        <v>33874</v>
      </c>
      <c r="J26" s="392">
        <v>135</v>
      </c>
      <c r="K26" s="397"/>
      <c r="L26" s="397"/>
      <c r="M26" s="397"/>
      <c r="N26" s="394">
        <f t="shared" si="2"/>
        <v>34009</v>
      </c>
    </row>
    <row r="27" spans="1:14" ht="13.5" customHeight="1">
      <c r="A27" s="406" t="s">
        <v>477</v>
      </c>
      <c r="B27" s="407">
        <v>12792</v>
      </c>
      <c r="C27" s="408">
        <v>2468</v>
      </c>
      <c r="D27" s="428"/>
      <c r="E27" s="428"/>
      <c r="F27" s="408"/>
      <c r="G27" s="410">
        <f t="shared" si="3"/>
        <v>15260</v>
      </c>
      <c r="H27" s="395"/>
      <c r="I27" s="555">
        <f>209467+321</f>
        <v>209788</v>
      </c>
      <c r="J27" s="408">
        <v>8614</v>
      </c>
      <c r="K27" s="408"/>
      <c r="L27" s="428"/>
      <c r="M27" s="428"/>
      <c r="N27" s="410">
        <f t="shared" si="2"/>
        <v>218402</v>
      </c>
    </row>
    <row r="28" spans="1:14" ht="12.75">
      <c r="A28" s="398" t="s">
        <v>492</v>
      </c>
      <c r="B28" s="534">
        <f>SUM(B29:B30)</f>
        <v>1205459</v>
      </c>
      <c r="C28" s="399">
        <f>SUM(C29:C30)</f>
        <v>895</v>
      </c>
      <c r="D28" s="399">
        <f>SUM(D29:D30)</f>
        <v>0</v>
      </c>
      <c r="E28" s="399"/>
      <c r="F28" s="399"/>
      <c r="G28" s="394">
        <f>SUM(G29:G30)</f>
        <v>1206354</v>
      </c>
      <c r="H28" s="429"/>
      <c r="I28" s="404">
        <f>SUM(I29:I30)</f>
        <v>33438</v>
      </c>
      <c r="J28" s="404">
        <f>SUM(J29:J30)</f>
        <v>0</v>
      </c>
      <c r="K28" s="404">
        <f>SUM(K29:K30)</f>
        <v>0</v>
      </c>
      <c r="L28" s="404">
        <f>SUM(L29:L30)</f>
        <v>0</v>
      </c>
      <c r="M28" s="404">
        <f>SUM(M29:M30)</f>
        <v>0</v>
      </c>
      <c r="N28" s="394">
        <f t="shared" si="2"/>
        <v>33438</v>
      </c>
    </row>
    <row r="29" spans="1:14" ht="12.75">
      <c r="A29" s="400" t="s">
        <v>493</v>
      </c>
      <c r="B29" s="554">
        <f>972408-8408</f>
        <v>964000</v>
      </c>
      <c r="C29" s="392"/>
      <c r="D29" s="397"/>
      <c r="E29" s="397"/>
      <c r="F29" s="397"/>
      <c r="G29" s="401">
        <f aca="true" t="shared" si="4" ref="G29:G48">SUM(B29:F29)</f>
        <v>964000</v>
      </c>
      <c r="H29" s="395"/>
      <c r="I29" s="389"/>
      <c r="J29" s="397"/>
      <c r="K29" s="397"/>
      <c r="L29" s="397"/>
      <c r="M29" s="397"/>
      <c r="N29" s="405">
        <f t="shared" si="2"/>
        <v>0</v>
      </c>
    </row>
    <row r="30" spans="1:14" ht="12.75">
      <c r="A30" s="400" t="s">
        <v>494</v>
      </c>
      <c r="B30" s="553">
        <f>205970+324+35165</f>
        <v>241459</v>
      </c>
      <c r="C30" s="392">
        <v>895</v>
      </c>
      <c r="D30" s="392"/>
      <c r="E30" s="397"/>
      <c r="F30" s="397"/>
      <c r="G30" s="401">
        <f t="shared" si="4"/>
        <v>242354</v>
      </c>
      <c r="H30" s="395"/>
      <c r="I30" s="389">
        <v>33438</v>
      </c>
      <c r="J30" s="397"/>
      <c r="K30" s="397"/>
      <c r="L30" s="397"/>
      <c r="M30" s="397"/>
      <c r="N30" s="405">
        <f t="shared" si="2"/>
        <v>33438</v>
      </c>
    </row>
    <row r="31" spans="1:14" ht="12.75">
      <c r="A31" s="383" t="s">
        <v>478</v>
      </c>
      <c r="B31" s="389">
        <v>10</v>
      </c>
      <c r="C31" s="392">
        <v>60303</v>
      </c>
      <c r="D31" s="392"/>
      <c r="E31" s="392">
        <v>100000</v>
      </c>
      <c r="F31" s="392"/>
      <c r="G31" s="386">
        <f t="shared" si="4"/>
        <v>160313</v>
      </c>
      <c r="H31" s="387"/>
      <c r="I31" s="389">
        <v>10097</v>
      </c>
      <c r="J31" s="392"/>
      <c r="K31" s="392"/>
      <c r="L31" s="392">
        <v>103545</v>
      </c>
      <c r="M31" s="556">
        <v>121194</v>
      </c>
      <c r="N31" s="394">
        <f t="shared" si="2"/>
        <v>234836</v>
      </c>
    </row>
    <row r="32" spans="1:14" ht="12.75">
      <c r="A32" s="383" t="s">
        <v>495</v>
      </c>
      <c r="B32" s="404"/>
      <c r="C32" s="397"/>
      <c r="D32" s="397"/>
      <c r="E32" s="397"/>
      <c r="F32" s="392">
        <v>257029</v>
      </c>
      <c r="G32" s="394">
        <f t="shared" si="4"/>
        <v>257029</v>
      </c>
      <c r="H32" s="395"/>
      <c r="I32" s="389"/>
      <c r="J32" s="392"/>
      <c r="K32" s="392">
        <v>1192453</v>
      </c>
      <c r="L32" s="392"/>
      <c r="M32" s="392"/>
      <c r="N32" s="394">
        <f t="shared" si="2"/>
        <v>1192453</v>
      </c>
    </row>
    <row r="33" spans="1:14" ht="12.75">
      <c r="A33" s="383" t="s">
        <v>479</v>
      </c>
      <c r="B33" s="389"/>
      <c r="C33" s="392"/>
      <c r="D33" s="392"/>
      <c r="E33" s="392"/>
      <c r="F33" s="392"/>
      <c r="G33" s="394">
        <f t="shared" si="4"/>
        <v>0</v>
      </c>
      <c r="H33" s="395"/>
      <c r="I33" s="389">
        <v>611</v>
      </c>
      <c r="J33" s="392"/>
      <c r="K33" s="392"/>
      <c r="L33" s="392"/>
      <c r="M33" s="392"/>
      <c r="N33" s="394">
        <f t="shared" si="2"/>
        <v>611</v>
      </c>
    </row>
    <row r="34" spans="1:14" ht="12.75">
      <c r="A34" s="406" t="s">
        <v>480</v>
      </c>
      <c r="B34" s="407"/>
      <c r="C34" s="408"/>
      <c r="D34" s="408"/>
      <c r="E34" s="408"/>
      <c r="F34" s="408"/>
      <c r="G34" s="394">
        <f t="shared" si="4"/>
        <v>0</v>
      </c>
      <c r="H34" s="395"/>
      <c r="I34" s="407">
        <v>1799</v>
      </c>
      <c r="J34" s="408">
        <v>5301</v>
      </c>
      <c r="K34" s="408"/>
      <c r="L34" s="408"/>
      <c r="M34" s="408"/>
      <c r="N34" s="394">
        <f t="shared" si="2"/>
        <v>7100</v>
      </c>
    </row>
    <row r="35" spans="1:14" ht="12.75">
      <c r="A35" s="406" t="s">
        <v>497</v>
      </c>
      <c r="B35" s="407"/>
      <c r="C35" s="408"/>
      <c r="D35" s="408"/>
      <c r="E35" s="408"/>
      <c r="F35" s="408"/>
      <c r="G35" s="394">
        <f t="shared" si="4"/>
        <v>0</v>
      </c>
      <c r="H35" s="395"/>
      <c r="I35" s="407"/>
      <c r="J35" s="408"/>
      <c r="K35" s="408"/>
      <c r="L35" s="408"/>
      <c r="M35" s="408"/>
      <c r="N35" s="386">
        <f t="shared" si="2"/>
        <v>0</v>
      </c>
    </row>
    <row r="36" spans="1:14" ht="12.75">
      <c r="A36" s="406" t="s">
        <v>498</v>
      </c>
      <c r="B36" s="407"/>
      <c r="C36" s="408"/>
      <c r="D36" s="408"/>
      <c r="E36" s="408"/>
      <c r="F36" s="408"/>
      <c r="G36" s="394">
        <f t="shared" si="4"/>
        <v>0</v>
      </c>
      <c r="H36" s="395"/>
      <c r="I36" s="407">
        <v>6748</v>
      </c>
      <c r="J36" s="408">
        <v>375</v>
      </c>
      <c r="K36" s="408"/>
      <c r="L36" s="408"/>
      <c r="M36" s="408"/>
      <c r="N36" s="386">
        <f t="shared" si="2"/>
        <v>7123</v>
      </c>
    </row>
    <row r="37" spans="1:14" ht="12.75">
      <c r="A37" s="406" t="s">
        <v>499</v>
      </c>
      <c r="B37" s="407">
        <v>757</v>
      </c>
      <c r="C37" s="408"/>
      <c r="D37" s="408"/>
      <c r="E37" s="408"/>
      <c r="F37" s="408"/>
      <c r="G37" s="394">
        <f t="shared" si="4"/>
        <v>757</v>
      </c>
      <c r="H37" s="395"/>
      <c r="I37" s="407">
        <v>10788</v>
      </c>
      <c r="J37" s="408"/>
      <c r="K37" s="408"/>
      <c r="L37" s="408"/>
      <c r="M37" s="408"/>
      <c r="N37" s="386">
        <f t="shared" si="2"/>
        <v>10788</v>
      </c>
    </row>
    <row r="38" spans="1:14" ht="12.75">
      <c r="A38" s="406" t="s">
        <v>13</v>
      </c>
      <c r="B38" s="407">
        <v>800</v>
      </c>
      <c r="C38" s="408"/>
      <c r="D38" s="408"/>
      <c r="E38" s="408"/>
      <c r="F38" s="408"/>
      <c r="G38" s="394">
        <f t="shared" si="4"/>
        <v>800</v>
      </c>
      <c r="H38" s="395"/>
      <c r="I38" s="505">
        <v>52365</v>
      </c>
      <c r="J38" s="408"/>
      <c r="K38" s="408"/>
      <c r="L38" s="408"/>
      <c r="M38" s="408"/>
      <c r="N38" s="386">
        <f t="shared" si="2"/>
        <v>52365</v>
      </c>
    </row>
    <row r="39" spans="1:14" ht="12.75">
      <c r="A39" s="406" t="s">
        <v>481</v>
      </c>
      <c r="B39" s="407"/>
      <c r="C39" s="408"/>
      <c r="D39" s="408"/>
      <c r="E39" s="408"/>
      <c r="F39" s="408"/>
      <c r="G39" s="394">
        <f t="shared" si="4"/>
        <v>0</v>
      </c>
      <c r="H39" s="395"/>
      <c r="I39" s="407">
        <v>19</v>
      </c>
      <c r="J39" s="408"/>
      <c r="K39" s="408">
        <v>0</v>
      </c>
      <c r="L39" s="408"/>
      <c r="M39" s="408"/>
      <c r="N39" s="386">
        <f t="shared" si="2"/>
        <v>19</v>
      </c>
    </row>
    <row r="40" spans="1:14" ht="12.75">
      <c r="A40" s="406" t="s">
        <v>482</v>
      </c>
      <c r="B40" s="407"/>
      <c r="C40" s="408"/>
      <c r="D40" s="408"/>
      <c r="E40" s="408"/>
      <c r="F40" s="408"/>
      <c r="G40" s="394">
        <f t="shared" si="4"/>
        <v>0</v>
      </c>
      <c r="H40" s="395"/>
      <c r="I40" s="407">
        <v>12</v>
      </c>
      <c r="J40" s="408"/>
      <c r="K40" s="408"/>
      <c r="L40" s="408"/>
      <c r="M40" s="408"/>
      <c r="N40" s="386">
        <f t="shared" si="2"/>
        <v>12</v>
      </c>
    </row>
    <row r="41" spans="1:14" ht="12.75">
      <c r="A41" s="406" t="s">
        <v>483</v>
      </c>
      <c r="B41" s="407"/>
      <c r="C41" s="408"/>
      <c r="D41" s="408"/>
      <c r="E41" s="408"/>
      <c r="F41" s="408"/>
      <c r="G41" s="394">
        <f t="shared" si="4"/>
        <v>0</v>
      </c>
      <c r="H41" s="395"/>
      <c r="I41" s="407"/>
      <c r="J41" s="408"/>
      <c r="K41" s="408"/>
      <c r="L41" s="408"/>
      <c r="M41" s="408"/>
      <c r="N41" s="386">
        <f t="shared" si="2"/>
        <v>0</v>
      </c>
    </row>
    <row r="42" spans="1:14" ht="12.75">
      <c r="A42" s="433" t="s">
        <v>484</v>
      </c>
      <c r="B42" s="505">
        <v>2366</v>
      </c>
      <c r="C42" s="408"/>
      <c r="D42" s="408"/>
      <c r="E42" s="408"/>
      <c r="F42" s="408"/>
      <c r="G42" s="394">
        <f t="shared" si="4"/>
        <v>2366</v>
      </c>
      <c r="H42" s="395"/>
      <c r="I42" s="407">
        <v>25422</v>
      </c>
      <c r="J42" s="408">
        <v>10178</v>
      </c>
      <c r="K42" s="432"/>
      <c r="L42" s="408"/>
      <c r="M42" s="408"/>
      <c r="N42" s="386">
        <f t="shared" si="2"/>
        <v>35600</v>
      </c>
    </row>
    <row r="43" spans="1:14" ht="12.75">
      <c r="A43" s="409" t="s">
        <v>485</v>
      </c>
      <c r="B43" s="505">
        <v>27857</v>
      </c>
      <c r="C43" s="408">
        <v>35543</v>
      </c>
      <c r="D43" s="408"/>
      <c r="E43" s="408"/>
      <c r="F43" s="408"/>
      <c r="G43" s="394">
        <f t="shared" si="4"/>
        <v>63400</v>
      </c>
      <c r="H43" s="395"/>
      <c r="I43" s="407">
        <v>30130</v>
      </c>
      <c r="J43" s="408">
        <v>14430</v>
      </c>
      <c r="K43" s="408"/>
      <c r="L43" s="408"/>
      <c r="M43" s="408"/>
      <c r="N43" s="386">
        <f t="shared" si="2"/>
        <v>44560</v>
      </c>
    </row>
    <row r="44" spans="1:14" ht="12.75">
      <c r="A44" s="433" t="s">
        <v>73</v>
      </c>
      <c r="B44" s="407"/>
      <c r="C44" s="408"/>
      <c r="D44" s="408"/>
      <c r="E44" s="408"/>
      <c r="F44" s="408"/>
      <c r="G44" s="394">
        <f t="shared" si="4"/>
        <v>0</v>
      </c>
      <c r="H44" s="395"/>
      <c r="I44" s="407"/>
      <c r="J44" s="408"/>
      <c r="K44" s="408"/>
      <c r="L44" s="408"/>
      <c r="M44" s="408"/>
      <c r="N44" s="386">
        <f t="shared" si="2"/>
        <v>0</v>
      </c>
    </row>
    <row r="45" spans="1:14" ht="12.75">
      <c r="A45" s="409" t="s">
        <v>502</v>
      </c>
      <c r="B45" s="407">
        <v>640424</v>
      </c>
      <c r="C45" s="408">
        <v>16101</v>
      </c>
      <c r="D45" s="408"/>
      <c r="E45" s="408"/>
      <c r="F45" s="408"/>
      <c r="G45" s="394">
        <f t="shared" si="4"/>
        <v>656525</v>
      </c>
      <c r="H45" s="395"/>
      <c r="I45" s="407">
        <v>729264</v>
      </c>
      <c r="J45" s="408">
        <v>31579</v>
      </c>
      <c r="K45" s="408"/>
      <c r="L45" s="408"/>
      <c r="M45" s="408"/>
      <c r="N45" s="386">
        <f t="shared" si="2"/>
        <v>760843</v>
      </c>
    </row>
    <row r="46" spans="1:14" ht="12.75">
      <c r="A46" s="519" t="s">
        <v>61</v>
      </c>
      <c r="B46" s="407">
        <v>167</v>
      </c>
      <c r="C46" s="408"/>
      <c r="D46" s="408"/>
      <c r="E46" s="408"/>
      <c r="F46" s="408"/>
      <c r="G46" s="394">
        <f t="shared" si="4"/>
        <v>167</v>
      </c>
      <c r="H46" s="395"/>
      <c r="I46" s="407">
        <v>220</v>
      </c>
      <c r="J46" s="408">
        <v>167</v>
      </c>
      <c r="K46" s="408"/>
      <c r="L46" s="408"/>
      <c r="M46" s="408"/>
      <c r="N46" s="386">
        <f t="shared" si="2"/>
        <v>387</v>
      </c>
    </row>
    <row r="47" spans="1:14" ht="12.75">
      <c r="A47" s="406" t="s">
        <v>43</v>
      </c>
      <c r="B47" s="407"/>
      <c r="C47" s="408"/>
      <c r="D47" s="408"/>
      <c r="E47" s="408"/>
      <c r="F47" s="408"/>
      <c r="G47" s="410">
        <f t="shared" si="4"/>
        <v>0</v>
      </c>
      <c r="H47" s="395"/>
      <c r="I47" s="555">
        <f>55256-6766</f>
        <v>48490</v>
      </c>
      <c r="J47" s="408"/>
      <c r="K47" s="408"/>
      <c r="L47" s="408"/>
      <c r="M47" s="408"/>
      <c r="N47" s="386">
        <f t="shared" si="2"/>
        <v>48490</v>
      </c>
    </row>
    <row r="48" spans="1:14" ht="13.5" thickBot="1">
      <c r="A48" s="406" t="s">
        <v>12</v>
      </c>
      <c r="B48" s="407">
        <v>1092</v>
      </c>
      <c r="C48" s="408"/>
      <c r="D48" s="408"/>
      <c r="E48" s="408"/>
      <c r="F48" s="408"/>
      <c r="G48" s="410">
        <f t="shared" si="4"/>
        <v>1092</v>
      </c>
      <c r="H48" s="395"/>
      <c r="I48" s="407">
        <v>296</v>
      </c>
      <c r="J48" s="408"/>
      <c r="K48" s="408"/>
      <c r="L48" s="408"/>
      <c r="M48" s="408"/>
      <c r="N48" s="411">
        <f t="shared" si="2"/>
        <v>296</v>
      </c>
    </row>
    <row r="49" spans="1:14" ht="12.75">
      <c r="A49" s="412" t="s">
        <v>115</v>
      </c>
      <c r="B49" s="413">
        <f>SUM(B9:B13,B14:B20,B25:B28,B31:B48,B24)</f>
        <v>2286059</v>
      </c>
      <c r="C49" s="413">
        <f>SUM(C9:C13,C14:C20,C25:C28,C31:C48,C24)</f>
        <v>135310</v>
      </c>
      <c r="D49" s="413">
        <f>SUM(D9:D13,D14:D20,D25:D28,D31:D48,D24)</f>
        <v>0</v>
      </c>
      <c r="E49" s="413">
        <f>SUM(E9:E13,E14:E20,E25:E28,E31:E48,E24)</f>
        <v>100000</v>
      </c>
      <c r="F49" s="413">
        <f>SUM(F9:F13,F14:F20,F25:F28,F31:F48,F24)</f>
        <v>257029</v>
      </c>
      <c r="G49" s="413">
        <f>SUM(G9:G13,G14:G20,G25:G28,G31:G37,G38:G48,G24)</f>
        <v>2778398</v>
      </c>
      <c r="H49" s="413" t="e">
        <f>SUM(H9:H13,H15:H20,H25:H28,H31:H37,H38:H48)</f>
        <v>#REF!</v>
      </c>
      <c r="I49" s="413">
        <f aca="true" t="shared" si="5" ref="I49:N49">SUM(I9:I13,I14:I20,I25:I28,I31:I48,I24)</f>
        <v>1256056</v>
      </c>
      <c r="J49" s="413">
        <f t="shared" si="5"/>
        <v>105150</v>
      </c>
      <c r="K49" s="413">
        <f t="shared" si="5"/>
        <v>1192453</v>
      </c>
      <c r="L49" s="413">
        <f t="shared" si="5"/>
        <v>103545</v>
      </c>
      <c r="M49" s="413">
        <f t="shared" si="5"/>
        <v>121194</v>
      </c>
      <c r="N49" s="414">
        <f t="shared" si="5"/>
        <v>2778398</v>
      </c>
    </row>
    <row r="50" spans="1:14" ht="12.75">
      <c r="A50" s="415" t="s">
        <v>486</v>
      </c>
      <c r="B50" s="384"/>
      <c r="C50" s="385"/>
      <c r="D50" s="385"/>
      <c r="E50" s="385"/>
      <c r="F50" s="385"/>
      <c r="G50" s="386"/>
      <c r="H50" s="416"/>
      <c r="I50" s="390"/>
      <c r="J50" s="392"/>
      <c r="K50" s="392">
        <v>1192453</v>
      </c>
      <c r="L50" s="385"/>
      <c r="M50" s="385"/>
      <c r="N50" s="417">
        <f>SUM(I50:M50)</f>
        <v>1192453</v>
      </c>
    </row>
    <row r="51" spans="1:14" ht="13.5" thickBot="1">
      <c r="A51" s="418" t="s">
        <v>129</v>
      </c>
      <c r="B51" s="419">
        <f aca="true" t="shared" si="6" ref="B51:N51">B49-B50</f>
        <v>2286059</v>
      </c>
      <c r="C51" s="420">
        <f t="shared" si="6"/>
        <v>135310</v>
      </c>
      <c r="D51" s="420">
        <f t="shared" si="6"/>
        <v>0</v>
      </c>
      <c r="E51" s="420">
        <f t="shared" si="6"/>
        <v>100000</v>
      </c>
      <c r="F51" s="420">
        <f t="shared" si="6"/>
        <v>257029</v>
      </c>
      <c r="G51" s="420">
        <f t="shared" si="6"/>
        <v>2778398</v>
      </c>
      <c r="H51" s="421" t="e">
        <f t="shared" si="6"/>
        <v>#REF!</v>
      </c>
      <c r="I51" s="419">
        <f t="shared" si="6"/>
        <v>1256056</v>
      </c>
      <c r="J51" s="420">
        <f t="shared" si="6"/>
        <v>105150</v>
      </c>
      <c r="K51" s="420">
        <f t="shared" si="6"/>
        <v>0</v>
      </c>
      <c r="L51" s="420">
        <f t="shared" si="6"/>
        <v>103545</v>
      </c>
      <c r="M51" s="420">
        <f t="shared" si="6"/>
        <v>121194</v>
      </c>
      <c r="N51" s="422">
        <f t="shared" si="6"/>
        <v>1585945</v>
      </c>
    </row>
    <row r="52" spans="1:14" ht="12.75">
      <c r="A52" s="423"/>
      <c r="B52" s="424"/>
      <c r="C52" s="424"/>
      <c r="D52" s="424"/>
      <c r="E52" s="424"/>
      <c r="F52" s="424"/>
      <c r="G52" s="403"/>
      <c r="H52" s="403"/>
      <c r="I52" s="425"/>
      <c r="J52" s="424"/>
      <c r="K52" s="426"/>
      <c r="L52" s="425"/>
      <c r="M52" s="425"/>
      <c r="N52" s="402"/>
    </row>
    <row r="53" spans="1:14" ht="12.75">
      <c r="A53" s="423"/>
      <c r="B53" s="424"/>
      <c r="C53" s="424"/>
      <c r="D53" s="424"/>
      <c r="E53" s="424"/>
      <c r="F53" s="424"/>
      <c r="G53" s="403"/>
      <c r="H53" s="403"/>
      <c r="I53" s="424"/>
      <c r="J53" s="424"/>
      <c r="K53" s="426"/>
      <c r="L53" s="425"/>
      <c r="M53" s="425"/>
      <c r="N53" s="402"/>
    </row>
    <row r="54" spans="1:14" ht="12.75">
      <c r="A54" s="423"/>
      <c r="B54" s="424"/>
      <c r="C54" s="424"/>
      <c r="D54" s="424"/>
      <c r="E54" s="424"/>
      <c r="F54" s="424"/>
      <c r="G54" s="403"/>
      <c r="H54" s="403"/>
      <c r="I54" s="427"/>
      <c r="J54" s="424"/>
      <c r="K54" s="402"/>
      <c r="L54" s="424"/>
      <c r="M54" s="424"/>
      <c r="N54" s="402"/>
    </row>
    <row r="55" spans="1:14" ht="12.75">
      <c r="A55" s="423"/>
      <c r="B55" s="424"/>
      <c r="C55" s="424"/>
      <c r="D55" s="424"/>
      <c r="E55" s="424"/>
      <c r="F55" s="424"/>
      <c r="G55" s="403"/>
      <c r="H55" s="403"/>
      <c r="I55" s="424"/>
      <c r="J55" s="424"/>
      <c r="K55" s="402"/>
      <c r="L55" s="424"/>
      <c r="M55" s="424"/>
      <c r="N55" s="402"/>
    </row>
    <row r="56" spans="1:14" ht="12.75">
      <c r="A56" s="423"/>
      <c r="B56" s="424"/>
      <c r="C56" s="424"/>
      <c r="D56" s="424"/>
      <c r="E56" s="424"/>
      <c r="F56" s="424"/>
      <c r="G56" s="403"/>
      <c r="H56" s="403"/>
      <c r="I56" s="424"/>
      <c r="J56" s="424"/>
      <c r="K56" s="402"/>
      <c r="L56" s="424"/>
      <c r="M56" s="424"/>
      <c r="N56" s="402"/>
    </row>
    <row r="57" spans="1:14" ht="12.75">
      <c r="A57" s="423"/>
      <c r="B57" s="424"/>
      <c r="C57" s="424"/>
      <c r="D57" s="424"/>
      <c r="E57" s="424"/>
      <c r="F57" s="424"/>
      <c r="G57" s="403"/>
      <c r="H57" s="403"/>
      <c r="I57" s="424"/>
      <c r="J57" s="424"/>
      <c r="K57" s="402"/>
      <c r="L57" s="424"/>
      <c r="M57" s="424"/>
      <c r="N57" s="402"/>
    </row>
    <row r="58" spans="1:14" ht="12.75">
      <c r="A58" s="423"/>
      <c r="B58" s="424"/>
      <c r="C58" s="424"/>
      <c r="D58" s="424"/>
      <c r="E58" s="424"/>
      <c r="F58" s="424"/>
      <c r="G58" s="403"/>
      <c r="H58" s="403"/>
      <c r="I58" s="424"/>
      <c r="J58" s="424"/>
      <c r="K58" s="402"/>
      <c r="L58" s="424"/>
      <c r="M58" s="424"/>
      <c r="N58" s="402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&amp;R28. melléklet a 5/2017.(II.20.) önkormányzati rendelethez TÁJÉKOZTATÓ TÁBLA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26">
    <tabColor rgb="FF92D050"/>
  </sheetPr>
  <dimension ref="A1:I159"/>
  <sheetViews>
    <sheetView zoomScaleSheetLayoutView="100" workbookViewId="0" topLeftCell="A1">
      <selection activeCell="C96" sqref="C96"/>
    </sheetView>
  </sheetViews>
  <sheetFormatPr defaultColWidth="9.00390625" defaultRowHeight="12.75"/>
  <cols>
    <col min="1" max="1" width="9.50390625" style="201" customWidth="1"/>
    <col min="2" max="2" width="91.625" style="201" customWidth="1"/>
    <col min="3" max="3" width="21.625" style="202" customWidth="1"/>
    <col min="4" max="4" width="9.00390625" style="215" customWidth="1"/>
    <col min="5" max="16384" width="9.375" style="215" customWidth="1"/>
  </cols>
  <sheetData>
    <row r="1" spans="1:3" ht="15.75" customHeight="1">
      <c r="A1" s="558" t="s">
        <v>80</v>
      </c>
      <c r="B1" s="558"/>
      <c r="C1" s="558"/>
    </row>
    <row r="2" spans="1:3" ht="15.75" customHeight="1" thickBot="1">
      <c r="A2" s="561"/>
      <c r="B2" s="561"/>
      <c r="C2" s="143" t="s">
        <v>222</v>
      </c>
    </row>
    <row r="3" spans="1:3" ht="37.5" customHeight="1" thickBot="1">
      <c r="A3" s="22" t="s">
        <v>130</v>
      </c>
      <c r="B3" s="23" t="s">
        <v>82</v>
      </c>
      <c r="C3" s="30" t="s">
        <v>38</v>
      </c>
    </row>
    <row r="4" spans="1:3" s="216" customFormat="1" ht="12" customHeight="1" thickBot="1">
      <c r="A4" s="210" t="s">
        <v>504</v>
      </c>
      <c r="B4" s="211" t="s">
        <v>505</v>
      </c>
      <c r="C4" s="212" t="s">
        <v>506</v>
      </c>
    </row>
    <row r="5" spans="1:3" s="217" customFormat="1" ht="12" customHeight="1" thickBot="1">
      <c r="A5" s="19" t="s">
        <v>83</v>
      </c>
      <c r="B5" s="20" t="s">
        <v>235</v>
      </c>
      <c r="C5" s="134">
        <f>+C6+C7+C8+C9+C10+C11</f>
        <v>-2606</v>
      </c>
    </row>
    <row r="6" spans="1:3" s="217" customFormat="1" ht="12" customHeight="1">
      <c r="A6" s="14" t="s">
        <v>154</v>
      </c>
      <c r="B6" s="218" t="s">
        <v>236</v>
      </c>
      <c r="C6" s="136"/>
    </row>
    <row r="7" spans="1:3" s="217" customFormat="1" ht="12" customHeight="1">
      <c r="A7" s="13" t="s">
        <v>155</v>
      </c>
      <c r="B7" s="219" t="s">
        <v>237</v>
      </c>
      <c r="C7" s="135"/>
    </row>
    <row r="8" spans="1:3" s="217" customFormat="1" ht="12" customHeight="1">
      <c r="A8" s="13" t="s">
        <v>156</v>
      </c>
      <c r="B8" s="219" t="s">
        <v>47</v>
      </c>
      <c r="C8" s="510">
        <f>-2606</f>
        <v>-2606</v>
      </c>
    </row>
    <row r="9" spans="1:3" s="217" customFormat="1" ht="12" customHeight="1">
      <c r="A9" s="13" t="s">
        <v>157</v>
      </c>
      <c r="B9" s="219" t="s">
        <v>239</v>
      </c>
      <c r="C9" s="135"/>
    </row>
    <row r="10" spans="1:3" s="217" customFormat="1" ht="12" customHeight="1">
      <c r="A10" s="13" t="s">
        <v>178</v>
      </c>
      <c r="B10" s="130" t="s">
        <v>507</v>
      </c>
      <c r="C10" s="138"/>
    </row>
    <row r="11" spans="1:3" s="217" customFormat="1" ht="12" customHeight="1" thickBot="1">
      <c r="A11" s="15" t="s">
        <v>158</v>
      </c>
      <c r="B11" s="131" t="s">
        <v>508</v>
      </c>
      <c r="C11" s="135"/>
    </row>
    <row r="12" spans="1:3" s="217" customFormat="1" ht="12" customHeight="1" thickBot="1">
      <c r="A12" s="19" t="s">
        <v>84</v>
      </c>
      <c r="B12" s="129" t="s">
        <v>240</v>
      </c>
      <c r="C12" s="134">
        <f>+C13+C14+C15+C16+C17</f>
        <v>142142</v>
      </c>
    </row>
    <row r="13" spans="1:3" s="217" customFormat="1" ht="12" customHeight="1">
      <c r="A13" s="14" t="s">
        <v>160</v>
      </c>
      <c r="B13" s="218" t="s">
        <v>241</v>
      </c>
      <c r="C13" s="136"/>
    </row>
    <row r="14" spans="1:3" s="217" customFormat="1" ht="12" customHeight="1">
      <c r="A14" s="13" t="s">
        <v>161</v>
      </c>
      <c r="B14" s="219" t="s">
        <v>242</v>
      </c>
      <c r="C14" s="135"/>
    </row>
    <row r="15" spans="1:3" s="217" customFormat="1" ht="12" customHeight="1">
      <c r="A15" s="13" t="s">
        <v>162</v>
      </c>
      <c r="B15" s="219" t="s">
        <v>398</v>
      </c>
      <c r="C15" s="138"/>
    </row>
    <row r="16" spans="1:3" s="217" customFormat="1" ht="12" customHeight="1">
      <c r="A16" s="13" t="s">
        <v>163</v>
      </c>
      <c r="B16" s="219" t="s">
        <v>399</v>
      </c>
      <c r="C16" s="138"/>
    </row>
    <row r="17" spans="1:3" s="217" customFormat="1" ht="12" customHeight="1">
      <c r="A17" s="13" t="s">
        <v>164</v>
      </c>
      <c r="B17" s="219" t="s">
        <v>243</v>
      </c>
      <c r="C17" s="138">
        <v>142142</v>
      </c>
    </row>
    <row r="18" spans="1:3" s="217" customFormat="1" ht="12" customHeight="1" thickBot="1">
      <c r="A18" s="15" t="s">
        <v>173</v>
      </c>
      <c r="B18" s="131" t="s">
        <v>244</v>
      </c>
      <c r="C18" s="207"/>
    </row>
    <row r="19" spans="1:3" s="217" customFormat="1" ht="12" customHeight="1" thickBot="1">
      <c r="A19" s="19" t="s">
        <v>85</v>
      </c>
      <c r="B19" s="20" t="s">
        <v>245</v>
      </c>
      <c r="C19" s="134">
        <f>+C20+C21+C22+C23+C24</f>
        <v>20581</v>
      </c>
    </row>
    <row r="20" spans="1:3" s="217" customFormat="1" ht="12" customHeight="1">
      <c r="A20" s="14" t="s">
        <v>143</v>
      </c>
      <c r="B20" s="218" t="s">
        <v>246</v>
      </c>
      <c r="C20" s="535">
        <v>20000</v>
      </c>
    </row>
    <row r="21" spans="1:3" s="217" customFormat="1" ht="12" customHeight="1">
      <c r="A21" s="13" t="s">
        <v>144</v>
      </c>
      <c r="B21" s="219" t="s">
        <v>247</v>
      </c>
      <c r="C21" s="135"/>
    </row>
    <row r="22" spans="1:3" s="217" customFormat="1" ht="12" customHeight="1">
      <c r="A22" s="13" t="s">
        <v>145</v>
      </c>
      <c r="B22" s="219" t="s">
        <v>400</v>
      </c>
      <c r="C22" s="135"/>
    </row>
    <row r="23" spans="1:3" s="217" customFormat="1" ht="12" customHeight="1">
      <c r="A23" s="13" t="s">
        <v>146</v>
      </c>
      <c r="B23" s="219" t="s">
        <v>401</v>
      </c>
      <c r="C23" s="135"/>
    </row>
    <row r="24" spans="1:3" s="217" customFormat="1" ht="12" customHeight="1">
      <c r="A24" s="13" t="s">
        <v>189</v>
      </c>
      <c r="B24" s="219" t="s">
        <v>248</v>
      </c>
      <c r="C24" s="138">
        <v>581</v>
      </c>
    </row>
    <row r="25" spans="1:3" s="217" customFormat="1" ht="12" customHeight="1" thickBot="1">
      <c r="A25" s="15" t="s">
        <v>190</v>
      </c>
      <c r="B25" s="220" t="s">
        <v>249</v>
      </c>
      <c r="C25" s="207"/>
    </row>
    <row r="26" spans="1:3" s="217" customFormat="1" ht="12" customHeight="1" thickBot="1">
      <c r="A26" s="19" t="s">
        <v>191</v>
      </c>
      <c r="B26" s="20" t="s">
        <v>250</v>
      </c>
      <c r="C26" s="139">
        <f>+C27+C31+C32+C33</f>
        <v>0</v>
      </c>
    </row>
    <row r="27" spans="1:3" s="217" customFormat="1" ht="12" customHeight="1">
      <c r="A27" s="14" t="s">
        <v>251</v>
      </c>
      <c r="B27" s="218" t="s">
        <v>509</v>
      </c>
      <c r="C27" s="213">
        <f>+C28+C29+C30</f>
        <v>0</v>
      </c>
    </row>
    <row r="28" spans="1:3" s="217" customFormat="1" ht="12" customHeight="1">
      <c r="A28" s="13" t="s">
        <v>252</v>
      </c>
      <c r="B28" s="219" t="s">
        <v>257</v>
      </c>
      <c r="C28" s="135"/>
    </row>
    <row r="29" spans="1:3" s="217" customFormat="1" ht="12" customHeight="1">
      <c r="A29" s="13" t="s">
        <v>253</v>
      </c>
      <c r="B29" s="219" t="s">
        <v>258</v>
      </c>
      <c r="C29" s="135"/>
    </row>
    <row r="30" spans="1:3" s="217" customFormat="1" ht="12" customHeight="1">
      <c r="A30" s="13" t="s">
        <v>510</v>
      </c>
      <c r="B30" s="437" t="s">
        <v>511</v>
      </c>
      <c r="C30" s="135"/>
    </row>
    <row r="31" spans="1:3" s="217" customFormat="1" ht="12" customHeight="1">
      <c r="A31" s="13" t="s">
        <v>254</v>
      </c>
      <c r="B31" s="219" t="s">
        <v>259</v>
      </c>
      <c r="C31" s="135"/>
    </row>
    <row r="32" spans="1:3" s="217" customFormat="1" ht="12" customHeight="1">
      <c r="A32" s="13" t="s">
        <v>255</v>
      </c>
      <c r="B32" s="219" t="s">
        <v>260</v>
      </c>
      <c r="C32" s="135"/>
    </row>
    <row r="33" spans="1:3" s="217" customFormat="1" ht="12" customHeight="1" thickBot="1">
      <c r="A33" s="15" t="s">
        <v>256</v>
      </c>
      <c r="B33" s="220" t="s">
        <v>261</v>
      </c>
      <c r="C33" s="137"/>
    </row>
    <row r="34" spans="1:3" s="217" customFormat="1" ht="12" customHeight="1" thickBot="1">
      <c r="A34" s="19" t="s">
        <v>87</v>
      </c>
      <c r="B34" s="20" t="s">
        <v>512</v>
      </c>
      <c r="C34" s="134">
        <f>SUM(C35:C45)</f>
        <v>222273</v>
      </c>
    </row>
    <row r="35" spans="1:3" s="217" customFormat="1" ht="12" customHeight="1">
      <c r="A35" s="14" t="s">
        <v>147</v>
      </c>
      <c r="B35" s="218" t="s">
        <v>264</v>
      </c>
      <c r="C35" s="136">
        <v>8000</v>
      </c>
    </row>
    <row r="36" spans="1:3" s="217" customFormat="1" ht="12" customHeight="1">
      <c r="A36" s="13" t="s">
        <v>148</v>
      </c>
      <c r="B36" s="219" t="s">
        <v>265</v>
      </c>
      <c r="C36" s="138">
        <v>38618</v>
      </c>
    </row>
    <row r="37" spans="1:3" s="217" customFormat="1" ht="12" customHeight="1">
      <c r="A37" s="13" t="s">
        <v>149</v>
      </c>
      <c r="B37" s="219" t="s">
        <v>266</v>
      </c>
      <c r="C37" s="138">
        <v>10580</v>
      </c>
    </row>
    <row r="38" spans="1:3" s="217" customFormat="1" ht="12" customHeight="1">
      <c r="A38" s="13" t="s">
        <v>193</v>
      </c>
      <c r="B38" s="219" t="s">
        <v>267</v>
      </c>
      <c r="C38" s="138"/>
    </row>
    <row r="39" spans="1:3" s="217" customFormat="1" ht="12" customHeight="1">
      <c r="A39" s="13" t="s">
        <v>194</v>
      </c>
      <c r="B39" s="219" t="s">
        <v>268</v>
      </c>
      <c r="C39" s="138">
        <v>157514</v>
      </c>
    </row>
    <row r="40" spans="1:3" s="217" customFormat="1" ht="12" customHeight="1">
      <c r="A40" s="13" t="s">
        <v>195</v>
      </c>
      <c r="B40" s="219" t="s">
        <v>269</v>
      </c>
      <c r="C40" s="138">
        <v>7551</v>
      </c>
    </row>
    <row r="41" spans="1:3" s="217" customFormat="1" ht="12" customHeight="1">
      <c r="A41" s="13" t="s">
        <v>196</v>
      </c>
      <c r="B41" s="219" t="s">
        <v>270</v>
      </c>
      <c r="C41" s="138"/>
    </row>
    <row r="42" spans="1:3" s="217" customFormat="1" ht="12" customHeight="1">
      <c r="A42" s="13" t="s">
        <v>197</v>
      </c>
      <c r="B42" s="219" t="s">
        <v>44</v>
      </c>
      <c r="C42" s="138">
        <v>10</v>
      </c>
    </row>
    <row r="43" spans="1:3" s="217" customFormat="1" ht="12" customHeight="1">
      <c r="A43" s="13" t="s">
        <v>262</v>
      </c>
      <c r="B43" s="219" t="s">
        <v>272</v>
      </c>
      <c r="C43" s="138"/>
    </row>
    <row r="44" spans="1:3" s="217" customFormat="1" ht="12" customHeight="1">
      <c r="A44" s="15" t="s">
        <v>263</v>
      </c>
      <c r="B44" s="220" t="s">
        <v>513</v>
      </c>
      <c r="C44" s="207"/>
    </row>
    <row r="45" spans="1:3" s="217" customFormat="1" ht="12" customHeight="1" thickBot="1">
      <c r="A45" s="15" t="s">
        <v>514</v>
      </c>
      <c r="B45" s="131" t="s">
        <v>273</v>
      </c>
      <c r="C45" s="207"/>
    </row>
    <row r="46" spans="1:3" s="217" customFormat="1" ht="12" customHeight="1" thickBot="1">
      <c r="A46" s="19" t="s">
        <v>88</v>
      </c>
      <c r="B46" s="20" t="s">
        <v>274</v>
      </c>
      <c r="C46" s="134">
        <f>SUM(C47:C51)</f>
        <v>210</v>
      </c>
    </row>
    <row r="47" spans="1:3" s="217" customFormat="1" ht="12" customHeight="1">
      <c r="A47" s="14" t="s">
        <v>150</v>
      </c>
      <c r="B47" s="218" t="s">
        <v>278</v>
      </c>
      <c r="C47" s="258"/>
    </row>
    <row r="48" spans="1:3" s="217" customFormat="1" ht="12" customHeight="1">
      <c r="A48" s="13" t="s">
        <v>151</v>
      </c>
      <c r="B48" s="219" t="s">
        <v>279</v>
      </c>
      <c r="C48" s="138"/>
    </row>
    <row r="49" spans="1:3" s="217" customFormat="1" ht="12" customHeight="1">
      <c r="A49" s="13" t="s">
        <v>275</v>
      </c>
      <c r="B49" s="219" t="s">
        <v>280</v>
      </c>
      <c r="C49" s="138">
        <v>210</v>
      </c>
    </row>
    <row r="50" spans="1:3" s="217" customFormat="1" ht="12" customHeight="1">
      <c r="A50" s="13" t="s">
        <v>276</v>
      </c>
      <c r="B50" s="219" t="s">
        <v>281</v>
      </c>
      <c r="C50" s="138"/>
    </row>
    <row r="51" spans="1:3" s="217" customFormat="1" ht="12" customHeight="1" thickBot="1">
      <c r="A51" s="15" t="s">
        <v>277</v>
      </c>
      <c r="B51" s="131" t="s">
        <v>282</v>
      </c>
      <c r="C51" s="207"/>
    </row>
    <row r="52" spans="1:3" s="217" customFormat="1" ht="12" customHeight="1" thickBot="1">
      <c r="A52" s="19" t="s">
        <v>198</v>
      </c>
      <c r="B52" s="20" t="s">
        <v>283</v>
      </c>
      <c r="C52" s="134">
        <f>SUM(C53:C55)</f>
        <v>2366</v>
      </c>
    </row>
    <row r="53" spans="1:3" s="217" customFormat="1" ht="12" customHeight="1">
      <c r="A53" s="14" t="s">
        <v>152</v>
      </c>
      <c r="B53" s="218" t="s">
        <v>284</v>
      </c>
      <c r="C53" s="136"/>
    </row>
    <row r="54" spans="1:3" s="217" customFormat="1" ht="12" customHeight="1">
      <c r="A54" s="13" t="s">
        <v>153</v>
      </c>
      <c r="B54" s="219" t="s">
        <v>402</v>
      </c>
      <c r="C54" s="138">
        <v>2366</v>
      </c>
    </row>
    <row r="55" spans="1:3" s="217" customFormat="1" ht="12" customHeight="1">
      <c r="A55" s="13" t="s">
        <v>287</v>
      </c>
      <c r="B55" s="219" t="s">
        <v>285</v>
      </c>
      <c r="C55" s="138"/>
    </row>
    <row r="56" spans="1:3" s="217" customFormat="1" ht="12" customHeight="1" thickBot="1">
      <c r="A56" s="15" t="s">
        <v>288</v>
      </c>
      <c r="B56" s="131" t="s">
        <v>286</v>
      </c>
      <c r="C56" s="137"/>
    </row>
    <row r="57" spans="1:3" s="217" customFormat="1" ht="12" customHeight="1" thickBot="1">
      <c r="A57" s="19" t="s">
        <v>90</v>
      </c>
      <c r="B57" s="129" t="s">
        <v>289</v>
      </c>
      <c r="C57" s="134">
        <f>SUM(C58:C60)</f>
        <v>3428</v>
      </c>
    </row>
    <row r="58" spans="1:3" s="217" customFormat="1" ht="12" customHeight="1">
      <c r="A58" s="14" t="s">
        <v>199</v>
      </c>
      <c r="B58" s="218" t="s">
        <v>291</v>
      </c>
      <c r="C58" s="138"/>
    </row>
    <row r="59" spans="1:3" s="217" customFormat="1" ht="12" customHeight="1">
      <c r="A59" s="13" t="s">
        <v>200</v>
      </c>
      <c r="B59" s="219" t="s">
        <v>403</v>
      </c>
      <c r="C59" s="138"/>
    </row>
    <row r="60" spans="1:3" s="217" customFormat="1" ht="12" customHeight="1">
      <c r="A60" s="13" t="s">
        <v>223</v>
      </c>
      <c r="B60" s="219" t="s">
        <v>292</v>
      </c>
      <c r="C60" s="138">
        <v>3428</v>
      </c>
    </row>
    <row r="61" spans="1:3" s="217" customFormat="1" ht="12" customHeight="1" thickBot="1">
      <c r="A61" s="15" t="s">
        <v>290</v>
      </c>
      <c r="B61" s="131" t="s">
        <v>293</v>
      </c>
      <c r="C61" s="138"/>
    </row>
    <row r="62" spans="1:3" s="217" customFormat="1" ht="12" customHeight="1" thickBot="1">
      <c r="A62" s="438" t="s">
        <v>515</v>
      </c>
      <c r="B62" s="20" t="s">
        <v>294</v>
      </c>
      <c r="C62" s="139">
        <f>+C5+C12+C19+C26+C34+C46+C52+C57</f>
        <v>388394</v>
      </c>
    </row>
    <row r="63" spans="1:3" s="217" customFormat="1" ht="12" customHeight="1" thickBot="1">
      <c r="A63" s="439" t="s">
        <v>295</v>
      </c>
      <c r="B63" s="129" t="s">
        <v>296</v>
      </c>
      <c r="C63" s="477">
        <f>SUM(C64:C66)</f>
        <v>150000</v>
      </c>
    </row>
    <row r="64" spans="1:3" s="217" customFormat="1" ht="12" customHeight="1">
      <c r="A64" s="14" t="s">
        <v>327</v>
      </c>
      <c r="B64" s="218" t="s">
        <v>297</v>
      </c>
      <c r="C64" s="138">
        <v>50000</v>
      </c>
    </row>
    <row r="65" spans="1:3" s="217" customFormat="1" ht="12" customHeight="1">
      <c r="A65" s="13" t="s">
        <v>336</v>
      </c>
      <c r="B65" s="219" t="s">
        <v>298</v>
      </c>
      <c r="C65" s="138">
        <v>100000</v>
      </c>
    </row>
    <row r="66" spans="1:3" s="217" customFormat="1" ht="12" customHeight="1" thickBot="1">
      <c r="A66" s="15" t="s">
        <v>337</v>
      </c>
      <c r="B66" s="440" t="s">
        <v>516</v>
      </c>
      <c r="C66" s="138"/>
    </row>
    <row r="67" spans="1:3" s="217" customFormat="1" ht="12" customHeight="1" thickBot="1">
      <c r="A67" s="439" t="s">
        <v>300</v>
      </c>
      <c r="B67" s="129" t="s">
        <v>301</v>
      </c>
      <c r="C67" s="134">
        <f>SUM(C68:C71)</f>
        <v>0</v>
      </c>
    </row>
    <row r="68" spans="1:3" s="217" customFormat="1" ht="12" customHeight="1">
      <c r="A68" s="14" t="s">
        <v>179</v>
      </c>
      <c r="B68" s="218" t="s">
        <v>302</v>
      </c>
      <c r="C68" s="138"/>
    </row>
    <row r="69" spans="1:3" s="217" customFormat="1" ht="12" customHeight="1">
      <c r="A69" s="13" t="s">
        <v>180</v>
      </c>
      <c r="B69" s="219" t="s">
        <v>303</v>
      </c>
      <c r="C69" s="138"/>
    </row>
    <row r="70" spans="1:3" s="217" customFormat="1" ht="12" customHeight="1">
      <c r="A70" s="13" t="s">
        <v>328</v>
      </c>
      <c r="B70" s="219" t="s">
        <v>304</v>
      </c>
      <c r="C70" s="138"/>
    </row>
    <row r="71" spans="1:3" s="217" customFormat="1" ht="12" customHeight="1" thickBot="1">
      <c r="A71" s="15" t="s">
        <v>329</v>
      </c>
      <c r="B71" s="131" t="s">
        <v>305</v>
      </c>
      <c r="C71" s="138"/>
    </row>
    <row r="72" spans="1:3" s="217" customFormat="1" ht="12" customHeight="1" thickBot="1">
      <c r="A72" s="439" t="s">
        <v>306</v>
      </c>
      <c r="B72" s="129" t="s">
        <v>307</v>
      </c>
      <c r="C72" s="134">
        <f>SUM(C73:C74)</f>
        <v>0</v>
      </c>
    </row>
    <row r="73" spans="1:3" s="217" customFormat="1" ht="12" customHeight="1">
      <c r="A73" s="14" t="s">
        <v>330</v>
      </c>
      <c r="B73" s="218" t="s">
        <v>308</v>
      </c>
      <c r="C73" s="138"/>
    </row>
    <row r="74" spans="1:3" s="217" customFormat="1" ht="12" customHeight="1" thickBot="1">
      <c r="A74" s="15" t="s">
        <v>331</v>
      </c>
      <c r="B74" s="131" t="s">
        <v>309</v>
      </c>
      <c r="C74" s="138"/>
    </row>
    <row r="75" spans="1:3" s="217" customFormat="1" ht="12" customHeight="1" thickBot="1">
      <c r="A75" s="439" t="s">
        <v>310</v>
      </c>
      <c r="B75" s="129" t="s">
        <v>311</v>
      </c>
      <c r="C75" s="134">
        <f>SUM(C76:C78)</f>
        <v>0</v>
      </c>
    </row>
    <row r="76" spans="1:3" s="217" customFormat="1" ht="12" customHeight="1">
      <c r="A76" s="14" t="s">
        <v>332</v>
      </c>
      <c r="B76" s="218" t="s">
        <v>312</v>
      </c>
      <c r="C76" s="138"/>
    </row>
    <row r="77" spans="1:3" s="217" customFormat="1" ht="12" customHeight="1">
      <c r="A77" s="13" t="s">
        <v>333</v>
      </c>
      <c r="B77" s="219" t="s">
        <v>313</v>
      </c>
      <c r="C77" s="138"/>
    </row>
    <row r="78" spans="1:3" s="217" customFormat="1" ht="12" customHeight="1" thickBot="1">
      <c r="A78" s="15" t="s">
        <v>334</v>
      </c>
      <c r="B78" s="131" t="s">
        <v>314</v>
      </c>
      <c r="C78" s="138"/>
    </row>
    <row r="79" spans="1:3" s="217" customFormat="1" ht="12" customHeight="1" thickBot="1">
      <c r="A79" s="439" t="s">
        <v>315</v>
      </c>
      <c r="B79" s="129" t="s">
        <v>335</v>
      </c>
      <c r="C79" s="134">
        <f>SUM(C80:C83)</f>
        <v>0</v>
      </c>
    </row>
    <row r="80" spans="1:3" s="217" customFormat="1" ht="12" customHeight="1">
      <c r="A80" s="222" t="s">
        <v>316</v>
      </c>
      <c r="B80" s="218" t="s">
        <v>317</v>
      </c>
      <c r="C80" s="138"/>
    </row>
    <row r="81" spans="1:3" s="217" customFormat="1" ht="12" customHeight="1">
      <c r="A81" s="223" t="s">
        <v>318</v>
      </c>
      <c r="B81" s="219" t="s">
        <v>319</v>
      </c>
      <c r="C81" s="138"/>
    </row>
    <row r="82" spans="1:3" s="217" customFormat="1" ht="12" customHeight="1">
      <c r="A82" s="223" t="s">
        <v>320</v>
      </c>
      <c r="B82" s="219" t="s">
        <v>321</v>
      </c>
      <c r="C82" s="138"/>
    </row>
    <row r="83" spans="1:3" s="217" customFormat="1" ht="12" customHeight="1" thickBot="1">
      <c r="A83" s="224" t="s">
        <v>322</v>
      </c>
      <c r="B83" s="131" t="s">
        <v>323</v>
      </c>
      <c r="C83" s="138"/>
    </row>
    <row r="84" spans="1:3" s="217" customFormat="1" ht="12" customHeight="1" thickBot="1">
      <c r="A84" s="439" t="s">
        <v>324</v>
      </c>
      <c r="B84" s="129" t="s">
        <v>517</v>
      </c>
      <c r="C84" s="259"/>
    </row>
    <row r="85" spans="1:3" s="217" customFormat="1" ht="13.5" customHeight="1" thickBot="1">
      <c r="A85" s="439" t="s">
        <v>326</v>
      </c>
      <c r="B85" s="129" t="s">
        <v>325</v>
      </c>
      <c r="C85" s="259"/>
    </row>
    <row r="86" spans="1:3" s="217" customFormat="1" ht="15.75" customHeight="1" thickBot="1">
      <c r="A86" s="439" t="s">
        <v>338</v>
      </c>
      <c r="B86" s="225" t="s">
        <v>518</v>
      </c>
      <c r="C86" s="139">
        <f>+C63+C67+C72+C75+C79+C85+C84</f>
        <v>150000</v>
      </c>
    </row>
    <row r="87" spans="1:3" s="217" customFormat="1" ht="16.5" customHeight="1" thickBot="1">
      <c r="A87" s="441" t="s">
        <v>519</v>
      </c>
      <c r="B87" s="226" t="s">
        <v>520</v>
      </c>
      <c r="C87" s="139">
        <f>+C62+C86</f>
        <v>538394</v>
      </c>
    </row>
    <row r="88" spans="1:3" s="217" customFormat="1" ht="83.25" customHeight="1">
      <c r="A88" s="4"/>
      <c r="B88" s="5"/>
      <c r="C88" s="140"/>
    </row>
    <row r="89" spans="1:3" ht="16.5" customHeight="1">
      <c r="A89" s="558" t="s">
        <v>110</v>
      </c>
      <c r="B89" s="558"/>
      <c r="C89" s="558"/>
    </row>
    <row r="90" spans="1:3" s="227" customFormat="1" ht="16.5" customHeight="1" thickBot="1">
      <c r="A90" s="559" t="s">
        <v>182</v>
      </c>
      <c r="B90" s="559"/>
      <c r="C90" s="68" t="s">
        <v>222</v>
      </c>
    </row>
    <row r="91" spans="1:3" ht="37.5" customHeight="1" thickBot="1">
      <c r="A91" s="22" t="s">
        <v>130</v>
      </c>
      <c r="B91" s="23" t="s">
        <v>111</v>
      </c>
      <c r="C91" s="30" t="str">
        <f>+C3</f>
        <v>2016. évi előirányzat</v>
      </c>
    </row>
    <row r="92" spans="1:3" s="216" customFormat="1" ht="12" customHeight="1" thickBot="1">
      <c r="A92" s="26" t="s">
        <v>504</v>
      </c>
      <c r="B92" s="27" t="s">
        <v>505</v>
      </c>
      <c r="C92" s="28" t="s">
        <v>506</v>
      </c>
    </row>
    <row r="93" spans="1:3" ht="12" customHeight="1" thickBot="1">
      <c r="A93" s="21" t="s">
        <v>83</v>
      </c>
      <c r="B93" s="25" t="s">
        <v>558</v>
      </c>
      <c r="C93" s="133">
        <f>C94+C95+C96+C97+C98+C111</f>
        <v>588105</v>
      </c>
    </row>
    <row r="94" spans="1:3" ht="12" customHeight="1">
      <c r="A94" s="16" t="s">
        <v>154</v>
      </c>
      <c r="B94" s="9" t="s">
        <v>112</v>
      </c>
      <c r="C94" s="511">
        <f>258354+253+310</f>
        <v>258917</v>
      </c>
    </row>
    <row r="95" spans="1:3" ht="12" customHeight="1">
      <c r="A95" s="13" t="s">
        <v>155</v>
      </c>
      <c r="B95" s="7" t="s">
        <v>201</v>
      </c>
      <c r="C95" s="510">
        <f>71982+68</f>
        <v>72050</v>
      </c>
    </row>
    <row r="96" spans="1:3" ht="12" customHeight="1">
      <c r="A96" s="13" t="s">
        <v>156</v>
      </c>
      <c r="B96" s="7" t="s">
        <v>177</v>
      </c>
      <c r="C96" s="457">
        <f>231292+1015</f>
        <v>232307</v>
      </c>
    </row>
    <row r="97" spans="1:3" ht="12" customHeight="1">
      <c r="A97" s="13" t="s">
        <v>157</v>
      </c>
      <c r="B97" s="10" t="s">
        <v>202</v>
      </c>
      <c r="C97" s="207">
        <v>31</v>
      </c>
    </row>
    <row r="98" spans="1:3" ht="12" customHeight="1">
      <c r="A98" s="13" t="s">
        <v>168</v>
      </c>
      <c r="B98" s="18" t="s">
        <v>203</v>
      </c>
      <c r="C98" s="207">
        <v>24800</v>
      </c>
    </row>
    <row r="99" spans="1:3" ht="12" customHeight="1">
      <c r="A99" s="13" t="s">
        <v>158</v>
      </c>
      <c r="B99" s="7" t="s">
        <v>521</v>
      </c>
      <c r="C99" s="207"/>
    </row>
    <row r="100" spans="1:3" ht="12" customHeight="1">
      <c r="A100" s="13" t="s">
        <v>159</v>
      </c>
      <c r="B100" s="72" t="s">
        <v>522</v>
      </c>
      <c r="C100" s="207"/>
    </row>
    <row r="101" spans="1:3" ht="12" customHeight="1">
      <c r="A101" s="13" t="s">
        <v>169</v>
      </c>
      <c r="B101" s="72" t="s">
        <v>523</v>
      </c>
      <c r="C101" s="207"/>
    </row>
    <row r="102" spans="1:3" ht="12" customHeight="1">
      <c r="A102" s="13" t="s">
        <v>170</v>
      </c>
      <c r="B102" s="70" t="s">
        <v>341</v>
      </c>
      <c r="C102" s="207"/>
    </row>
    <row r="103" spans="1:3" ht="12" customHeight="1">
      <c r="A103" s="13" t="s">
        <v>171</v>
      </c>
      <c r="B103" s="71" t="s">
        <v>342</v>
      </c>
      <c r="C103" s="207"/>
    </row>
    <row r="104" spans="1:3" ht="12" customHeight="1">
      <c r="A104" s="13" t="s">
        <v>172</v>
      </c>
      <c r="B104" s="71" t="s">
        <v>343</v>
      </c>
      <c r="C104" s="207"/>
    </row>
    <row r="105" spans="1:3" ht="12" customHeight="1">
      <c r="A105" s="13" t="s">
        <v>174</v>
      </c>
      <c r="B105" s="70" t="s">
        <v>344</v>
      </c>
      <c r="C105" s="207">
        <v>9251</v>
      </c>
    </row>
    <row r="106" spans="1:3" ht="12" customHeight="1">
      <c r="A106" s="13" t="s">
        <v>204</v>
      </c>
      <c r="B106" s="70" t="s">
        <v>345</v>
      </c>
      <c r="C106" s="207"/>
    </row>
    <row r="107" spans="1:3" ht="12" customHeight="1">
      <c r="A107" s="13" t="s">
        <v>339</v>
      </c>
      <c r="B107" s="71" t="s">
        <v>346</v>
      </c>
      <c r="C107" s="207"/>
    </row>
    <row r="108" spans="1:3" ht="12" customHeight="1">
      <c r="A108" s="12" t="s">
        <v>340</v>
      </c>
      <c r="B108" s="72" t="s">
        <v>347</v>
      </c>
      <c r="C108" s="207"/>
    </row>
    <row r="109" spans="1:3" ht="12" customHeight="1">
      <c r="A109" s="13" t="s">
        <v>524</v>
      </c>
      <c r="B109" s="72" t="s">
        <v>348</v>
      </c>
      <c r="C109" s="207"/>
    </row>
    <row r="110" spans="1:3" ht="12" customHeight="1">
      <c r="A110" s="15" t="s">
        <v>525</v>
      </c>
      <c r="B110" s="72" t="s">
        <v>349</v>
      </c>
      <c r="C110" s="207">
        <v>15549</v>
      </c>
    </row>
    <row r="111" spans="1:3" ht="12" customHeight="1">
      <c r="A111" s="13" t="s">
        <v>526</v>
      </c>
      <c r="B111" s="10" t="s">
        <v>113</v>
      </c>
      <c r="C111" s="138"/>
    </row>
    <row r="112" spans="1:3" ht="12" customHeight="1">
      <c r="A112" s="13" t="s">
        <v>527</v>
      </c>
      <c r="B112" s="7" t="s">
        <v>528</v>
      </c>
      <c r="C112" s="135"/>
    </row>
    <row r="113" spans="1:3" ht="12" customHeight="1" thickBot="1">
      <c r="A113" s="17" t="s">
        <v>529</v>
      </c>
      <c r="B113" s="442" t="s">
        <v>530</v>
      </c>
      <c r="C113" s="141"/>
    </row>
    <row r="114" spans="1:3" ht="12" customHeight="1" thickBot="1">
      <c r="A114" s="443" t="s">
        <v>84</v>
      </c>
      <c r="B114" s="444" t="s">
        <v>350</v>
      </c>
      <c r="C114" s="445">
        <f>+C115+C117+C119</f>
        <v>12406</v>
      </c>
    </row>
    <row r="115" spans="1:3" ht="12" customHeight="1">
      <c r="A115" s="14" t="s">
        <v>160</v>
      </c>
      <c r="B115" s="7" t="s">
        <v>221</v>
      </c>
      <c r="C115" s="258">
        <v>10600</v>
      </c>
    </row>
    <row r="116" spans="1:3" ht="12" customHeight="1">
      <c r="A116" s="14" t="s">
        <v>161</v>
      </c>
      <c r="B116" s="11" t="s">
        <v>354</v>
      </c>
      <c r="C116" s="258"/>
    </row>
    <row r="117" spans="1:3" ht="12" customHeight="1">
      <c r="A117" s="14" t="s">
        <v>162</v>
      </c>
      <c r="B117" s="11" t="s">
        <v>205</v>
      </c>
      <c r="C117" s="138">
        <v>1806</v>
      </c>
    </row>
    <row r="118" spans="1:3" ht="12" customHeight="1">
      <c r="A118" s="14" t="s">
        <v>163</v>
      </c>
      <c r="B118" s="11" t="s">
        <v>355</v>
      </c>
      <c r="C118" s="459"/>
    </row>
    <row r="119" spans="1:3" ht="12" customHeight="1">
      <c r="A119" s="14" t="s">
        <v>164</v>
      </c>
      <c r="B119" s="131" t="s">
        <v>224</v>
      </c>
      <c r="C119" s="459"/>
    </row>
    <row r="120" spans="1:3" ht="12" customHeight="1">
      <c r="A120" s="14" t="s">
        <v>173</v>
      </c>
      <c r="B120" s="130" t="s">
        <v>404</v>
      </c>
      <c r="C120" s="121"/>
    </row>
    <row r="121" spans="1:3" ht="12" customHeight="1">
      <c r="A121" s="14" t="s">
        <v>175</v>
      </c>
      <c r="B121" s="214" t="s">
        <v>360</v>
      </c>
      <c r="C121" s="121"/>
    </row>
    <row r="122" spans="1:3" ht="15.75">
      <c r="A122" s="14" t="s">
        <v>206</v>
      </c>
      <c r="B122" s="71" t="s">
        <v>343</v>
      </c>
      <c r="C122" s="121"/>
    </row>
    <row r="123" spans="1:3" ht="12" customHeight="1">
      <c r="A123" s="14" t="s">
        <v>207</v>
      </c>
      <c r="B123" s="71" t="s">
        <v>359</v>
      </c>
      <c r="C123" s="121"/>
    </row>
    <row r="124" spans="1:3" ht="12" customHeight="1">
      <c r="A124" s="14" t="s">
        <v>208</v>
      </c>
      <c r="B124" s="71" t="s">
        <v>358</v>
      </c>
      <c r="C124" s="121"/>
    </row>
    <row r="125" spans="1:3" ht="12" customHeight="1">
      <c r="A125" s="14" t="s">
        <v>351</v>
      </c>
      <c r="B125" s="71" t="s">
        <v>346</v>
      </c>
      <c r="C125" s="121"/>
    </row>
    <row r="126" spans="1:3" ht="12" customHeight="1">
      <c r="A126" s="14" t="s">
        <v>352</v>
      </c>
      <c r="B126" s="71" t="s">
        <v>357</v>
      </c>
      <c r="C126" s="121"/>
    </row>
    <row r="127" spans="1:3" ht="16.5" thickBot="1">
      <c r="A127" s="12" t="s">
        <v>353</v>
      </c>
      <c r="B127" s="71" t="s">
        <v>356</v>
      </c>
      <c r="C127" s="487"/>
    </row>
    <row r="128" spans="1:3" ht="12" customHeight="1" thickBot="1">
      <c r="A128" s="19" t="s">
        <v>85</v>
      </c>
      <c r="B128" s="66" t="s">
        <v>531</v>
      </c>
      <c r="C128" s="134">
        <f>+C93+C114</f>
        <v>600511</v>
      </c>
    </row>
    <row r="129" spans="1:3" ht="12" customHeight="1" thickBot="1">
      <c r="A129" s="19" t="s">
        <v>86</v>
      </c>
      <c r="B129" s="66" t="s">
        <v>532</v>
      </c>
      <c r="C129" s="134">
        <f>+C130+C131+C132</f>
        <v>103545</v>
      </c>
    </row>
    <row r="130" spans="1:3" ht="12" customHeight="1">
      <c r="A130" s="14" t="s">
        <v>251</v>
      </c>
      <c r="B130" s="11" t="s">
        <v>533</v>
      </c>
      <c r="C130" s="459">
        <v>3545</v>
      </c>
    </row>
    <row r="131" spans="1:3" ht="12" customHeight="1">
      <c r="A131" s="14" t="s">
        <v>254</v>
      </c>
      <c r="B131" s="11" t="s">
        <v>534</v>
      </c>
      <c r="C131" s="121">
        <v>100000</v>
      </c>
    </row>
    <row r="132" spans="1:3" ht="12" customHeight="1" thickBot="1">
      <c r="A132" s="12" t="s">
        <v>255</v>
      </c>
      <c r="B132" s="11" t="s">
        <v>535</v>
      </c>
      <c r="C132" s="121"/>
    </row>
    <row r="133" spans="1:3" ht="12" customHeight="1" thickBot="1">
      <c r="A133" s="19" t="s">
        <v>87</v>
      </c>
      <c r="B133" s="66" t="s">
        <v>536</v>
      </c>
      <c r="C133" s="134">
        <f>SUM(C134:C139)</f>
        <v>0</v>
      </c>
    </row>
    <row r="134" spans="1:3" ht="12" customHeight="1">
      <c r="A134" s="14" t="s">
        <v>147</v>
      </c>
      <c r="B134" s="8" t="s">
        <v>537</v>
      </c>
      <c r="C134" s="121"/>
    </row>
    <row r="135" spans="1:3" ht="12" customHeight="1">
      <c r="A135" s="14" t="s">
        <v>148</v>
      </c>
      <c r="B135" s="8" t="s">
        <v>538</v>
      </c>
      <c r="C135" s="121"/>
    </row>
    <row r="136" spans="1:3" ht="12" customHeight="1">
      <c r="A136" s="14" t="s">
        <v>149</v>
      </c>
      <c r="B136" s="8" t="s">
        <v>539</v>
      </c>
      <c r="C136" s="121"/>
    </row>
    <row r="137" spans="1:3" ht="12" customHeight="1">
      <c r="A137" s="14" t="s">
        <v>193</v>
      </c>
      <c r="B137" s="8" t="s">
        <v>540</v>
      </c>
      <c r="C137" s="121"/>
    </row>
    <row r="138" spans="1:3" ht="12" customHeight="1">
      <c r="A138" s="14" t="s">
        <v>194</v>
      </c>
      <c r="B138" s="8" t="s">
        <v>541</v>
      </c>
      <c r="C138" s="121"/>
    </row>
    <row r="139" spans="1:3" ht="12" customHeight="1" thickBot="1">
      <c r="A139" s="12" t="s">
        <v>195</v>
      </c>
      <c r="B139" s="8" t="s">
        <v>542</v>
      </c>
      <c r="C139" s="121"/>
    </row>
    <row r="140" spans="1:3" ht="12" customHeight="1" thickBot="1">
      <c r="A140" s="19" t="s">
        <v>88</v>
      </c>
      <c r="B140" s="66" t="s">
        <v>543</v>
      </c>
      <c r="C140" s="139">
        <f>+C141+C142+C143+C144</f>
        <v>0</v>
      </c>
    </row>
    <row r="141" spans="1:3" ht="12" customHeight="1">
      <c r="A141" s="14" t="s">
        <v>150</v>
      </c>
      <c r="B141" s="8" t="s">
        <v>361</v>
      </c>
      <c r="C141" s="121"/>
    </row>
    <row r="142" spans="1:3" ht="12" customHeight="1">
      <c r="A142" s="14" t="s">
        <v>151</v>
      </c>
      <c r="B142" s="8" t="s">
        <v>362</v>
      </c>
      <c r="C142" s="121"/>
    </row>
    <row r="143" spans="1:3" ht="12" customHeight="1">
      <c r="A143" s="14" t="s">
        <v>275</v>
      </c>
      <c r="B143" s="8" t="s">
        <v>544</v>
      </c>
      <c r="C143" s="121"/>
    </row>
    <row r="144" spans="1:3" ht="12" customHeight="1" thickBot="1">
      <c r="A144" s="12" t="s">
        <v>276</v>
      </c>
      <c r="B144" s="6" t="s">
        <v>372</v>
      </c>
      <c r="C144" s="121"/>
    </row>
    <row r="145" spans="1:3" ht="12" customHeight="1" thickBot="1">
      <c r="A145" s="19" t="s">
        <v>89</v>
      </c>
      <c r="B145" s="66" t="s">
        <v>545</v>
      </c>
      <c r="C145" s="142">
        <f>SUM(C146:C150)</f>
        <v>0</v>
      </c>
    </row>
    <row r="146" spans="1:3" ht="12" customHeight="1">
      <c r="A146" s="14" t="s">
        <v>152</v>
      </c>
      <c r="B146" s="8" t="s">
        <v>546</v>
      </c>
      <c r="C146" s="121"/>
    </row>
    <row r="147" spans="1:3" ht="12" customHeight="1">
      <c r="A147" s="14" t="s">
        <v>153</v>
      </c>
      <c r="B147" s="8" t="s">
        <v>547</v>
      </c>
      <c r="C147" s="121"/>
    </row>
    <row r="148" spans="1:3" ht="12" customHeight="1">
      <c r="A148" s="14" t="s">
        <v>287</v>
      </c>
      <c r="B148" s="8" t="s">
        <v>548</v>
      </c>
      <c r="C148" s="121"/>
    </row>
    <row r="149" spans="1:3" ht="12" customHeight="1">
      <c r="A149" s="14" t="s">
        <v>288</v>
      </c>
      <c r="B149" s="8" t="s">
        <v>549</v>
      </c>
      <c r="C149" s="121"/>
    </row>
    <row r="150" spans="1:3" ht="12" customHeight="1" thickBot="1">
      <c r="A150" s="14" t="s">
        <v>550</v>
      </c>
      <c r="B150" s="8" t="s">
        <v>551</v>
      </c>
      <c r="C150" s="121"/>
    </row>
    <row r="151" spans="1:3" ht="12" customHeight="1" thickBot="1">
      <c r="A151" s="19" t="s">
        <v>90</v>
      </c>
      <c r="B151" s="66" t="s">
        <v>552</v>
      </c>
      <c r="C151" s="446"/>
    </row>
    <row r="152" spans="1:3" ht="12" customHeight="1" thickBot="1">
      <c r="A152" s="19" t="s">
        <v>91</v>
      </c>
      <c r="B152" s="66" t="s">
        <v>553</v>
      </c>
      <c r="C152" s="446"/>
    </row>
    <row r="153" spans="1:9" ht="15" customHeight="1" thickBot="1">
      <c r="A153" s="19" t="s">
        <v>92</v>
      </c>
      <c r="B153" s="66" t="s">
        <v>554</v>
      </c>
      <c r="C153" s="228">
        <f>+C129+C133+C140+C145+C151+C152</f>
        <v>103545</v>
      </c>
      <c r="F153" s="229"/>
      <c r="G153" s="230"/>
      <c r="H153" s="230"/>
      <c r="I153" s="230"/>
    </row>
    <row r="154" spans="1:3" s="217" customFormat="1" ht="12.75" customHeight="1" thickBot="1">
      <c r="A154" s="132" t="s">
        <v>93</v>
      </c>
      <c r="B154" s="200" t="s">
        <v>555</v>
      </c>
      <c r="C154" s="228">
        <f>+C128+C153</f>
        <v>704056</v>
      </c>
    </row>
    <row r="155" ht="7.5" customHeight="1"/>
    <row r="156" spans="1:3" ht="15.75">
      <c r="A156" s="560" t="s">
        <v>363</v>
      </c>
      <c r="B156" s="560"/>
      <c r="C156" s="560"/>
    </row>
    <row r="157" spans="1:3" ht="15" customHeight="1" thickBot="1">
      <c r="A157" s="557" t="s">
        <v>183</v>
      </c>
      <c r="B157" s="557"/>
      <c r="C157" s="143" t="s">
        <v>222</v>
      </c>
    </row>
    <row r="158" spans="1:4" ht="13.5" customHeight="1" thickBot="1">
      <c r="A158" s="19">
        <v>1</v>
      </c>
      <c r="B158" s="24" t="s">
        <v>556</v>
      </c>
      <c r="C158" s="134">
        <f>+C62-C128</f>
        <v>-212117</v>
      </c>
      <c r="D158" s="231"/>
    </row>
    <row r="159" spans="1:3" ht="27.75" customHeight="1" thickBot="1">
      <c r="A159" s="19" t="s">
        <v>84</v>
      </c>
      <c r="B159" s="24" t="s">
        <v>557</v>
      </c>
      <c r="C159" s="134">
        <f>+C86-C153</f>
        <v>46455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5/2017.(II.20.)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I159"/>
  <sheetViews>
    <sheetView zoomScaleSheetLayoutView="100" workbookViewId="0" topLeftCell="A52">
      <selection activeCell="C74" sqref="C74"/>
    </sheetView>
  </sheetViews>
  <sheetFormatPr defaultColWidth="9.00390625" defaultRowHeight="12.75"/>
  <cols>
    <col min="1" max="1" width="9.50390625" style="201" customWidth="1"/>
    <col min="2" max="2" width="91.625" style="201" customWidth="1"/>
    <col min="3" max="3" width="21.625" style="202" customWidth="1"/>
    <col min="4" max="4" width="9.00390625" style="215" customWidth="1"/>
    <col min="5" max="16384" width="9.375" style="215" customWidth="1"/>
  </cols>
  <sheetData>
    <row r="1" spans="1:3" ht="15.75" customHeight="1">
      <c r="A1" s="558" t="s">
        <v>80</v>
      </c>
      <c r="B1" s="558"/>
      <c r="C1" s="558"/>
    </row>
    <row r="2" spans="1:3" ht="15.75" customHeight="1" thickBot="1">
      <c r="A2" s="557" t="s">
        <v>181</v>
      </c>
      <c r="B2" s="557"/>
      <c r="C2" s="143" t="s">
        <v>222</v>
      </c>
    </row>
    <row r="3" spans="1:3" ht="37.5" customHeight="1" thickBot="1">
      <c r="A3" s="22" t="s">
        <v>130</v>
      </c>
      <c r="B3" s="23" t="s">
        <v>82</v>
      </c>
      <c r="C3" s="30" t="s">
        <v>38</v>
      </c>
    </row>
    <row r="4" spans="1:3" s="216" customFormat="1" ht="12" customHeight="1" thickBot="1">
      <c r="A4" s="210" t="s">
        <v>504</v>
      </c>
      <c r="B4" s="211" t="s">
        <v>505</v>
      </c>
      <c r="C4" s="212" t="s">
        <v>506</v>
      </c>
    </row>
    <row r="5" spans="1:3" s="217" customFormat="1" ht="12" customHeight="1" thickBot="1">
      <c r="A5" s="19" t="s">
        <v>83</v>
      </c>
      <c r="B5" s="20" t="s">
        <v>235</v>
      </c>
      <c r="C5" s="134">
        <f>+C6+C7+C8+C9+C10+C11</f>
        <v>0</v>
      </c>
    </row>
    <row r="6" spans="1:3" s="217" customFormat="1" ht="12" customHeight="1">
      <c r="A6" s="14" t="s">
        <v>154</v>
      </c>
      <c r="B6" s="218" t="s">
        <v>236</v>
      </c>
      <c r="C6" s="136"/>
    </row>
    <row r="7" spans="1:3" s="217" customFormat="1" ht="12" customHeight="1">
      <c r="A7" s="13" t="s">
        <v>155</v>
      </c>
      <c r="B7" s="219" t="s">
        <v>237</v>
      </c>
      <c r="C7" s="135"/>
    </row>
    <row r="8" spans="1:3" s="217" customFormat="1" ht="12" customHeight="1">
      <c r="A8" s="13" t="s">
        <v>156</v>
      </c>
      <c r="B8" s="219" t="s">
        <v>47</v>
      </c>
      <c r="C8" s="135"/>
    </row>
    <row r="9" spans="1:3" s="217" customFormat="1" ht="12" customHeight="1">
      <c r="A9" s="13" t="s">
        <v>157</v>
      </c>
      <c r="B9" s="219" t="s">
        <v>239</v>
      </c>
      <c r="C9" s="135"/>
    </row>
    <row r="10" spans="1:3" s="217" customFormat="1" ht="12" customHeight="1">
      <c r="A10" s="13" t="s">
        <v>178</v>
      </c>
      <c r="B10" s="130" t="s">
        <v>507</v>
      </c>
      <c r="C10" s="135"/>
    </row>
    <row r="11" spans="1:3" s="217" customFormat="1" ht="12" customHeight="1" thickBot="1">
      <c r="A11" s="15" t="s">
        <v>158</v>
      </c>
      <c r="B11" s="131" t="s">
        <v>508</v>
      </c>
      <c r="C11" s="135"/>
    </row>
    <row r="12" spans="1:3" s="217" customFormat="1" ht="12" customHeight="1" thickBot="1">
      <c r="A12" s="19" t="s">
        <v>84</v>
      </c>
      <c r="B12" s="129" t="s">
        <v>240</v>
      </c>
      <c r="C12" s="134">
        <f>+C13+C14+C15+C16+C17</f>
        <v>0</v>
      </c>
    </row>
    <row r="13" spans="1:3" s="217" customFormat="1" ht="12" customHeight="1">
      <c r="A13" s="14" t="s">
        <v>160</v>
      </c>
      <c r="B13" s="218" t="s">
        <v>241</v>
      </c>
      <c r="C13" s="136"/>
    </row>
    <row r="14" spans="1:3" s="217" customFormat="1" ht="12" customHeight="1">
      <c r="A14" s="13" t="s">
        <v>161</v>
      </c>
      <c r="B14" s="219" t="s">
        <v>242</v>
      </c>
      <c r="C14" s="135"/>
    </row>
    <row r="15" spans="1:3" s="217" customFormat="1" ht="12" customHeight="1">
      <c r="A15" s="13" t="s">
        <v>162</v>
      </c>
      <c r="B15" s="219" t="s">
        <v>398</v>
      </c>
      <c r="C15" s="135"/>
    </row>
    <row r="16" spans="1:3" s="217" customFormat="1" ht="12" customHeight="1">
      <c r="A16" s="13" t="s">
        <v>163</v>
      </c>
      <c r="B16" s="219" t="s">
        <v>399</v>
      </c>
      <c r="C16" s="135"/>
    </row>
    <row r="17" spans="1:3" s="217" customFormat="1" ht="12" customHeight="1">
      <c r="A17" s="13" t="s">
        <v>164</v>
      </c>
      <c r="B17" s="219" t="s">
        <v>243</v>
      </c>
      <c r="C17" s="135"/>
    </row>
    <row r="18" spans="1:3" s="217" customFormat="1" ht="12" customHeight="1" thickBot="1">
      <c r="A18" s="15" t="s">
        <v>173</v>
      </c>
      <c r="B18" s="131" t="s">
        <v>244</v>
      </c>
      <c r="C18" s="137"/>
    </row>
    <row r="19" spans="1:3" s="217" customFormat="1" ht="12" customHeight="1" thickBot="1">
      <c r="A19" s="19" t="s">
        <v>85</v>
      </c>
      <c r="B19" s="20" t="s">
        <v>245</v>
      </c>
      <c r="C19" s="134">
        <f>+C20+C21+C22+C23+C24</f>
        <v>0</v>
      </c>
    </row>
    <row r="20" spans="1:3" s="217" customFormat="1" ht="12" customHeight="1">
      <c r="A20" s="14" t="s">
        <v>143</v>
      </c>
      <c r="B20" s="218" t="s">
        <v>246</v>
      </c>
      <c r="C20" s="136"/>
    </row>
    <row r="21" spans="1:3" s="217" customFormat="1" ht="12" customHeight="1">
      <c r="A21" s="13" t="s">
        <v>144</v>
      </c>
      <c r="B21" s="219" t="s">
        <v>247</v>
      </c>
      <c r="C21" s="135"/>
    </row>
    <row r="22" spans="1:3" s="217" customFormat="1" ht="12" customHeight="1">
      <c r="A22" s="13" t="s">
        <v>145</v>
      </c>
      <c r="B22" s="219" t="s">
        <v>400</v>
      </c>
      <c r="C22" s="135"/>
    </row>
    <row r="23" spans="1:3" s="217" customFormat="1" ht="12" customHeight="1">
      <c r="A23" s="13" t="s">
        <v>146</v>
      </c>
      <c r="B23" s="219" t="s">
        <v>401</v>
      </c>
      <c r="C23" s="135"/>
    </row>
    <row r="24" spans="1:3" s="217" customFormat="1" ht="12" customHeight="1">
      <c r="A24" s="13" t="s">
        <v>189</v>
      </c>
      <c r="B24" s="219" t="s">
        <v>248</v>
      </c>
      <c r="C24" s="135"/>
    </row>
    <row r="25" spans="1:3" s="217" customFormat="1" ht="12" customHeight="1" thickBot="1">
      <c r="A25" s="15" t="s">
        <v>190</v>
      </c>
      <c r="B25" s="220" t="s">
        <v>249</v>
      </c>
      <c r="C25" s="137"/>
    </row>
    <row r="26" spans="1:3" s="217" customFormat="1" ht="12" customHeight="1" thickBot="1">
      <c r="A26" s="19" t="s">
        <v>191</v>
      </c>
      <c r="B26" s="20" t="s">
        <v>250</v>
      </c>
      <c r="C26" s="139">
        <f>+C27+C31+C32+C33</f>
        <v>0</v>
      </c>
    </row>
    <row r="27" spans="1:3" s="217" customFormat="1" ht="12" customHeight="1">
      <c r="A27" s="14" t="s">
        <v>251</v>
      </c>
      <c r="B27" s="218" t="s">
        <v>509</v>
      </c>
      <c r="C27" s="213">
        <f>+C28+C29+C30</f>
        <v>0</v>
      </c>
    </row>
    <row r="28" spans="1:3" s="217" customFormat="1" ht="12" customHeight="1">
      <c r="A28" s="13" t="s">
        <v>252</v>
      </c>
      <c r="B28" s="219" t="s">
        <v>257</v>
      </c>
      <c r="C28" s="135"/>
    </row>
    <row r="29" spans="1:3" s="217" customFormat="1" ht="12" customHeight="1">
      <c r="A29" s="13" t="s">
        <v>253</v>
      </c>
      <c r="B29" s="219" t="s">
        <v>258</v>
      </c>
      <c r="C29" s="135"/>
    </row>
    <row r="30" spans="1:3" s="217" customFormat="1" ht="12" customHeight="1">
      <c r="A30" s="13" t="s">
        <v>510</v>
      </c>
      <c r="B30" s="437" t="s">
        <v>511</v>
      </c>
      <c r="C30" s="135"/>
    </row>
    <row r="31" spans="1:3" s="217" customFormat="1" ht="12" customHeight="1">
      <c r="A31" s="13" t="s">
        <v>254</v>
      </c>
      <c r="B31" s="219" t="s">
        <v>259</v>
      </c>
      <c r="C31" s="135"/>
    </row>
    <row r="32" spans="1:3" s="217" customFormat="1" ht="12" customHeight="1">
      <c r="A32" s="13" t="s">
        <v>255</v>
      </c>
      <c r="B32" s="219" t="s">
        <v>260</v>
      </c>
      <c r="C32" s="135"/>
    </row>
    <row r="33" spans="1:3" s="217" customFormat="1" ht="12" customHeight="1" thickBot="1">
      <c r="A33" s="15" t="s">
        <v>256</v>
      </c>
      <c r="B33" s="220" t="s">
        <v>261</v>
      </c>
      <c r="C33" s="137"/>
    </row>
    <row r="34" spans="1:3" s="217" customFormat="1" ht="12" customHeight="1" thickBot="1">
      <c r="A34" s="19" t="s">
        <v>87</v>
      </c>
      <c r="B34" s="20" t="s">
        <v>512</v>
      </c>
      <c r="C34" s="134">
        <f>SUM(C35:C45)</f>
        <v>7985</v>
      </c>
    </row>
    <row r="35" spans="1:3" s="217" customFormat="1" ht="12" customHeight="1">
      <c r="A35" s="14" t="s">
        <v>147</v>
      </c>
      <c r="B35" s="218" t="s">
        <v>264</v>
      </c>
      <c r="C35" s="136"/>
    </row>
    <row r="36" spans="1:3" s="217" customFormat="1" ht="12" customHeight="1">
      <c r="A36" s="13" t="s">
        <v>148</v>
      </c>
      <c r="B36" s="219" t="s">
        <v>265</v>
      </c>
      <c r="C36" s="135">
        <v>5150</v>
      </c>
    </row>
    <row r="37" spans="1:3" s="217" customFormat="1" ht="12" customHeight="1">
      <c r="A37" s="13" t="s">
        <v>149</v>
      </c>
      <c r="B37" s="219" t="s">
        <v>266</v>
      </c>
      <c r="C37" s="135">
        <v>900</v>
      </c>
    </row>
    <row r="38" spans="1:3" s="217" customFormat="1" ht="12" customHeight="1">
      <c r="A38" s="13" t="s">
        <v>193</v>
      </c>
      <c r="B38" s="219" t="s">
        <v>267</v>
      </c>
      <c r="C38" s="135"/>
    </row>
    <row r="39" spans="1:3" s="217" customFormat="1" ht="12" customHeight="1">
      <c r="A39" s="13" t="s">
        <v>194</v>
      </c>
      <c r="B39" s="219" t="s">
        <v>268</v>
      </c>
      <c r="C39" s="135"/>
    </row>
    <row r="40" spans="1:3" s="217" customFormat="1" ht="12" customHeight="1">
      <c r="A40" s="13" t="s">
        <v>195</v>
      </c>
      <c r="B40" s="219" t="s">
        <v>269</v>
      </c>
      <c r="C40" s="135">
        <v>1634</v>
      </c>
    </row>
    <row r="41" spans="1:3" s="217" customFormat="1" ht="12" customHeight="1">
      <c r="A41" s="13" t="s">
        <v>196</v>
      </c>
      <c r="B41" s="219" t="s">
        <v>270</v>
      </c>
      <c r="C41" s="135"/>
    </row>
    <row r="42" spans="1:3" s="217" customFormat="1" ht="12" customHeight="1">
      <c r="A42" s="13" t="s">
        <v>197</v>
      </c>
      <c r="B42" s="219" t="s">
        <v>44</v>
      </c>
      <c r="C42" s="135">
        <v>1</v>
      </c>
    </row>
    <row r="43" spans="1:3" s="217" customFormat="1" ht="12" customHeight="1">
      <c r="A43" s="13" t="s">
        <v>262</v>
      </c>
      <c r="B43" s="219" t="s">
        <v>272</v>
      </c>
      <c r="C43" s="138"/>
    </row>
    <row r="44" spans="1:3" s="217" customFormat="1" ht="12" customHeight="1">
      <c r="A44" s="15" t="s">
        <v>263</v>
      </c>
      <c r="B44" s="220" t="s">
        <v>513</v>
      </c>
      <c r="C44" s="207"/>
    </row>
    <row r="45" spans="1:3" s="217" customFormat="1" ht="12" customHeight="1" thickBot="1">
      <c r="A45" s="15" t="s">
        <v>514</v>
      </c>
      <c r="B45" s="131" t="s">
        <v>273</v>
      </c>
      <c r="C45" s="207">
        <v>300</v>
      </c>
    </row>
    <row r="46" spans="1:3" s="217" customFormat="1" ht="12" customHeight="1" thickBot="1">
      <c r="A46" s="19" t="s">
        <v>88</v>
      </c>
      <c r="B46" s="20" t="s">
        <v>274</v>
      </c>
      <c r="C46" s="134">
        <f>SUM(C47:C51)</f>
        <v>0</v>
      </c>
    </row>
    <row r="47" spans="1:3" s="217" customFormat="1" ht="12" customHeight="1">
      <c r="A47" s="14" t="s">
        <v>150</v>
      </c>
      <c r="B47" s="218" t="s">
        <v>278</v>
      </c>
      <c r="C47" s="258"/>
    </row>
    <row r="48" spans="1:3" s="217" customFormat="1" ht="12" customHeight="1">
      <c r="A48" s="13" t="s">
        <v>151</v>
      </c>
      <c r="B48" s="219" t="s">
        <v>279</v>
      </c>
      <c r="C48" s="138"/>
    </row>
    <row r="49" spans="1:3" s="217" customFormat="1" ht="12" customHeight="1">
      <c r="A49" s="13" t="s">
        <v>275</v>
      </c>
      <c r="B49" s="219" t="s">
        <v>280</v>
      </c>
      <c r="C49" s="138"/>
    </row>
    <row r="50" spans="1:3" s="217" customFormat="1" ht="12" customHeight="1">
      <c r="A50" s="13" t="s">
        <v>276</v>
      </c>
      <c r="B50" s="219" t="s">
        <v>281</v>
      </c>
      <c r="C50" s="138"/>
    </row>
    <row r="51" spans="1:3" s="217" customFormat="1" ht="12" customHeight="1" thickBot="1">
      <c r="A51" s="15" t="s">
        <v>277</v>
      </c>
      <c r="B51" s="131" t="s">
        <v>282</v>
      </c>
      <c r="C51" s="207"/>
    </row>
    <row r="52" spans="1:3" s="217" customFormat="1" ht="12" customHeight="1" thickBot="1">
      <c r="A52" s="19" t="s">
        <v>198</v>
      </c>
      <c r="B52" s="20" t="s">
        <v>283</v>
      </c>
      <c r="C52" s="134">
        <f>SUM(C53:C55)</f>
        <v>0</v>
      </c>
    </row>
    <row r="53" spans="1:3" s="217" customFormat="1" ht="12" customHeight="1">
      <c r="A53" s="14" t="s">
        <v>152</v>
      </c>
      <c r="B53" s="218" t="s">
        <v>284</v>
      </c>
      <c r="C53" s="136"/>
    </row>
    <row r="54" spans="1:3" s="217" customFormat="1" ht="12" customHeight="1">
      <c r="A54" s="13" t="s">
        <v>153</v>
      </c>
      <c r="B54" s="219" t="s">
        <v>402</v>
      </c>
      <c r="C54" s="135"/>
    </row>
    <row r="55" spans="1:3" s="217" customFormat="1" ht="12" customHeight="1">
      <c r="A55" s="13" t="s">
        <v>287</v>
      </c>
      <c r="B55" s="219" t="s">
        <v>285</v>
      </c>
      <c r="C55" s="135"/>
    </row>
    <row r="56" spans="1:3" s="217" customFormat="1" ht="12" customHeight="1" thickBot="1">
      <c r="A56" s="15" t="s">
        <v>288</v>
      </c>
      <c r="B56" s="131" t="s">
        <v>286</v>
      </c>
      <c r="C56" s="137"/>
    </row>
    <row r="57" spans="1:3" s="217" customFormat="1" ht="12" customHeight="1" thickBot="1">
      <c r="A57" s="19" t="s">
        <v>90</v>
      </c>
      <c r="B57" s="129" t="s">
        <v>289</v>
      </c>
      <c r="C57" s="134">
        <f>SUM(C58:C60)</f>
        <v>0</v>
      </c>
    </row>
    <row r="58" spans="1:3" s="217" customFormat="1" ht="12" customHeight="1">
      <c r="A58" s="14" t="s">
        <v>199</v>
      </c>
      <c r="B58" s="218" t="s">
        <v>291</v>
      </c>
      <c r="C58" s="138"/>
    </row>
    <row r="59" spans="1:3" s="217" customFormat="1" ht="12" customHeight="1">
      <c r="A59" s="13" t="s">
        <v>200</v>
      </c>
      <c r="B59" s="219" t="s">
        <v>403</v>
      </c>
      <c r="C59" s="138"/>
    </row>
    <row r="60" spans="1:3" s="217" customFormat="1" ht="12" customHeight="1">
      <c r="A60" s="13" t="s">
        <v>223</v>
      </c>
      <c r="B60" s="219" t="s">
        <v>292</v>
      </c>
      <c r="C60" s="138"/>
    </row>
    <row r="61" spans="1:3" s="217" customFormat="1" ht="12" customHeight="1" thickBot="1">
      <c r="A61" s="15" t="s">
        <v>290</v>
      </c>
      <c r="B61" s="131" t="s">
        <v>293</v>
      </c>
      <c r="C61" s="138"/>
    </row>
    <row r="62" spans="1:3" s="217" customFormat="1" ht="12" customHeight="1" thickBot="1">
      <c r="A62" s="438" t="s">
        <v>515</v>
      </c>
      <c r="B62" s="20" t="s">
        <v>294</v>
      </c>
      <c r="C62" s="139">
        <f>+C5+C12+C19+C26+C34+C46+C52+C57</f>
        <v>7985</v>
      </c>
    </row>
    <row r="63" spans="1:3" s="217" customFormat="1" ht="12" customHeight="1" thickBot="1">
      <c r="A63" s="439" t="s">
        <v>295</v>
      </c>
      <c r="B63" s="129" t="s">
        <v>296</v>
      </c>
      <c r="C63" s="134">
        <f>SUM(C64:C66)</f>
        <v>0</v>
      </c>
    </row>
    <row r="64" spans="1:3" s="217" customFormat="1" ht="12" customHeight="1">
      <c r="A64" s="14" t="s">
        <v>327</v>
      </c>
      <c r="B64" s="218" t="s">
        <v>297</v>
      </c>
      <c r="C64" s="138"/>
    </row>
    <row r="65" spans="1:3" s="217" customFormat="1" ht="12" customHeight="1">
      <c r="A65" s="13" t="s">
        <v>336</v>
      </c>
      <c r="B65" s="219" t="s">
        <v>298</v>
      </c>
      <c r="C65" s="138"/>
    </row>
    <row r="66" spans="1:3" s="217" customFormat="1" ht="12" customHeight="1" thickBot="1">
      <c r="A66" s="15" t="s">
        <v>337</v>
      </c>
      <c r="B66" s="440" t="s">
        <v>516</v>
      </c>
      <c r="C66" s="138"/>
    </row>
    <row r="67" spans="1:3" s="217" customFormat="1" ht="12" customHeight="1" thickBot="1">
      <c r="A67" s="439" t="s">
        <v>300</v>
      </c>
      <c r="B67" s="129" t="s">
        <v>301</v>
      </c>
      <c r="C67" s="134">
        <f>SUM(C68:C71)</f>
        <v>0</v>
      </c>
    </row>
    <row r="68" spans="1:3" s="217" customFormat="1" ht="12" customHeight="1">
      <c r="A68" s="14" t="s">
        <v>179</v>
      </c>
      <c r="B68" s="218" t="s">
        <v>302</v>
      </c>
      <c r="C68" s="138"/>
    </row>
    <row r="69" spans="1:3" s="217" customFormat="1" ht="12" customHeight="1">
      <c r="A69" s="13" t="s">
        <v>180</v>
      </c>
      <c r="B69" s="219" t="s">
        <v>303</v>
      </c>
      <c r="C69" s="138"/>
    </row>
    <row r="70" spans="1:3" s="217" customFormat="1" ht="12" customHeight="1">
      <c r="A70" s="13" t="s">
        <v>328</v>
      </c>
      <c r="B70" s="219" t="s">
        <v>304</v>
      </c>
      <c r="C70" s="138"/>
    </row>
    <row r="71" spans="1:3" s="217" customFormat="1" ht="12" customHeight="1" thickBot="1">
      <c r="A71" s="15" t="s">
        <v>329</v>
      </c>
      <c r="B71" s="131" t="s">
        <v>305</v>
      </c>
      <c r="C71" s="138"/>
    </row>
    <row r="72" spans="1:3" s="217" customFormat="1" ht="12" customHeight="1" thickBot="1">
      <c r="A72" s="439" t="s">
        <v>306</v>
      </c>
      <c r="B72" s="129" t="s">
        <v>307</v>
      </c>
      <c r="C72" s="134">
        <f>SUM(C73:C74)</f>
        <v>0</v>
      </c>
    </row>
    <row r="73" spans="1:3" s="217" customFormat="1" ht="12" customHeight="1">
      <c r="A73" s="14" t="s">
        <v>330</v>
      </c>
      <c r="B73" s="218" t="s">
        <v>308</v>
      </c>
      <c r="C73" s="138"/>
    </row>
    <row r="74" spans="1:3" s="217" customFormat="1" ht="12" customHeight="1" thickBot="1">
      <c r="A74" s="15" t="s">
        <v>331</v>
      </c>
      <c r="B74" s="131" t="s">
        <v>309</v>
      </c>
      <c r="C74" s="138"/>
    </row>
    <row r="75" spans="1:3" s="217" customFormat="1" ht="12" customHeight="1" thickBot="1">
      <c r="A75" s="439" t="s">
        <v>310</v>
      </c>
      <c r="B75" s="129" t="s">
        <v>311</v>
      </c>
      <c r="C75" s="134">
        <f>SUM(C76:C78)</f>
        <v>0</v>
      </c>
    </row>
    <row r="76" spans="1:3" s="217" customFormat="1" ht="12" customHeight="1">
      <c r="A76" s="14" t="s">
        <v>332</v>
      </c>
      <c r="B76" s="218" t="s">
        <v>312</v>
      </c>
      <c r="C76" s="138"/>
    </row>
    <row r="77" spans="1:3" s="217" customFormat="1" ht="12" customHeight="1">
      <c r="A77" s="13" t="s">
        <v>333</v>
      </c>
      <c r="B77" s="219" t="s">
        <v>313</v>
      </c>
      <c r="C77" s="138"/>
    </row>
    <row r="78" spans="1:3" s="217" customFormat="1" ht="12" customHeight="1" thickBot="1">
      <c r="A78" s="15" t="s">
        <v>334</v>
      </c>
      <c r="B78" s="131" t="s">
        <v>314</v>
      </c>
      <c r="C78" s="138"/>
    </row>
    <row r="79" spans="1:3" s="217" customFormat="1" ht="12" customHeight="1" thickBot="1">
      <c r="A79" s="439" t="s">
        <v>315</v>
      </c>
      <c r="B79" s="129" t="s">
        <v>335</v>
      </c>
      <c r="C79" s="134">
        <f>SUM(C80:C83)</f>
        <v>0</v>
      </c>
    </row>
    <row r="80" spans="1:3" s="217" customFormat="1" ht="12" customHeight="1">
      <c r="A80" s="222" t="s">
        <v>316</v>
      </c>
      <c r="B80" s="218" t="s">
        <v>317</v>
      </c>
      <c r="C80" s="138"/>
    </row>
    <row r="81" spans="1:3" s="217" customFormat="1" ht="12" customHeight="1">
      <c r="A81" s="223" t="s">
        <v>318</v>
      </c>
      <c r="B81" s="219" t="s">
        <v>319</v>
      </c>
      <c r="C81" s="138"/>
    </row>
    <row r="82" spans="1:3" s="217" customFormat="1" ht="12" customHeight="1">
      <c r="A82" s="223" t="s">
        <v>320</v>
      </c>
      <c r="B82" s="219" t="s">
        <v>321</v>
      </c>
      <c r="C82" s="138"/>
    </row>
    <row r="83" spans="1:3" s="217" customFormat="1" ht="12" customHeight="1" thickBot="1">
      <c r="A83" s="224" t="s">
        <v>322</v>
      </c>
      <c r="B83" s="131" t="s">
        <v>323</v>
      </c>
      <c r="C83" s="138"/>
    </row>
    <row r="84" spans="1:3" s="217" customFormat="1" ht="12" customHeight="1" thickBot="1">
      <c r="A84" s="439" t="s">
        <v>324</v>
      </c>
      <c r="B84" s="129" t="s">
        <v>517</v>
      </c>
      <c r="C84" s="259"/>
    </row>
    <row r="85" spans="1:3" s="217" customFormat="1" ht="13.5" customHeight="1" thickBot="1">
      <c r="A85" s="439" t="s">
        <v>326</v>
      </c>
      <c r="B85" s="129" t="s">
        <v>325</v>
      </c>
      <c r="C85" s="259"/>
    </row>
    <row r="86" spans="1:3" s="217" customFormat="1" ht="15.75" customHeight="1" thickBot="1">
      <c r="A86" s="439" t="s">
        <v>338</v>
      </c>
      <c r="B86" s="225" t="s">
        <v>518</v>
      </c>
      <c r="C86" s="139">
        <f>+C63+C67+C72+C75+C79+C85+C84</f>
        <v>0</v>
      </c>
    </row>
    <row r="87" spans="1:3" s="217" customFormat="1" ht="16.5" customHeight="1" thickBot="1">
      <c r="A87" s="441" t="s">
        <v>519</v>
      </c>
      <c r="B87" s="226" t="s">
        <v>520</v>
      </c>
      <c r="C87" s="139">
        <f>+C62+C86</f>
        <v>7985</v>
      </c>
    </row>
    <row r="88" spans="1:3" s="217" customFormat="1" ht="83.25" customHeight="1">
      <c r="A88" s="4"/>
      <c r="B88" s="5"/>
      <c r="C88" s="140"/>
    </row>
    <row r="89" spans="1:3" ht="16.5" customHeight="1">
      <c r="A89" s="558" t="s">
        <v>110</v>
      </c>
      <c r="B89" s="558"/>
      <c r="C89" s="558"/>
    </row>
    <row r="90" spans="1:3" s="227" customFormat="1" ht="16.5" customHeight="1" thickBot="1">
      <c r="A90" s="559" t="s">
        <v>182</v>
      </c>
      <c r="B90" s="559"/>
      <c r="C90" s="68" t="s">
        <v>222</v>
      </c>
    </row>
    <row r="91" spans="1:3" ht="37.5" customHeight="1" thickBot="1">
      <c r="A91" s="22" t="s">
        <v>130</v>
      </c>
      <c r="B91" s="23" t="s">
        <v>111</v>
      </c>
      <c r="C91" s="30" t="str">
        <f>+C3</f>
        <v>2016. évi előirányzat</v>
      </c>
    </row>
    <row r="92" spans="1:3" s="216" customFormat="1" ht="12" customHeight="1" thickBot="1">
      <c r="A92" s="26" t="s">
        <v>504</v>
      </c>
      <c r="B92" s="27" t="s">
        <v>505</v>
      </c>
      <c r="C92" s="28" t="s">
        <v>506</v>
      </c>
    </row>
    <row r="93" spans="1:3" ht="12" customHeight="1" thickBot="1">
      <c r="A93" s="21" t="s">
        <v>83</v>
      </c>
      <c r="B93" s="25" t="s">
        <v>558</v>
      </c>
      <c r="C93" s="133">
        <f>C94+C95+C96+C97+C98+C111</f>
        <v>179640</v>
      </c>
    </row>
    <row r="94" spans="1:3" ht="12" customHeight="1">
      <c r="A94" s="16" t="s">
        <v>154</v>
      </c>
      <c r="B94" s="9" t="s">
        <v>112</v>
      </c>
      <c r="C94" s="539">
        <v>106602</v>
      </c>
    </row>
    <row r="95" spans="1:3" ht="12" customHeight="1">
      <c r="A95" s="13" t="s">
        <v>155</v>
      </c>
      <c r="B95" s="7" t="s">
        <v>201</v>
      </c>
      <c r="C95" s="138">
        <v>30370</v>
      </c>
    </row>
    <row r="96" spans="1:3" ht="12" customHeight="1">
      <c r="A96" s="13" t="s">
        <v>156</v>
      </c>
      <c r="B96" s="7" t="s">
        <v>177</v>
      </c>
      <c r="C96" s="457">
        <f>42666+2</f>
        <v>42668</v>
      </c>
    </row>
    <row r="97" spans="1:3" ht="12" customHeight="1">
      <c r="A97" s="13" t="s">
        <v>157</v>
      </c>
      <c r="B97" s="10" t="s">
        <v>202</v>
      </c>
      <c r="C97" s="207"/>
    </row>
    <row r="98" spans="1:3" ht="12" customHeight="1">
      <c r="A98" s="13" t="s">
        <v>168</v>
      </c>
      <c r="B98" s="18" t="s">
        <v>203</v>
      </c>
      <c r="C98" s="207"/>
    </row>
    <row r="99" spans="1:3" ht="12" customHeight="1">
      <c r="A99" s="13" t="s">
        <v>158</v>
      </c>
      <c r="B99" s="7" t="s">
        <v>521</v>
      </c>
      <c r="C99" s="207"/>
    </row>
    <row r="100" spans="1:3" ht="12" customHeight="1">
      <c r="A100" s="13" t="s">
        <v>159</v>
      </c>
      <c r="B100" s="72" t="s">
        <v>522</v>
      </c>
      <c r="C100" s="207"/>
    </row>
    <row r="101" spans="1:3" ht="12" customHeight="1">
      <c r="A101" s="13" t="s">
        <v>169</v>
      </c>
      <c r="B101" s="72" t="s">
        <v>523</v>
      </c>
      <c r="C101" s="207"/>
    </row>
    <row r="102" spans="1:3" ht="12" customHeight="1">
      <c r="A102" s="13" t="s">
        <v>170</v>
      </c>
      <c r="B102" s="70" t="s">
        <v>341</v>
      </c>
      <c r="C102" s="137"/>
    </row>
    <row r="103" spans="1:3" ht="12" customHeight="1">
      <c r="A103" s="13" t="s">
        <v>171</v>
      </c>
      <c r="B103" s="71" t="s">
        <v>342</v>
      </c>
      <c r="C103" s="137"/>
    </row>
    <row r="104" spans="1:3" ht="12" customHeight="1">
      <c r="A104" s="13" t="s">
        <v>172</v>
      </c>
      <c r="B104" s="71" t="s">
        <v>343</v>
      </c>
      <c r="C104" s="137"/>
    </row>
    <row r="105" spans="1:3" ht="12" customHeight="1">
      <c r="A105" s="13" t="s">
        <v>174</v>
      </c>
      <c r="B105" s="70" t="s">
        <v>344</v>
      </c>
      <c r="C105" s="137"/>
    </row>
    <row r="106" spans="1:3" ht="12" customHeight="1">
      <c r="A106" s="13" t="s">
        <v>204</v>
      </c>
      <c r="B106" s="70" t="s">
        <v>345</v>
      </c>
      <c r="C106" s="137"/>
    </row>
    <row r="107" spans="1:3" ht="12" customHeight="1">
      <c r="A107" s="13" t="s">
        <v>339</v>
      </c>
      <c r="B107" s="71" t="s">
        <v>346</v>
      </c>
      <c r="C107" s="137"/>
    </row>
    <row r="108" spans="1:3" ht="12" customHeight="1">
      <c r="A108" s="12" t="s">
        <v>340</v>
      </c>
      <c r="B108" s="72" t="s">
        <v>347</v>
      </c>
      <c r="C108" s="137"/>
    </row>
    <row r="109" spans="1:3" ht="12" customHeight="1">
      <c r="A109" s="13" t="s">
        <v>524</v>
      </c>
      <c r="B109" s="72" t="s">
        <v>348</v>
      </c>
      <c r="C109" s="137"/>
    </row>
    <row r="110" spans="1:3" ht="12" customHeight="1">
      <c r="A110" s="15" t="s">
        <v>525</v>
      </c>
      <c r="B110" s="72" t="s">
        <v>349</v>
      </c>
      <c r="C110" s="137"/>
    </row>
    <row r="111" spans="1:3" ht="12" customHeight="1">
      <c r="A111" s="13" t="s">
        <v>526</v>
      </c>
      <c r="B111" s="10" t="s">
        <v>113</v>
      </c>
      <c r="C111" s="135"/>
    </row>
    <row r="112" spans="1:3" ht="12" customHeight="1">
      <c r="A112" s="13" t="s">
        <v>527</v>
      </c>
      <c r="B112" s="7" t="s">
        <v>528</v>
      </c>
      <c r="C112" s="135"/>
    </row>
    <row r="113" spans="1:3" ht="12" customHeight="1" thickBot="1">
      <c r="A113" s="17" t="s">
        <v>529</v>
      </c>
      <c r="B113" s="442" t="s">
        <v>530</v>
      </c>
      <c r="C113" s="141"/>
    </row>
    <row r="114" spans="1:3" ht="12" customHeight="1" thickBot="1">
      <c r="A114" s="443" t="s">
        <v>84</v>
      </c>
      <c r="B114" s="444" t="s">
        <v>350</v>
      </c>
      <c r="C114" s="445">
        <f>+C115+C117+C119</f>
        <v>5588</v>
      </c>
    </row>
    <row r="115" spans="1:3" ht="12" customHeight="1">
      <c r="A115" s="14" t="s">
        <v>160</v>
      </c>
      <c r="B115" s="7" t="s">
        <v>221</v>
      </c>
      <c r="C115" s="258">
        <v>5588</v>
      </c>
    </row>
    <row r="116" spans="1:3" ht="12" customHeight="1">
      <c r="A116" s="14" t="s">
        <v>161</v>
      </c>
      <c r="B116" s="11" t="s">
        <v>354</v>
      </c>
      <c r="C116" s="136"/>
    </row>
    <row r="117" spans="1:3" ht="12" customHeight="1">
      <c r="A117" s="14" t="s">
        <v>162</v>
      </c>
      <c r="B117" s="11" t="s">
        <v>205</v>
      </c>
      <c r="C117" s="135"/>
    </row>
    <row r="118" spans="1:3" ht="12" customHeight="1">
      <c r="A118" s="14" t="s">
        <v>163</v>
      </c>
      <c r="B118" s="11" t="s">
        <v>355</v>
      </c>
      <c r="C118" s="121"/>
    </row>
    <row r="119" spans="1:3" ht="12" customHeight="1">
      <c r="A119" s="14" t="s">
        <v>164</v>
      </c>
      <c r="B119" s="131" t="s">
        <v>224</v>
      </c>
      <c r="C119" s="459"/>
    </row>
    <row r="120" spans="1:3" ht="12" customHeight="1">
      <c r="A120" s="14" t="s">
        <v>173</v>
      </c>
      <c r="B120" s="130" t="s">
        <v>404</v>
      </c>
      <c r="C120" s="459"/>
    </row>
    <row r="121" spans="1:3" ht="12" customHeight="1">
      <c r="A121" s="14" t="s">
        <v>175</v>
      </c>
      <c r="B121" s="214" t="s">
        <v>360</v>
      </c>
      <c r="C121" s="459"/>
    </row>
    <row r="122" spans="1:3" ht="15.75">
      <c r="A122" s="14" t="s">
        <v>206</v>
      </c>
      <c r="B122" s="71" t="s">
        <v>343</v>
      </c>
      <c r="C122" s="459"/>
    </row>
    <row r="123" spans="1:3" ht="12" customHeight="1">
      <c r="A123" s="14" t="s">
        <v>207</v>
      </c>
      <c r="B123" s="71" t="s">
        <v>359</v>
      </c>
      <c r="C123" s="459"/>
    </row>
    <row r="124" spans="1:3" ht="12" customHeight="1">
      <c r="A124" s="14" t="s">
        <v>208</v>
      </c>
      <c r="B124" s="71" t="s">
        <v>358</v>
      </c>
      <c r="C124" s="459"/>
    </row>
    <row r="125" spans="1:3" ht="12" customHeight="1">
      <c r="A125" s="14" t="s">
        <v>351</v>
      </c>
      <c r="B125" s="71" t="s">
        <v>346</v>
      </c>
      <c r="C125" s="459"/>
    </row>
    <row r="126" spans="1:3" ht="12" customHeight="1">
      <c r="A126" s="14" t="s">
        <v>352</v>
      </c>
      <c r="B126" s="71" t="s">
        <v>357</v>
      </c>
      <c r="C126" s="121"/>
    </row>
    <row r="127" spans="1:3" ht="16.5" thickBot="1">
      <c r="A127" s="12" t="s">
        <v>353</v>
      </c>
      <c r="B127" s="71" t="s">
        <v>356</v>
      </c>
      <c r="C127" s="122"/>
    </row>
    <row r="128" spans="1:3" ht="12" customHeight="1" thickBot="1">
      <c r="A128" s="19" t="s">
        <v>85</v>
      </c>
      <c r="B128" s="66" t="s">
        <v>531</v>
      </c>
      <c r="C128" s="134">
        <f>+C93+C114</f>
        <v>185228</v>
      </c>
    </row>
    <row r="129" spans="1:3" ht="12" customHeight="1" thickBot="1">
      <c r="A129" s="19" t="s">
        <v>86</v>
      </c>
      <c r="B129" s="66" t="s">
        <v>532</v>
      </c>
      <c r="C129" s="134">
        <f>+C130+C131+C132</f>
        <v>0</v>
      </c>
    </row>
    <row r="130" spans="1:3" ht="12" customHeight="1">
      <c r="A130" s="14" t="s">
        <v>251</v>
      </c>
      <c r="B130" s="11" t="s">
        <v>533</v>
      </c>
      <c r="C130" s="121"/>
    </row>
    <row r="131" spans="1:3" ht="12" customHeight="1">
      <c r="A131" s="14" t="s">
        <v>254</v>
      </c>
      <c r="B131" s="11" t="s">
        <v>534</v>
      </c>
      <c r="C131" s="121"/>
    </row>
    <row r="132" spans="1:3" ht="12" customHeight="1" thickBot="1">
      <c r="A132" s="12" t="s">
        <v>255</v>
      </c>
      <c r="B132" s="11" t="s">
        <v>535</v>
      </c>
      <c r="C132" s="121"/>
    </row>
    <row r="133" spans="1:3" ht="12" customHeight="1" thickBot="1">
      <c r="A133" s="19" t="s">
        <v>87</v>
      </c>
      <c r="B133" s="66" t="s">
        <v>536</v>
      </c>
      <c r="C133" s="134">
        <f>SUM(C134:C139)</f>
        <v>0</v>
      </c>
    </row>
    <row r="134" spans="1:3" ht="12" customHeight="1">
      <c r="A134" s="14" t="s">
        <v>147</v>
      </c>
      <c r="B134" s="8" t="s">
        <v>537</v>
      </c>
      <c r="C134" s="121"/>
    </row>
    <row r="135" spans="1:3" ht="12" customHeight="1">
      <c r="A135" s="14" t="s">
        <v>148</v>
      </c>
      <c r="B135" s="8" t="s">
        <v>538</v>
      </c>
      <c r="C135" s="121"/>
    </row>
    <row r="136" spans="1:3" ht="12" customHeight="1">
      <c r="A136" s="14" t="s">
        <v>149</v>
      </c>
      <c r="B136" s="8" t="s">
        <v>539</v>
      </c>
      <c r="C136" s="121"/>
    </row>
    <row r="137" spans="1:3" ht="12" customHeight="1">
      <c r="A137" s="14" t="s">
        <v>193</v>
      </c>
      <c r="B137" s="8" t="s">
        <v>540</v>
      </c>
      <c r="C137" s="121"/>
    </row>
    <row r="138" spans="1:3" ht="12" customHeight="1">
      <c r="A138" s="14" t="s">
        <v>194</v>
      </c>
      <c r="B138" s="8" t="s">
        <v>541</v>
      </c>
      <c r="C138" s="121"/>
    </row>
    <row r="139" spans="1:3" ht="12" customHeight="1" thickBot="1">
      <c r="A139" s="12" t="s">
        <v>195</v>
      </c>
      <c r="B139" s="8" t="s">
        <v>542</v>
      </c>
      <c r="C139" s="121"/>
    </row>
    <row r="140" spans="1:3" ht="12" customHeight="1" thickBot="1">
      <c r="A140" s="19" t="s">
        <v>88</v>
      </c>
      <c r="B140" s="66" t="s">
        <v>543</v>
      </c>
      <c r="C140" s="139">
        <f>+C141+C142+C143+C144</f>
        <v>0</v>
      </c>
    </row>
    <row r="141" spans="1:3" ht="12" customHeight="1">
      <c r="A141" s="14" t="s">
        <v>150</v>
      </c>
      <c r="B141" s="8" t="s">
        <v>361</v>
      </c>
      <c r="C141" s="121"/>
    </row>
    <row r="142" spans="1:3" ht="12" customHeight="1">
      <c r="A142" s="14" t="s">
        <v>151</v>
      </c>
      <c r="B142" s="8" t="s">
        <v>362</v>
      </c>
      <c r="C142" s="121"/>
    </row>
    <row r="143" spans="1:3" ht="12" customHeight="1">
      <c r="A143" s="14" t="s">
        <v>275</v>
      </c>
      <c r="B143" s="8" t="s">
        <v>544</v>
      </c>
      <c r="C143" s="121"/>
    </row>
    <row r="144" spans="1:3" ht="12" customHeight="1" thickBot="1">
      <c r="A144" s="12" t="s">
        <v>276</v>
      </c>
      <c r="B144" s="6" t="s">
        <v>372</v>
      </c>
      <c r="C144" s="121"/>
    </row>
    <row r="145" spans="1:3" ht="12" customHeight="1" thickBot="1">
      <c r="A145" s="19" t="s">
        <v>89</v>
      </c>
      <c r="B145" s="66" t="s">
        <v>545</v>
      </c>
      <c r="C145" s="142">
        <f>SUM(C146:C150)</f>
        <v>0</v>
      </c>
    </row>
    <row r="146" spans="1:3" ht="12" customHeight="1">
      <c r="A146" s="14" t="s">
        <v>152</v>
      </c>
      <c r="B146" s="8" t="s">
        <v>546</v>
      </c>
      <c r="C146" s="121"/>
    </row>
    <row r="147" spans="1:3" ht="12" customHeight="1">
      <c r="A147" s="14" t="s">
        <v>153</v>
      </c>
      <c r="B147" s="8" t="s">
        <v>547</v>
      </c>
      <c r="C147" s="121"/>
    </row>
    <row r="148" spans="1:3" ht="12" customHeight="1">
      <c r="A148" s="14" t="s">
        <v>287</v>
      </c>
      <c r="B148" s="8" t="s">
        <v>548</v>
      </c>
      <c r="C148" s="121"/>
    </row>
    <row r="149" spans="1:3" ht="12" customHeight="1">
      <c r="A149" s="14" t="s">
        <v>288</v>
      </c>
      <c r="B149" s="8" t="s">
        <v>549</v>
      </c>
      <c r="C149" s="121"/>
    </row>
    <row r="150" spans="1:3" ht="12" customHeight="1" thickBot="1">
      <c r="A150" s="14" t="s">
        <v>550</v>
      </c>
      <c r="B150" s="8" t="s">
        <v>551</v>
      </c>
      <c r="C150" s="121"/>
    </row>
    <row r="151" spans="1:3" ht="12" customHeight="1" thickBot="1">
      <c r="A151" s="19" t="s">
        <v>90</v>
      </c>
      <c r="B151" s="66" t="s">
        <v>552</v>
      </c>
      <c r="C151" s="446"/>
    </row>
    <row r="152" spans="1:3" ht="12" customHeight="1" thickBot="1">
      <c r="A152" s="19" t="s">
        <v>91</v>
      </c>
      <c r="B152" s="66" t="s">
        <v>553</v>
      </c>
      <c r="C152" s="446"/>
    </row>
    <row r="153" spans="1:9" ht="15" customHeight="1" thickBot="1">
      <c r="A153" s="19" t="s">
        <v>92</v>
      </c>
      <c r="B153" s="66" t="s">
        <v>554</v>
      </c>
      <c r="C153" s="228">
        <f>+C129+C133+C140+C145+C151+C152</f>
        <v>0</v>
      </c>
      <c r="F153" s="229"/>
      <c r="G153" s="230"/>
      <c r="H153" s="230"/>
      <c r="I153" s="230"/>
    </row>
    <row r="154" spans="1:3" s="217" customFormat="1" ht="12.75" customHeight="1" thickBot="1">
      <c r="A154" s="132" t="s">
        <v>93</v>
      </c>
      <c r="B154" s="200" t="s">
        <v>555</v>
      </c>
      <c r="C154" s="228">
        <f>+C128+C153</f>
        <v>185228</v>
      </c>
    </row>
    <row r="155" ht="7.5" customHeight="1"/>
    <row r="156" spans="1:3" ht="15.75">
      <c r="A156" s="560" t="s">
        <v>363</v>
      </c>
      <c r="B156" s="560"/>
      <c r="C156" s="560"/>
    </row>
    <row r="157" spans="1:3" ht="15" customHeight="1" thickBot="1">
      <c r="A157" s="557" t="s">
        <v>183</v>
      </c>
      <c r="B157" s="557"/>
      <c r="C157" s="143" t="s">
        <v>222</v>
      </c>
    </row>
    <row r="158" spans="1:4" ht="13.5" customHeight="1" thickBot="1">
      <c r="A158" s="19">
        <v>1</v>
      </c>
      <c r="B158" s="24" t="s">
        <v>556</v>
      </c>
      <c r="C158" s="134">
        <f>+C62-C128</f>
        <v>-177243</v>
      </c>
      <c r="D158" s="231"/>
    </row>
    <row r="159" spans="1:3" ht="32.25" customHeight="1" thickBot="1">
      <c r="A159" s="19" t="s">
        <v>84</v>
      </c>
      <c r="B159" s="24" t="s">
        <v>557</v>
      </c>
      <c r="C159" s="134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5/2017.(II.20.)  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7">
    <tabColor rgb="FF92D050"/>
  </sheetPr>
  <dimension ref="A1:F33"/>
  <sheetViews>
    <sheetView zoomScaleSheetLayoutView="100" workbookViewId="0" topLeftCell="A1">
      <selection activeCell="D15" sqref="D15"/>
    </sheetView>
  </sheetViews>
  <sheetFormatPr defaultColWidth="9.00390625" defaultRowHeight="12.75"/>
  <cols>
    <col min="1" max="1" width="6.875" style="33" customWidth="1"/>
    <col min="2" max="2" width="55.125" style="88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9.75" customHeight="1">
      <c r="B1" s="153" t="s">
        <v>186</v>
      </c>
      <c r="C1" s="154"/>
      <c r="D1" s="154"/>
      <c r="E1" s="154"/>
      <c r="F1" s="564"/>
    </row>
    <row r="2" spans="5:6" ht="14.25" thickBot="1">
      <c r="E2" s="155" t="s">
        <v>126</v>
      </c>
      <c r="F2" s="564"/>
    </row>
    <row r="3" spans="1:6" ht="18" customHeight="1" thickBot="1">
      <c r="A3" s="562" t="s">
        <v>130</v>
      </c>
      <c r="B3" s="156" t="s">
        <v>120</v>
      </c>
      <c r="C3" s="157"/>
      <c r="D3" s="156" t="s">
        <v>121</v>
      </c>
      <c r="E3" s="158"/>
      <c r="F3" s="564"/>
    </row>
    <row r="4" spans="1:6" s="159" customFormat="1" ht="35.25" customHeight="1" thickBot="1">
      <c r="A4" s="563"/>
      <c r="B4" s="89" t="s">
        <v>127</v>
      </c>
      <c r="C4" s="30" t="s">
        <v>38</v>
      </c>
      <c r="D4" s="89" t="s">
        <v>127</v>
      </c>
      <c r="E4" s="32" t="str">
        <f>+C4</f>
        <v>2016. évi előirányzat</v>
      </c>
      <c r="F4" s="564"/>
    </row>
    <row r="5" spans="1:6" s="164" customFormat="1" ht="12" customHeight="1" thickBot="1">
      <c r="A5" s="160" t="s">
        <v>504</v>
      </c>
      <c r="B5" s="161" t="s">
        <v>505</v>
      </c>
      <c r="C5" s="162" t="s">
        <v>506</v>
      </c>
      <c r="D5" s="161" t="s">
        <v>559</v>
      </c>
      <c r="E5" s="163" t="s">
        <v>560</v>
      </c>
      <c r="F5" s="564"/>
    </row>
    <row r="6" spans="1:6" ht="12.75" customHeight="1">
      <c r="A6" s="165" t="s">
        <v>83</v>
      </c>
      <c r="B6" s="166" t="s">
        <v>364</v>
      </c>
      <c r="C6" s="543">
        <v>1047258</v>
      </c>
      <c r="D6" s="179" t="s">
        <v>128</v>
      </c>
      <c r="E6" s="545">
        <v>1370296</v>
      </c>
      <c r="F6" s="564"/>
    </row>
    <row r="7" spans="1:6" ht="12.75" customHeight="1">
      <c r="A7" s="167" t="s">
        <v>84</v>
      </c>
      <c r="B7" s="168" t="s">
        <v>365</v>
      </c>
      <c r="C7" s="37">
        <v>781978</v>
      </c>
      <c r="D7" s="173" t="s">
        <v>201</v>
      </c>
      <c r="E7" s="546">
        <v>295704</v>
      </c>
      <c r="F7" s="564"/>
    </row>
    <row r="8" spans="1:6" ht="12.75" customHeight="1">
      <c r="A8" s="167" t="s">
        <v>85</v>
      </c>
      <c r="B8" s="168" t="s">
        <v>374</v>
      </c>
      <c r="C8" s="37"/>
      <c r="D8" s="173" t="s">
        <v>227</v>
      </c>
      <c r="E8" s="546">
        <v>894419</v>
      </c>
      <c r="F8" s="564"/>
    </row>
    <row r="9" spans="1:6" ht="12.75" customHeight="1">
      <c r="A9" s="167" t="s">
        <v>86</v>
      </c>
      <c r="B9" s="168" t="s">
        <v>192</v>
      </c>
      <c r="C9" s="544">
        <v>366438</v>
      </c>
      <c r="D9" s="173" t="s">
        <v>202</v>
      </c>
      <c r="E9" s="38">
        <v>76171</v>
      </c>
      <c r="F9" s="564"/>
    </row>
    <row r="10" spans="1:6" ht="12.75" customHeight="1">
      <c r="A10" s="167" t="s">
        <v>87</v>
      </c>
      <c r="B10" s="169" t="s">
        <v>397</v>
      </c>
      <c r="C10" s="544">
        <v>463189</v>
      </c>
      <c r="D10" s="173" t="s">
        <v>203</v>
      </c>
      <c r="E10" s="546">
        <v>183950</v>
      </c>
      <c r="F10" s="564"/>
    </row>
    <row r="11" spans="1:6" ht="12.75" customHeight="1">
      <c r="A11" s="167" t="s">
        <v>88</v>
      </c>
      <c r="B11" s="168" t="s">
        <v>366</v>
      </c>
      <c r="C11" s="520">
        <v>17053</v>
      </c>
      <c r="D11" s="173" t="s">
        <v>113</v>
      </c>
      <c r="E11" s="546">
        <v>120987</v>
      </c>
      <c r="F11" s="564"/>
    </row>
    <row r="12" spans="1:6" ht="12.75" customHeight="1">
      <c r="A12" s="167" t="s">
        <v>89</v>
      </c>
      <c r="B12" s="168" t="s">
        <v>561</v>
      </c>
      <c r="C12" s="37"/>
      <c r="D12" s="542"/>
      <c r="E12" s="38"/>
      <c r="F12" s="564"/>
    </row>
    <row r="13" spans="1:6" ht="12.75" customHeight="1">
      <c r="A13" s="167" t="s">
        <v>90</v>
      </c>
      <c r="B13" s="31"/>
      <c r="C13" s="37"/>
      <c r="D13" s="542"/>
      <c r="E13" s="38"/>
      <c r="F13" s="564"/>
    </row>
    <row r="14" spans="1:6" ht="12.75" customHeight="1">
      <c r="A14" s="167" t="s">
        <v>91</v>
      </c>
      <c r="B14" s="232"/>
      <c r="C14" s="145"/>
      <c r="D14" s="31"/>
      <c r="E14" s="149"/>
      <c r="F14" s="564"/>
    </row>
    <row r="15" spans="1:6" ht="12.75" customHeight="1">
      <c r="A15" s="167" t="s">
        <v>92</v>
      </c>
      <c r="B15" s="31"/>
      <c r="C15" s="144"/>
      <c r="D15" s="31"/>
      <c r="E15" s="149"/>
      <c r="F15" s="564"/>
    </row>
    <row r="16" spans="1:6" ht="12.75" customHeight="1">
      <c r="A16" s="167" t="s">
        <v>93</v>
      </c>
      <c r="B16" s="31"/>
      <c r="C16" s="144"/>
      <c r="D16" s="31"/>
      <c r="E16" s="149"/>
      <c r="F16" s="564"/>
    </row>
    <row r="17" spans="1:6" ht="12.75" customHeight="1" thickBot="1">
      <c r="A17" s="167" t="s">
        <v>94</v>
      </c>
      <c r="B17" s="34"/>
      <c r="C17" s="146"/>
      <c r="D17" s="31"/>
      <c r="E17" s="150"/>
      <c r="F17" s="564"/>
    </row>
    <row r="18" spans="1:6" ht="15.75" customHeight="1" thickBot="1">
      <c r="A18" s="170" t="s">
        <v>95</v>
      </c>
      <c r="B18" s="67" t="s">
        <v>562</v>
      </c>
      <c r="C18" s="147">
        <f>SUM(C6:C17)-C8</f>
        <v>2675916</v>
      </c>
      <c r="D18" s="67" t="s">
        <v>371</v>
      </c>
      <c r="E18" s="151">
        <f>SUM(E6:E17)</f>
        <v>2941527</v>
      </c>
      <c r="F18" s="564"/>
    </row>
    <row r="19" spans="1:6" ht="12.75" customHeight="1">
      <c r="A19" s="171" t="s">
        <v>96</v>
      </c>
      <c r="B19" s="172" t="s">
        <v>368</v>
      </c>
      <c r="C19" s="261">
        <f>+C20+C21+C22+C23</f>
        <v>264950</v>
      </c>
      <c r="D19" s="173" t="s">
        <v>209</v>
      </c>
      <c r="E19" s="152"/>
      <c r="F19" s="564"/>
    </row>
    <row r="20" spans="1:6" ht="12.75" customHeight="1">
      <c r="A20" s="174" t="s">
        <v>97</v>
      </c>
      <c r="B20" s="173" t="s">
        <v>219</v>
      </c>
      <c r="C20" s="544">
        <v>264950</v>
      </c>
      <c r="D20" s="173" t="s">
        <v>370</v>
      </c>
      <c r="E20" s="38">
        <v>100000</v>
      </c>
      <c r="F20" s="564"/>
    </row>
    <row r="21" spans="1:6" ht="12.75" customHeight="1">
      <c r="A21" s="174" t="s">
        <v>98</v>
      </c>
      <c r="B21" s="173" t="s">
        <v>220</v>
      </c>
      <c r="C21" s="37"/>
      <c r="D21" s="173" t="s">
        <v>184</v>
      </c>
      <c r="E21" s="38"/>
      <c r="F21" s="564"/>
    </row>
    <row r="22" spans="1:6" ht="12.75" customHeight="1">
      <c r="A22" s="174" t="s">
        <v>99</v>
      </c>
      <c r="B22" s="173" t="s">
        <v>225</v>
      </c>
      <c r="C22" s="37"/>
      <c r="D22" s="173" t="s">
        <v>185</v>
      </c>
      <c r="E22" s="38"/>
      <c r="F22" s="564"/>
    </row>
    <row r="23" spans="1:6" ht="12.75" customHeight="1">
      <c r="A23" s="174" t="s">
        <v>100</v>
      </c>
      <c r="B23" s="173" t="s">
        <v>226</v>
      </c>
      <c r="C23" s="37"/>
      <c r="D23" s="172" t="s">
        <v>228</v>
      </c>
      <c r="E23" s="38"/>
      <c r="F23" s="564"/>
    </row>
    <row r="24" spans="1:6" ht="12.75" customHeight="1">
      <c r="A24" s="174" t="s">
        <v>101</v>
      </c>
      <c r="B24" s="173" t="s">
        <v>369</v>
      </c>
      <c r="C24" s="175">
        <f>+C25+C26</f>
        <v>100000</v>
      </c>
      <c r="D24" s="173" t="s">
        <v>210</v>
      </c>
      <c r="E24" s="38"/>
      <c r="F24" s="564"/>
    </row>
    <row r="25" spans="1:6" ht="12.75" customHeight="1">
      <c r="A25" s="171" t="s">
        <v>102</v>
      </c>
      <c r="B25" s="172" t="s">
        <v>367</v>
      </c>
      <c r="C25" s="148">
        <v>100000</v>
      </c>
      <c r="D25" s="166" t="s">
        <v>544</v>
      </c>
      <c r="E25" s="152"/>
      <c r="F25" s="564"/>
    </row>
    <row r="26" spans="1:6" ht="12.75" customHeight="1">
      <c r="A26" s="174" t="s">
        <v>103</v>
      </c>
      <c r="B26" s="173" t="s">
        <v>563</v>
      </c>
      <c r="C26" s="37"/>
      <c r="D26" s="168" t="s">
        <v>552</v>
      </c>
      <c r="E26" s="38"/>
      <c r="F26" s="564"/>
    </row>
    <row r="27" spans="1:6" ht="12.75" customHeight="1">
      <c r="A27" s="167" t="s">
        <v>104</v>
      </c>
      <c r="B27" s="31" t="s">
        <v>52</v>
      </c>
      <c r="C27" s="513">
        <v>35165</v>
      </c>
      <c r="D27" s="168" t="s">
        <v>553</v>
      </c>
      <c r="E27" s="38"/>
      <c r="F27" s="564"/>
    </row>
    <row r="28" spans="1:6" ht="12.75" customHeight="1" thickBot="1">
      <c r="A28" s="206" t="s">
        <v>105</v>
      </c>
      <c r="B28" s="172" t="s">
        <v>325</v>
      </c>
      <c r="C28" s="148"/>
      <c r="D28" s="233" t="s">
        <v>49</v>
      </c>
      <c r="E28" s="152">
        <v>33302</v>
      </c>
      <c r="F28" s="564"/>
    </row>
    <row r="29" spans="1:6" ht="18.75" customHeight="1" thickBot="1">
      <c r="A29" s="170" t="s">
        <v>106</v>
      </c>
      <c r="B29" s="67" t="s">
        <v>564</v>
      </c>
      <c r="C29" s="147">
        <f>+C19+C24+C27+C28</f>
        <v>400115</v>
      </c>
      <c r="D29" s="67" t="s">
        <v>565</v>
      </c>
      <c r="E29" s="151">
        <f>SUM(E19:E28)</f>
        <v>133302</v>
      </c>
      <c r="F29" s="564"/>
    </row>
    <row r="30" spans="1:6" ht="13.5" thickBot="1">
      <c r="A30" s="170" t="s">
        <v>107</v>
      </c>
      <c r="B30" s="176" t="s">
        <v>566</v>
      </c>
      <c r="C30" s="177">
        <f>+C18+C29</f>
        <v>3076031</v>
      </c>
      <c r="D30" s="176" t="s">
        <v>567</v>
      </c>
      <c r="E30" s="177">
        <f>+E18+E29</f>
        <v>3074829</v>
      </c>
      <c r="F30" s="564"/>
    </row>
    <row r="31" spans="1:6" ht="13.5" thickBot="1">
      <c r="A31" s="170" t="s">
        <v>108</v>
      </c>
      <c r="B31" s="176" t="s">
        <v>187</v>
      </c>
      <c r="C31" s="177">
        <f>IF(C18-E18&lt;0,E18-C18,"-")</f>
        <v>265611</v>
      </c>
      <c r="D31" s="176" t="s">
        <v>188</v>
      </c>
      <c r="E31" s="177" t="str">
        <f>IF(C18-E18&gt;0,C18-E18,"-")</f>
        <v>-</v>
      </c>
      <c r="F31" s="564"/>
    </row>
    <row r="32" spans="1:6" ht="13.5" thickBot="1">
      <c r="A32" s="170" t="s">
        <v>109</v>
      </c>
      <c r="B32" s="176" t="s">
        <v>229</v>
      </c>
      <c r="C32" s="177"/>
      <c r="D32" s="176" t="s">
        <v>230</v>
      </c>
      <c r="E32" s="177">
        <v>1202</v>
      </c>
      <c r="F32" s="564"/>
    </row>
    <row r="33" spans="2:4" ht="18.75">
      <c r="B33" s="565"/>
      <c r="C33" s="565"/>
      <c r="D33" s="56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5/2017.(II.20.)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D12"/>
  <sheetViews>
    <sheetView zoomScale="120" zoomScaleNormal="120" workbookViewId="0" topLeftCell="A1">
      <selection activeCell="B15" sqref="B15"/>
    </sheetView>
  </sheetViews>
  <sheetFormatPr defaultColWidth="9.00390625" defaultRowHeight="12.75"/>
  <cols>
    <col min="1" max="1" width="5.625" style="74" customWidth="1"/>
    <col min="2" max="2" width="68.625" style="74" customWidth="1"/>
    <col min="3" max="3" width="19.50390625" style="74" customWidth="1"/>
    <col min="4" max="16384" width="9.375" style="74" customWidth="1"/>
  </cols>
  <sheetData>
    <row r="1" spans="1:3" ht="33" customHeight="1">
      <c r="A1" s="566" t="s">
        <v>501</v>
      </c>
      <c r="B1" s="566"/>
      <c r="C1" s="566"/>
    </row>
    <row r="2" spans="1:4" ht="15.75" customHeight="1" thickBot="1">
      <c r="A2" s="75"/>
      <c r="B2" s="75"/>
      <c r="C2" s="77" t="s">
        <v>117</v>
      </c>
      <c r="D2" s="76"/>
    </row>
    <row r="3" spans="1:3" ht="26.25" customHeight="1" thickBot="1">
      <c r="A3" s="78" t="s">
        <v>81</v>
      </c>
      <c r="B3" s="79" t="s">
        <v>211</v>
      </c>
      <c r="C3" s="80" t="s">
        <v>38</v>
      </c>
    </row>
    <row r="4" spans="1:3" ht="15.75" thickBot="1">
      <c r="A4" s="81">
        <v>1</v>
      </c>
      <c r="B4" s="82">
        <v>2</v>
      </c>
      <c r="C4" s="83">
        <v>3</v>
      </c>
    </row>
    <row r="5" spans="1:3" ht="15">
      <c r="A5" s="84" t="s">
        <v>83</v>
      </c>
      <c r="B5" s="181" t="s">
        <v>14</v>
      </c>
      <c r="C5" s="547">
        <f>320860+2978</f>
        <v>323838</v>
      </c>
    </row>
    <row r="6" spans="1:3" ht="24.75">
      <c r="A6" s="85" t="s">
        <v>84</v>
      </c>
      <c r="B6" s="203" t="s">
        <v>232</v>
      </c>
      <c r="C6" s="180">
        <v>17581</v>
      </c>
    </row>
    <row r="7" spans="1:3" ht="15">
      <c r="A7" s="85" t="s">
        <v>85</v>
      </c>
      <c r="B7" s="204" t="s">
        <v>408</v>
      </c>
      <c r="C7" s="180">
        <v>9</v>
      </c>
    </row>
    <row r="8" spans="1:3" ht="24.75">
      <c r="A8" s="85" t="s">
        <v>86</v>
      </c>
      <c r="B8" s="204" t="s">
        <v>234</v>
      </c>
      <c r="C8" s="180">
        <v>36253</v>
      </c>
    </row>
    <row r="9" spans="1:3" ht="15">
      <c r="A9" s="86" t="s">
        <v>87</v>
      </c>
      <c r="B9" s="204" t="s">
        <v>233</v>
      </c>
      <c r="C9" s="538">
        <v>14400</v>
      </c>
    </row>
    <row r="10" spans="1:3" ht="15.75" thickBot="1">
      <c r="A10" s="85" t="s">
        <v>88</v>
      </c>
      <c r="B10" s="205" t="s">
        <v>15</v>
      </c>
      <c r="C10" s="180"/>
    </row>
    <row r="11" spans="1:3" ht="15.75" thickBot="1">
      <c r="A11" s="567" t="s">
        <v>212</v>
      </c>
      <c r="B11" s="568"/>
      <c r="C11" s="87">
        <f>SUM(C5:C10)</f>
        <v>392081</v>
      </c>
    </row>
    <row r="12" spans="1:3" ht="23.25" customHeight="1">
      <c r="A12" s="569" t="s">
        <v>218</v>
      </c>
      <c r="B12" s="569"/>
      <c r="C12" s="56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5/2017.(II.20.)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32">
    <tabColor rgb="FF92D050"/>
  </sheetPr>
  <dimension ref="A1:K159"/>
  <sheetViews>
    <sheetView zoomScaleSheetLayoutView="85" workbookViewId="0" topLeftCell="A130">
      <selection activeCell="D90" sqref="D90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94"/>
      <c r="B1" s="96"/>
      <c r="C1" s="119"/>
    </row>
    <row r="2" spans="1:3" s="40" customFormat="1" ht="21" customHeight="1">
      <c r="A2" s="208" t="s">
        <v>127</v>
      </c>
      <c r="B2" s="182" t="s">
        <v>217</v>
      </c>
      <c r="C2" s="184" t="s">
        <v>116</v>
      </c>
    </row>
    <row r="3" spans="1:3" s="40" customFormat="1" ht="16.5" thickBot="1">
      <c r="A3" s="97" t="s">
        <v>213</v>
      </c>
      <c r="B3" s="183" t="s">
        <v>375</v>
      </c>
      <c r="C3" s="447" t="s">
        <v>116</v>
      </c>
    </row>
    <row r="4" spans="1:3" s="41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85" t="s">
        <v>119</v>
      </c>
    </row>
    <row r="6" spans="1:3" s="3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35" customFormat="1" ht="15.75" customHeight="1" thickBot="1">
      <c r="A7" s="102"/>
      <c r="B7" s="103" t="s">
        <v>120</v>
      </c>
      <c r="C7" s="186"/>
    </row>
    <row r="8" spans="1:3" s="35" customFormat="1" ht="12" customHeight="1" thickBot="1">
      <c r="A8" s="26" t="s">
        <v>83</v>
      </c>
      <c r="B8" s="20" t="s">
        <v>235</v>
      </c>
      <c r="C8" s="134">
        <f>+C9+C10+C11+C12+C13+C14</f>
        <v>1047258</v>
      </c>
    </row>
    <row r="9" spans="1:3" s="42" customFormat="1" ht="12" customHeight="1">
      <c r="A9" s="234" t="s">
        <v>154</v>
      </c>
      <c r="B9" s="218" t="s">
        <v>236</v>
      </c>
      <c r="C9" s="258">
        <v>231988</v>
      </c>
    </row>
    <row r="10" spans="1:3" s="43" customFormat="1" ht="12" customHeight="1">
      <c r="A10" s="235" t="s">
        <v>155</v>
      </c>
      <c r="B10" s="219" t="s">
        <v>237</v>
      </c>
      <c r="C10" s="510">
        <f>217051+1171</f>
        <v>218222</v>
      </c>
    </row>
    <row r="11" spans="1:3" s="43" customFormat="1" ht="12" customHeight="1">
      <c r="A11" s="235" t="s">
        <v>156</v>
      </c>
      <c r="B11" s="219" t="s">
        <v>238</v>
      </c>
      <c r="C11" s="510">
        <f>567601-9579</f>
        <v>558022</v>
      </c>
    </row>
    <row r="12" spans="1:3" s="43" customFormat="1" ht="12" customHeight="1">
      <c r="A12" s="235" t="s">
        <v>157</v>
      </c>
      <c r="B12" s="219" t="s">
        <v>239</v>
      </c>
      <c r="C12" s="138">
        <v>26943</v>
      </c>
    </row>
    <row r="13" spans="1:3" s="43" customFormat="1" ht="12" customHeight="1">
      <c r="A13" s="235" t="s">
        <v>178</v>
      </c>
      <c r="B13" s="219" t="s">
        <v>568</v>
      </c>
      <c r="C13" s="510">
        <f>10020+324</f>
        <v>10344</v>
      </c>
    </row>
    <row r="14" spans="1:3" s="42" customFormat="1" ht="12" customHeight="1" thickBot="1">
      <c r="A14" s="236" t="s">
        <v>158</v>
      </c>
      <c r="B14" s="220" t="s">
        <v>508</v>
      </c>
      <c r="C14" s="138">
        <v>1739</v>
      </c>
    </row>
    <row r="15" spans="1:3" s="42" customFormat="1" ht="12" customHeight="1" thickBot="1">
      <c r="A15" s="26" t="s">
        <v>84</v>
      </c>
      <c r="B15" s="129" t="s">
        <v>240</v>
      </c>
      <c r="C15" s="134">
        <f>+C16+C17+C18+C19+C20</f>
        <v>767266</v>
      </c>
    </row>
    <row r="16" spans="1:3" s="42" customFormat="1" ht="12" customHeight="1">
      <c r="A16" s="234" t="s">
        <v>160</v>
      </c>
      <c r="B16" s="218" t="s">
        <v>241</v>
      </c>
      <c r="C16" s="136"/>
    </row>
    <row r="17" spans="1:3" s="42" customFormat="1" ht="12" customHeight="1">
      <c r="A17" s="235" t="s">
        <v>161</v>
      </c>
      <c r="B17" s="219" t="s">
        <v>242</v>
      </c>
      <c r="C17" s="135"/>
    </row>
    <row r="18" spans="1:3" s="42" customFormat="1" ht="12" customHeight="1">
      <c r="A18" s="235" t="s">
        <v>162</v>
      </c>
      <c r="B18" s="219" t="s">
        <v>398</v>
      </c>
      <c r="C18" s="138"/>
    </row>
    <row r="19" spans="1:3" s="42" customFormat="1" ht="12" customHeight="1">
      <c r="A19" s="235" t="s">
        <v>163</v>
      </c>
      <c r="B19" s="219" t="s">
        <v>399</v>
      </c>
      <c r="C19" s="138"/>
    </row>
    <row r="20" spans="1:3" s="42" customFormat="1" ht="12" customHeight="1">
      <c r="A20" s="235" t="s">
        <v>164</v>
      </c>
      <c r="B20" s="219" t="s">
        <v>243</v>
      </c>
      <c r="C20" s="138">
        <v>767266</v>
      </c>
    </row>
    <row r="21" spans="1:3" s="43" customFormat="1" ht="12" customHeight="1" thickBot="1">
      <c r="A21" s="236" t="s">
        <v>173</v>
      </c>
      <c r="B21" s="220" t="s">
        <v>244</v>
      </c>
      <c r="C21" s="207"/>
    </row>
    <row r="22" spans="1:3" s="43" customFormat="1" ht="12" customHeight="1" thickBot="1">
      <c r="A22" s="26" t="s">
        <v>85</v>
      </c>
      <c r="B22" s="20" t="s">
        <v>245</v>
      </c>
      <c r="C22" s="134">
        <f>+C23+C24+C25+C26+C27</f>
        <v>36653</v>
      </c>
    </row>
    <row r="23" spans="1:3" s="43" customFormat="1" ht="12" customHeight="1">
      <c r="A23" s="234" t="s">
        <v>143</v>
      </c>
      <c r="B23" s="218" t="s">
        <v>246</v>
      </c>
      <c r="C23" s="258">
        <v>20895</v>
      </c>
    </row>
    <row r="24" spans="1:3" s="42" customFormat="1" ht="12" customHeight="1">
      <c r="A24" s="235" t="s">
        <v>144</v>
      </c>
      <c r="B24" s="219" t="s">
        <v>247</v>
      </c>
      <c r="C24" s="138"/>
    </row>
    <row r="25" spans="1:3" s="43" customFormat="1" ht="12" customHeight="1">
      <c r="A25" s="235" t="s">
        <v>145</v>
      </c>
      <c r="B25" s="219" t="s">
        <v>400</v>
      </c>
      <c r="C25" s="138"/>
    </row>
    <row r="26" spans="1:3" s="43" customFormat="1" ht="12" customHeight="1">
      <c r="A26" s="235" t="s">
        <v>146</v>
      </c>
      <c r="B26" s="219" t="s">
        <v>401</v>
      </c>
      <c r="C26" s="138"/>
    </row>
    <row r="27" spans="1:3" s="43" customFormat="1" ht="12" customHeight="1">
      <c r="A27" s="235" t="s">
        <v>189</v>
      </c>
      <c r="B27" s="219" t="s">
        <v>248</v>
      </c>
      <c r="C27" s="138">
        <v>15758</v>
      </c>
    </row>
    <row r="28" spans="1:3" s="43" customFormat="1" ht="12" customHeight="1" thickBot="1">
      <c r="A28" s="236" t="s">
        <v>190</v>
      </c>
      <c r="B28" s="220" t="s">
        <v>249</v>
      </c>
      <c r="C28" s="207"/>
    </row>
    <row r="29" spans="1:3" s="43" customFormat="1" ht="12" customHeight="1" thickBot="1">
      <c r="A29" s="26" t="s">
        <v>191</v>
      </c>
      <c r="B29" s="20" t="s">
        <v>250</v>
      </c>
      <c r="C29" s="139">
        <f>+C30+C34+C35+C36</f>
        <v>366438</v>
      </c>
    </row>
    <row r="30" spans="1:3" s="43" customFormat="1" ht="12" customHeight="1">
      <c r="A30" s="234" t="s">
        <v>251</v>
      </c>
      <c r="B30" s="218" t="s">
        <v>569</v>
      </c>
      <c r="C30" s="213">
        <f>SUM(C31:C33)</f>
        <v>323618</v>
      </c>
    </row>
    <row r="31" spans="1:3" s="43" customFormat="1" ht="12" customHeight="1">
      <c r="A31" s="235" t="s">
        <v>252</v>
      </c>
      <c r="B31" s="219" t="s">
        <v>257</v>
      </c>
      <c r="C31" s="138">
        <v>83000</v>
      </c>
    </row>
    <row r="32" spans="1:3" s="43" customFormat="1" ht="12" customHeight="1">
      <c r="A32" s="235" t="s">
        <v>253</v>
      </c>
      <c r="B32" s="219" t="s">
        <v>20</v>
      </c>
      <c r="C32" s="510">
        <f>237500+2978</f>
        <v>240478</v>
      </c>
    </row>
    <row r="33" spans="1:3" s="43" customFormat="1" ht="12" customHeight="1">
      <c r="A33" s="235" t="s">
        <v>510</v>
      </c>
      <c r="B33" s="219" t="s">
        <v>17</v>
      </c>
      <c r="C33" s="138">
        <v>140</v>
      </c>
    </row>
    <row r="34" spans="1:3" s="43" customFormat="1" ht="12" customHeight="1">
      <c r="A34" s="235" t="s">
        <v>254</v>
      </c>
      <c r="B34" s="219" t="s">
        <v>259</v>
      </c>
      <c r="C34" s="138">
        <v>28200</v>
      </c>
    </row>
    <row r="35" spans="1:3" s="43" customFormat="1" ht="12" customHeight="1">
      <c r="A35" s="235" t="s">
        <v>255</v>
      </c>
      <c r="B35" s="219" t="s">
        <v>260</v>
      </c>
      <c r="C35" s="138">
        <v>5620</v>
      </c>
    </row>
    <row r="36" spans="1:3" s="43" customFormat="1" ht="12" customHeight="1" thickBot="1">
      <c r="A36" s="236" t="s">
        <v>256</v>
      </c>
      <c r="B36" s="220" t="s">
        <v>261</v>
      </c>
      <c r="C36" s="207">
        <v>9000</v>
      </c>
    </row>
    <row r="37" spans="1:3" s="43" customFormat="1" ht="12" customHeight="1" thickBot="1">
      <c r="A37" s="26" t="s">
        <v>87</v>
      </c>
      <c r="B37" s="20" t="s">
        <v>512</v>
      </c>
      <c r="C37" s="134">
        <f>SUM(C38:C48)</f>
        <v>54022</v>
      </c>
    </row>
    <row r="38" spans="1:3" s="43" customFormat="1" ht="12" customHeight="1">
      <c r="A38" s="234" t="s">
        <v>147</v>
      </c>
      <c r="B38" s="218" t="s">
        <v>264</v>
      </c>
      <c r="C38" s="258">
        <v>13350</v>
      </c>
    </row>
    <row r="39" spans="1:3" s="43" customFormat="1" ht="12" customHeight="1">
      <c r="A39" s="235" t="s">
        <v>148</v>
      </c>
      <c r="B39" s="219" t="s">
        <v>265</v>
      </c>
      <c r="C39" s="138">
        <v>23206</v>
      </c>
    </row>
    <row r="40" spans="1:3" s="43" customFormat="1" ht="12" customHeight="1">
      <c r="A40" s="235" t="s">
        <v>149</v>
      </c>
      <c r="B40" s="219" t="s">
        <v>266</v>
      </c>
      <c r="C40" s="138">
        <f>8027</f>
        <v>8027</v>
      </c>
    </row>
    <row r="41" spans="1:3" s="43" customFormat="1" ht="12" customHeight="1">
      <c r="A41" s="235" t="s">
        <v>193</v>
      </c>
      <c r="B41" s="219" t="s">
        <v>267</v>
      </c>
      <c r="C41" s="138">
        <v>376</v>
      </c>
    </row>
    <row r="42" spans="1:3" s="43" customFormat="1" ht="12" customHeight="1">
      <c r="A42" s="235" t="s">
        <v>194</v>
      </c>
      <c r="B42" s="219" t="s">
        <v>268</v>
      </c>
      <c r="C42" s="138"/>
    </row>
    <row r="43" spans="1:3" s="43" customFormat="1" ht="12" customHeight="1">
      <c r="A43" s="235" t="s">
        <v>195</v>
      </c>
      <c r="B43" s="219" t="s">
        <v>269</v>
      </c>
      <c r="C43" s="138">
        <f>7753</f>
        <v>7753</v>
      </c>
    </row>
    <row r="44" spans="1:3" s="43" customFormat="1" ht="12" customHeight="1">
      <c r="A44" s="235" t="s">
        <v>196</v>
      </c>
      <c r="B44" s="219" t="s">
        <v>270</v>
      </c>
      <c r="C44" s="138"/>
    </row>
    <row r="45" spans="1:3" s="43" customFormat="1" ht="12" customHeight="1">
      <c r="A45" s="235" t="s">
        <v>197</v>
      </c>
      <c r="B45" s="219" t="s">
        <v>271</v>
      </c>
      <c r="C45" s="138">
        <v>10</v>
      </c>
    </row>
    <row r="46" spans="1:3" s="43" customFormat="1" ht="12" customHeight="1">
      <c r="A46" s="235" t="s">
        <v>262</v>
      </c>
      <c r="B46" s="219" t="s">
        <v>272</v>
      </c>
      <c r="C46" s="138"/>
    </row>
    <row r="47" spans="1:3" s="43" customFormat="1" ht="12" customHeight="1">
      <c r="A47" s="236" t="s">
        <v>263</v>
      </c>
      <c r="B47" s="220" t="s">
        <v>513</v>
      </c>
      <c r="C47" s="207">
        <v>500</v>
      </c>
    </row>
    <row r="48" spans="1:3" s="43" customFormat="1" ht="12" customHeight="1" thickBot="1">
      <c r="A48" s="236" t="s">
        <v>514</v>
      </c>
      <c r="B48" s="220" t="s">
        <v>273</v>
      </c>
      <c r="C48" s="207">
        <v>800</v>
      </c>
    </row>
    <row r="49" spans="1:3" s="43" customFormat="1" ht="12" customHeight="1" thickBot="1">
      <c r="A49" s="26" t="s">
        <v>88</v>
      </c>
      <c r="B49" s="20" t="s">
        <v>274</v>
      </c>
      <c r="C49" s="134">
        <f>SUM(C50:C54)</f>
        <v>35543</v>
      </c>
    </row>
    <row r="50" spans="1:3" s="43" customFormat="1" ht="12" customHeight="1">
      <c r="A50" s="234" t="s">
        <v>150</v>
      </c>
      <c r="B50" s="218" t="s">
        <v>278</v>
      </c>
      <c r="C50" s="258"/>
    </row>
    <row r="51" spans="1:3" s="43" customFormat="1" ht="12" customHeight="1">
      <c r="A51" s="235" t="s">
        <v>151</v>
      </c>
      <c r="B51" s="219" t="s">
        <v>279</v>
      </c>
      <c r="C51" s="138">
        <v>35543</v>
      </c>
    </row>
    <row r="52" spans="1:3" s="43" customFormat="1" ht="12" customHeight="1">
      <c r="A52" s="235" t="s">
        <v>275</v>
      </c>
      <c r="B52" s="219" t="s">
        <v>280</v>
      </c>
      <c r="C52" s="138"/>
    </row>
    <row r="53" spans="1:3" s="43" customFormat="1" ht="12" customHeight="1">
      <c r="A53" s="235" t="s">
        <v>276</v>
      </c>
      <c r="B53" s="219" t="s">
        <v>281</v>
      </c>
      <c r="C53" s="138"/>
    </row>
    <row r="54" spans="1:3" s="43" customFormat="1" ht="12" customHeight="1" thickBot="1">
      <c r="A54" s="236" t="s">
        <v>277</v>
      </c>
      <c r="B54" s="220" t="s">
        <v>282</v>
      </c>
      <c r="C54" s="207"/>
    </row>
    <row r="55" spans="1:3" s="43" customFormat="1" ht="12" customHeight="1" thickBot="1">
      <c r="A55" s="26" t="s">
        <v>198</v>
      </c>
      <c r="B55" s="20" t="s">
        <v>283</v>
      </c>
      <c r="C55" s="134">
        <f>SUM(C56:C58)</f>
        <v>16253</v>
      </c>
    </row>
    <row r="56" spans="1:3" s="43" customFormat="1" ht="12" customHeight="1">
      <c r="A56" s="234" t="s">
        <v>152</v>
      </c>
      <c r="B56" s="218" t="s">
        <v>284</v>
      </c>
      <c r="C56" s="136"/>
    </row>
    <row r="57" spans="1:3" s="43" customFormat="1" ht="12" customHeight="1">
      <c r="A57" s="235" t="s">
        <v>153</v>
      </c>
      <c r="B57" s="219" t="s">
        <v>402</v>
      </c>
      <c r="C57" s="138">
        <v>3366</v>
      </c>
    </row>
    <row r="58" spans="1:3" s="43" customFormat="1" ht="12" customHeight="1">
      <c r="A58" s="235" t="s">
        <v>287</v>
      </c>
      <c r="B58" s="219" t="s">
        <v>285</v>
      </c>
      <c r="C58" s="138">
        <v>12887</v>
      </c>
    </row>
    <row r="59" spans="1:3" s="43" customFormat="1" ht="12" customHeight="1" thickBot="1">
      <c r="A59" s="236" t="s">
        <v>288</v>
      </c>
      <c r="B59" s="220" t="s">
        <v>286</v>
      </c>
      <c r="C59" s="137"/>
    </row>
    <row r="60" spans="1:3" s="43" customFormat="1" ht="12" customHeight="1" thickBot="1">
      <c r="A60" s="26" t="s">
        <v>90</v>
      </c>
      <c r="B60" s="129" t="s">
        <v>289</v>
      </c>
      <c r="C60" s="134">
        <f>SUM(C61:C63)</f>
        <v>2468</v>
      </c>
    </row>
    <row r="61" spans="1:3" s="43" customFormat="1" ht="12" customHeight="1">
      <c r="A61" s="234" t="s">
        <v>199</v>
      </c>
      <c r="B61" s="218" t="s">
        <v>291</v>
      </c>
      <c r="C61" s="138"/>
    </row>
    <row r="62" spans="1:3" s="43" customFormat="1" ht="12" customHeight="1">
      <c r="A62" s="235" t="s">
        <v>200</v>
      </c>
      <c r="B62" s="219" t="s">
        <v>403</v>
      </c>
      <c r="C62" s="138"/>
    </row>
    <row r="63" spans="1:3" s="43" customFormat="1" ht="12" customHeight="1">
      <c r="A63" s="235" t="s">
        <v>223</v>
      </c>
      <c r="B63" s="219" t="s">
        <v>292</v>
      </c>
      <c r="C63" s="138">
        <v>2468</v>
      </c>
    </row>
    <row r="64" spans="1:3" s="43" customFormat="1" ht="12" customHeight="1" thickBot="1">
      <c r="A64" s="236" t="s">
        <v>290</v>
      </c>
      <c r="B64" s="220" t="s">
        <v>293</v>
      </c>
      <c r="C64" s="138"/>
    </row>
    <row r="65" spans="1:3" s="43" customFormat="1" ht="12" customHeight="1" thickBot="1">
      <c r="A65" s="26" t="s">
        <v>91</v>
      </c>
      <c r="B65" s="20" t="s">
        <v>294</v>
      </c>
      <c r="C65" s="139">
        <f>+C8+C15+C22+C29+C37+C49+C55+C60</f>
        <v>2325901</v>
      </c>
    </row>
    <row r="66" spans="1:3" s="43" customFormat="1" ht="12" customHeight="1" thickBot="1">
      <c r="A66" s="237" t="s">
        <v>373</v>
      </c>
      <c r="B66" s="129" t="s">
        <v>296</v>
      </c>
      <c r="C66" s="134">
        <f>SUM(C67:C69)</f>
        <v>160303</v>
      </c>
    </row>
    <row r="67" spans="1:3" s="43" customFormat="1" ht="12" customHeight="1">
      <c r="A67" s="234" t="s">
        <v>327</v>
      </c>
      <c r="B67" s="218" t="s">
        <v>297</v>
      </c>
      <c r="C67" s="138">
        <v>60303</v>
      </c>
    </row>
    <row r="68" spans="1:3" s="43" customFormat="1" ht="12" customHeight="1">
      <c r="A68" s="235" t="s">
        <v>336</v>
      </c>
      <c r="B68" s="219" t="s">
        <v>298</v>
      </c>
      <c r="C68" s="138">
        <v>100000</v>
      </c>
    </row>
    <row r="69" spans="1:3" s="43" customFormat="1" ht="12" customHeight="1" thickBot="1">
      <c r="A69" s="236" t="s">
        <v>337</v>
      </c>
      <c r="B69" s="221" t="s">
        <v>299</v>
      </c>
      <c r="C69" s="138"/>
    </row>
    <row r="70" spans="1:3" s="43" customFormat="1" ht="12" customHeight="1" thickBot="1">
      <c r="A70" s="237" t="s">
        <v>300</v>
      </c>
      <c r="B70" s="129" t="s">
        <v>301</v>
      </c>
      <c r="C70" s="134">
        <f>SUM(C71:C74)</f>
        <v>0</v>
      </c>
    </row>
    <row r="71" spans="1:3" s="43" customFormat="1" ht="12" customHeight="1">
      <c r="A71" s="234" t="s">
        <v>179</v>
      </c>
      <c r="B71" s="218" t="s">
        <v>302</v>
      </c>
      <c r="C71" s="138"/>
    </row>
    <row r="72" spans="1:3" s="43" customFormat="1" ht="12" customHeight="1">
      <c r="A72" s="235" t="s">
        <v>180</v>
      </c>
      <c r="B72" s="219" t="s">
        <v>303</v>
      </c>
      <c r="C72" s="138"/>
    </row>
    <row r="73" spans="1:3" s="43" customFormat="1" ht="12" customHeight="1">
      <c r="A73" s="235" t="s">
        <v>328</v>
      </c>
      <c r="B73" s="219" t="s">
        <v>304</v>
      </c>
      <c r="C73" s="138"/>
    </row>
    <row r="74" spans="1:3" s="43" customFormat="1" ht="12" customHeight="1" thickBot="1">
      <c r="A74" s="236" t="s">
        <v>329</v>
      </c>
      <c r="B74" s="220" t="s">
        <v>305</v>
      </c>
      <c r="C74" s="138"/>
    </row>
    <row r="75" spans="1:3" s="43" customFormat="1" ht="12" customHeight="1" thickBot="1">
      <c r="A75" s="237" t="s">
        <v>306</v>
      </c>
      <c r="B75" s="129" t="s">
        <v>307</v>
      </c>
      <c r="C75" s="134">
        <f>SUM(C76:C77)</f>
        <v>257029</v>
      </c>
    </row>
    <row r="76" spans="1:3" s="43" customFormat="1" ht="12" customHeight="1">
      <c r="A76" s="234" t="s">
        <v>330</v>
      </c>
      <c r="B76" s="218" t="s">
        <v>308</v>
      </c>
      <c r="C76" s="138">
        <v>257029</v>
      </c>
    </row>
    <row r="77" spans="1:3" s="43" customFormat="1" ht="12" customHeight="1" thickBot="1">
      <c r="A77" s="236" t="s">
        <v>331</v>
      </c>
      <c r="B77" s="220" t="s">
        <v>309</v>
      </c>
      <c r="C77" s="138"/>
    </row>
    <row r="78" spans="1:3" s="42" customFormat="1" ht="12" customHeight="1" thickBot="1">
      <c r="A78" s="237" t="s">
        <v>310</v>
      </c>
      <c r="B78" s="129" t="s">
        <v>311</v>
      </c>
      <c r="C78" s="134">
        <f>SUM(C79:C81)</f>
        <v>35165</v>
      </c>
    </row>
    <row r="79" spans="1:3" s="43" customFormat="1" ht="12" customHeight="1">
      <c r="A79" s="234" t="s">
        <v>332</v>
      </c>
      <c r="B79" s="218" t="s">
        <v>312</v>
      </c>
      <c r="C79" s="510">
        <v>35165</v>
      </c>
    </row>
    <row r="80" spans="1:3" s="43" customFormat="1" ht="12" customHeight="1">
      <c r="A80" s="235" t="s">
        <v>333</v>
      </c>
      <c r="B80" s="219" t="s">
        <v>313</v>
      </c>
      <c r="C80" s="138"/>
    </row>
    <row r="81" spans="1:3" s="43" customFormat="1" ht="12" customHeight="1" thickBot="1">
      <c r="A81" s="236" t="s">
        <v>334</v>
      </c>
      <c r="B81" s="220" t="s">
        <v>314</v>
      </c>
      <c r="C81" s="138"/>
    </row>
    <row r="82" spans="1:3" s="43" customFormat="1" ht="12" customHeight="1" thickBot="1">
      <c r="A82" s="237" t="s">
        <v>315</v>
      </c>
      <c r="B82" s="129" t="s">
        <v>335</v>
      </c>
      <c r="C82" s="134">
        <f>SUM(C83:C86)</f>
        <v>0</v>
      </c>
    </row>
    <row r="83" spans="1:3" s="43" customFormat="1" ht="12" customHeight="1">
      <c r="A83" s="238" t="s">
        <v>316</v>
      </c>
      <c r="B83" s="218" t="s">
        <v>317</v>
      </c>
      <c r="C83" s="138"/>
    </row>
    <row r="84" spans="1:3" s="43" customFormat="1" ht="12" customHeight="1">
      <c r="A84" s="239" t="s">
        <v>318</v>
      </c>
      <c r="B84" s="219" t="s">
        <v>319</v>
      </c>
      <c r="C84" s="138"/>
    </row>
    <row r="85" spans="1:3" s="43" customFormat="1" ht="12" customHeight="1">
      <c r="A85" s="239" t="s">
        <v>320</v>
      </c>
      <c r="B85" s="219" t="s">
        <v>321</v>
      </c>
      <c r="C85" s="138"/>
    </row>
    <row r="86" spans="1:3" s="42" customFormat="1" ht="12" customHeight="1" thickBot="1">
      <c r="A86" s="240" t="s">
        <v>322</v>
      </c>
      <c r="B86" s="220" t="s">
        <v>323</v>
      </c>
      <c r="C86" s="138"/>
    </row>
    <row r="87" spans="1:3" s="42" customFormat="1" ht="12" customHeight="1" thickBot="1">
      <c r="A87" s="237" t="s">
        <v>324</v>
      </c>
      <c r="B87" s="129" t="s">
        <v>517</v>
      </c>
      <c r="C87" s="259"/>
    </row>
    <row r="88" spans="1:3" s="42" customFormat="1" ht="12" customHeight="1" thickBot="1">
      <c r="A88" s="237" t="s">
        <v>570</v>
      </c>
      <c r="B88" s="129" t="s">
        <v>325</v>
      </c>
      <c r="C88" s="259"/>
    </row>
    <row r="89" spans="1:3" s="42" customFormat="1" ht="12" customHeight="1" thickBot="1">
      <c r="A89" s="237" t="s">
        <v>571</v>
      </c>
      <c r="B89" s="225" t="s">
        <v>518</v>
      </c>
      <c r="C89" s="139">
        <f>+C66+C70+C75+C78+C82+C88+C87</f>
        <v>452497</v>
      </c>
    </row>
    <row r="90" spans="1:3" s="42" customFormat="1" ht="12" customHeight="1" thickBot="1">
      <c r="A90" s="241" t="s">
        <v>572</v>
      </c>
      <c r="B90" s="226" t="s">
        <v>573</v>
      </c>
      <c r="C90" s="139">
        <f>+C65+C89</f>
        <v>2778398</v>
      </c>
    </row>
    <row r="91" spans="1:3" s="43" customFormat="1" ht="15" customHeight="1" thickBot="1">
      <c r="A91" s="108"/>
      <c r="B91" s="109"/>
      <c r="C91" s="191"/>
    </row>
    <row r="92" spans="1:3" s="35" customFormat="1" ht="16.5" customHeight="1" thickBot="1">
      <c r="A92" s="112"/>
      <c r="B92" s="113" t="s">
        <v>121</v>
      </c>
      <c r="C92" s="193"/>
    </row>
    <row r="93" spans="1:3" s="44" customFormat="1" ht="12" customHeight="1" thickBot="1">
      <c r="A93" s="210" t="s">
        <v>83</v>
      </c>
      <c r="B93" s="25" t="s">
        <v>584</v>
      </c>
      <c r="C93" s="133">
        <f>+C94+C95+C96+C97+C98+C111</f>
        <v>1344583</v>
      </c>
    </row>
    <row r="94" spans="1:3" ht="12" customHeight="1">
      <c r="A94" s="242" t="s">
        <v>154</v>
      </c>
      <c r="B94" s="9" t="s">
        <v>112</v>
      </c>
      <c r="C94" s="511">
        <f>642835-201-540+253+62</f>
        <v>642409</v>
      </c>
    </row>
    <row r="95" spans="1:3" ht="12" customHeight="1">
      <c r="A95" s="235" t="s">
        <v>155</v>
      </c>
      <c r="B95" s="7" t="s">
        <v>201</v>
      </c>
      <c r="C95" s="510">
        <f>91388-55+68-62</f>
        <v>91339</v>
      </c>
    </row>
    <row r="96" spans="1:3" ht="12" customHeight="1">
      <c r="A96" s="235" t="s">
        <v>156</v>
      </c>
      <c r="B96" s="7" t="s">
        <v>177</v>
      </c>
      <c r="C96" s="457">
        <f>259287-6510+540-22</f>
        <v>253295</v>
      </c>
    </row>
    <row r="97" spans="1:5" ht="12" customHeight="1">
      <c r="A97" s="235" t="s">
        <v>157</v>
      </c>
      <c r="B97" s="10" t="s">
        <v>202</v>
      </c>
      <c r="C97" s="207">
        <v>52396</v>
      </c>
      <c r="E97" s="515"/>
    </row>
    <row r="98" spans="1:3" ht="12" customHeight="1">
      <c r="A98" s="235" t="s">
        <v>168</v>
      </c>
      <c r="B98" s="18" t="s">
        <v>203</v>
      </c>
      <c r="C98" s="457">
        <f>183928+22</f>
        <v>183950</v>
      </c>
    </row>
    <row r="99" spans="1:3" ht="12" customHeight="1">
      <c r="A99" s="235" t="s">
        <v>158</v>
      </c>
      <c r="B99" s="7" t="s">
        <v>574</v>
      </c>
      <c r="C99" s="207">
        <v>6599</v>
      </c>
    </row>
    <row r="100" spans="1:3" ht="12" customHeight="1">
      <c r="A100" s="235" t="s">
        <v>159</v>
      </c>
      <c r="B100" s="70" t="s">
        <v>522</v>
      </c>
      <c r="C100" s="207"/>
    </row>
    <row r="101" spans="1:3" ht="12" customHeight="1">
      <c r="A101" s="235" t="s">
        <v>169</v>
      </c>
      <c r="B101" s="70" t="s">
        <v>523</v>
      </c>
      <c r="C101" s="207"/>
    </row>
    <row r="102" spans="1:3" ht="12" customHeight="1">
      <c r="A102" s="235" t="s">
        <v>170</v>
      </c>
      <c r="B102" s="70" t="s">
        <v>341</v>
      </c>
      <c r="C102" s="207"/>
    </row>
    <row r="103" spans="1:3" ht="12" customHeight="1">
      <c r="A103" s="235" t="s">
        <v>171</v>
      </c>
      <c r="B103" s="71" t="s">
        <v>342</v>
      </c>
      <c r="C103" s="207"/>
    </row>
    <row r="104" spans="1:3" ht="12" customHeight="1">
      <c r="A104" s="235" t="s">
        <v>172</v>
      </c>
      <c r="B104" s="71" t="s">
        <v>343</v>
      </c>
      <c r="C104" s="207"/>
    </row>
    <row r="105" spans="1:3" ht="12" customHeight="1">
      <c r="A105" s="235" t="s">
        <v>174</v>
      </c>
      <c r="B105" s="70" t="s">
        <v>344</v>
      </c>
      <c r="C105" s="457">
        <f>113427+22</f>
        <v>113449</v>
      </c>
    </row>
    <row r="106" spans="1:3" ht="12" customHeight="1">
      <c r="A106" s="235" t="s">
        <v>204</v>
      </c>
      <c r="B106" s="70" t="s">
        <v>345</v>
      </c>
      <c r="C106" s="207"/>
    </row>
    <row r="107" spans="1:3" ht="12" customHeight="1">
      <c r="A107" s="235" t="s">
        <v>339</v>
      </c>
      <c r="B107" s="71" t="s">
        <v>346</v>
      </c>
      <c r="C107" s="207"/>
    </row>
    <row r="108" spans="1:3" ht="12" customHeight="1">
      <c r="A108" s="243" t="s">
        <v>340</v>
      </c>
      <c r="B108" s="72" t="s">
        <v>347</v>
      </c>
      <c r="C108" s="207"/>
    </row>
    <row r="109" spans="1:3" ht="12" customHeight="1">
      <c r="A109" s="235" t="s">
        <v>524</v>
      </c>
      <c r="B109" s="72" t="s">
        <v>348</v>
      </c>
      <c r="C109" s="207"/>
    </row>
    <row r="110" spans="1:3" ht="12" customHeight="1">
      <c r="A110" s="235" t="s">
        <v>525</v>
      </c>
      <c r="B110" s="71" t="s">
        <v>349</v>
      </c>
      <c r="C110" s="138">
        <v>63902</v>
      </c>
    </row>
    <row r="111" spans="1:3" ht="12" customHeight="1">
      <c r="A111" s="235" t="s">
        <v>526</v>
      </c>
      <c r="B111" s="10" t="s">
        <v>113</v>
      </c>
      <c r="C111" s="138">
        <f>SUM(C112:C113)</f>
        <v>121194</v>
      </c>
    </row>
    <row r="112" spans="1:3" ht="12" customHeight="1">
      <c r="A112" s="236" t="s">
        <v>527</v>
      </c>
      <c r="B112" s="7" t="s">
        <v>575</v>
      </c>
      <c r="C112" s="457">
        <f>908+36504</f>
        <v>37412</v>
      </c>
    </row>
    <row r="113" spans="1:3" ht="12" customHeight="1" thickBot="1">
      <c r="A113" s="244" t="s">
        <v>529</v>
      </c>
      <c r="B113" s="73" t="s">
        <v>576</v>
      </c>
      <c r="C113" s="540">
        <v>83782</v>
      </c>
    </row>
    <row r="114" spans="1:3" ht="12" customHeight="1" thickBot="1">
      <c r="A114" s="26" t="s">
        <v>84</v>
      </c>
      <c r="B114" s="24" t="s">
        <v>350</v>
      </c>
      <c r="C114" s="134">
        <f>+C115+C117+C119</f>
        <v>104515</v>
      </c>
    </row>
    <row r="115" spans="1:3" ht="12" customHeight="1">
      <c r="A115" s="234" t="s">
        <v>160</v>
      </c>
      <c r="B115" s="7" t="s">
        <v>221</v>
      </c>
      <c r="C115" s="258">
        <v>50904</v>
      </c>
    </row>
    <row r="116" spans="1:3" ht="12" customHeight="1">
      <c r="A116" s="234" t="s">
        <v>161</v>
      </c>
      <c r="B116" s="11" t="s">
        <v>354</v>
      </c>
      <c r="C116" s="258"/>
    </row>
    <row r="117" spans="1:3" ht="12" customHeight="1">
      <c r="A117" s="234" t="s">
        <v>162</v>
      </c>
      <c r="B117" s="11" t="s">
        <v>205</v>
      </c>
      <c r="C117" s="138">
        <v>43266</v>
      </c>
    </row>
    <row r="118" spans="1:3" ht="12" customHeight="1">
      <c r="A118" s="234" t="s">
        <v>163</v>
      </c>
      <c r="B118" s="11" t="s">
        <v>355</v>
      </c>
      <c r="C118" s="459"/>
    </row>
    <row r="119" spans="1:3" ht="12" customHeight="1">
      <c r="A119" s="234" t="s">
        <v>164</v>
      </c>
      <c r="B119" s="131" t="s">
        <v>224</v>
      </c>
      <c r="C119" s="459">
        <v>10345</v>
      </c>
    </row>
    <row r="120" spans="1:3" ht="12" customHeight="1">
      <c r="A120" s="234" t="s">
        <v>173</v>
      </c>
      <c r="B120" s="130" t="s">
        <v>404</v>
      </c>
      <c r="C120" s="459"/>
    </row>
    <row r="121" spans="1:3" ht="12" customHeight="1">
      <c r="A121" s="234" t="s">
        <v>175</v>
      </c>
      <c r="B121" s="214" t="s">
        <v>360</v>
      </c>
      <c r="C121" s="459"/>
    </row>
    <row r="122" spans="1:3" ht="12" customHeight="1">
      <c r="A122" s="234" t="s">
        <v>206</v>
      </c>
      <c r="B122" s="71" t="s">
        <v>343</v>
      </c>
      <c r="C122" s="459"/>
    </row>
    <row r="123" spans="1:3" ht="12" customHeight="1">
      <c r="A123" s="234" t="s">
        <v>207</v>
      </c>
      <c r="B123" s="71" t="s">
        <v>359</v>
      </c>
      <c r="C123" s="459"/>
    </row>
    <row r="124" spans="1:3" ht="12" customHeight="1">
      <c r="A124" s="234" t="s">
        <v>208</v>
      </c>
      <c r="B124" s="71" t="s">
        <v>358</v>
      </c>
      <c r="C124" s="459"/>
    </row>
    <row r="125" spans="1:3" ht="12" customHeight="1">
      <c r="A125" s="234" t="s">
        <v>351</v>
      </c>
      <c r="B125" s="71" t="s">
        <v>346</v>
      </c>
      <c r="C125" s="459"/>
    </row>
    <row r="126" spans="1:3" ht="12" customHeight="1">
      <c r="A126" s="234" t="s">
        <v>352</v>
      </c>
      <c r="B126" s="71" t="s">
        <v>357</v>
      </c>
      <c r="C126" s="459"/>
    </row>
    <row r="127" spans="1:3" ht="12" customHeight="1" thickBot="1">
      <c r="A127" s="243" t="s">
        <v>353</v>
      </c>
      <c r="B127" s="71" t="s">
        <v>356</v>
      </c>
      <c r="C127" s="487">
        <v>10345</v>
      </c>
    </row>
    <row r="128" spans="1:3" ht="12" customHeight="1" thickBot="1">
      <c r="A128" s="26" t="s">
        <v>85</v>
      </c>
      <c r="B128" s="66" t="s">
        <v>531</v>
      </c>
      <c r="C128" s="134">
        <f>+C93+C114</f>
        <v>1449098</v>
      </c>
    </row>
    <row r="129" spans="1:3" ht="12" customHeight="1" thickBot="1">
      <c r="A129" s="26" t="s">
        <v>86</v>
      </c>
      <c r="B129" s="66" t="s">
        <v>532</v>
      </c>
      <c r="C129" s="134">
        <f>+C130+C131+C132</f>
        <v>103545</v>
      </c>
    </row>
    <row r="130" spans="1:3" s="44" customFormat="1" ht="12" customHeight="1">
      <c r="A130" s="234" t="s">
        <v>251</v>
      </c>
      <c r="B130" s="8" t="s">
        <v>577</v>
      </c>
      <c r="C130" s="459">
        <v>3545</v>
      </c>
    </row>
    <row r="131" spans="1:3" ht="12" customHeight="1">
      <c r="A131" s="234" t="s">
        <v>254</v>
      </c>
      <c r="B131" s="8" t="s">
        <v>534</v>
      </c>
      <c r="C131" s="121">
        <v>100000</v>
      </c>
    </row>
    <row r="132" spans="1:3" ht="12" customHeight="1" thickBot="1">
      <c r="A132" s="243" t="s">
        <v>255</v>
      </c>
      <c r="B132" s="6" t="s">
        <v>578</v>
      </c>
      <c r="C132" s="121"/>
    </row>
    <row r="133" spans="1:3" ht="12" customHeight="1" thickBot="1">
      <c r="A133" s="26" t="s">
        <v>87</v>
      </c>
      <c r="B133" s="66" t="s">
        <v>536</v>
      </c>
      <c r="C133" s="134">
        <f>+C134+C135+C136+C137+C138+C139</f>
        <v>0</v>
      </c>
    </row>
    <row r="134" spans="1:3" ht="12" customHeight="1">
      <c r="A134" s="234" t="s">
        <v>147</v>
      </c>
      <c r="B134" s="8" t="s">
        <v>537</v>
      </c>
      <c r="C134" s="121"/>
    </row>
    <row r="135" spans="1:3" ht="12" customHeight="1">
      <c r="A135" s="234" t="s">
        <v>148</v>
      </c>
      <c r="B135" s="8" t="s">
        <v>538</v>
      </c>
      <c r="C135" s="121"/>
    </row>
    <row r="136" spans="1:3" ht="12" customHeight="1">
      <c r="A136" s="234" t="s">
        <v>149</v>
      </c>
      <c r="B136" s="8" t="s">
        <v>539</v>
      </c>
      <c r="C136" s="121"/>
    </row>
    <row r="137" spans="1:3" ht="12" customHeight="1">
      <c r="A137" s="234" t="s">
        <v>193</v>
      </c>
      <c r="B137" s="8" t="s">
        <v>579</v>
      </c>
      <c r="C137" s="121"/>
    </row>
    <row r="138" spans="1:3" ht="12" customHeight="1">
      <c r="A138" s="234" t="s">
        <v>194</v>
      </c>
      <c r="B138" s="8" t="s">
        <v>541</v>
      </c>
      <c r="C138" s="121"/>
    </row>
    <row r="139" spans="1:3" s="44" customFormat="1" ht="12" customHeight="1" thickBot="1">
      <c r="A139" s="243" t="s">
        <v>195</v>
      </c>
      <c r="B139" s="6" t="s">
        <v>542</v>
      </c>
      <c r="C139" s="121"/>
    </row>
    <row r="140" spans="1:11" ht="12" customHeight="1" thickBot="1">
      <c r="A140" s="26" t="s">
        <v>88</v>
      </c>
      <c r="B140" s="66" t="s">
        <v>580</v>
      </c>
      <c r="C140" s="139">
        <f>+C141+C142+C144+C145+C143</f>
        <v>33302</v>
      </c>
      <c r="K140" s="120"/>
    </row>
    <row r="141" spans="1:3" ht="12.75">
      <c r="A141" s="234" t="s">
        <v>150</v>
      </c>
      <c r="B141" s="8" t="s">
        <v>361</v>
      </c>
      <c r="C141" s="121"/>
    </row>
    <row r="142" spans="1:3" ht="12" customHeight="1">
      <c r="A142" s="234" t="s">
        <v>151</v>
      </c>
      <c r="B142" s="8" t="s">
        <v>362</v>
      </c>
      <c r="C142" s="121">
        <v>33302</v>
      </c>
    </row>
    <row r="143" spans="1:3" ht="12" customHeight="1">
      <c r="A143" s="234" t="s">
        <v>275</v>
      </c>
      <c r="B143" s="8" t="s">
        <v>581</v>
      </c>
      <c r="C143" s="121"/>
    </row>
    <row r="144" spans="1:3" s="44" customFormat="1" ht="12" customHeight="1">
      <c r="A144" s="234" t="s">
        <v>276</v>
      </c>
      <c r="B144" s="8" t="s">
        <v>544</v>
      </c>
      <c r="C144" s="121"/>
    </row>
    <row r="145" spans="1:3" s="44" customFormat="1" ht="12" customHeight="1" thickBot="1">
      <c r="A145" s="243" t="s">
        <v>277</v>
      </c>
      <c r="B145" s="6" t="s">
        <v>372</v>
      </c>
      <c r="C145" s="121"/>
    </row>
    <row r="146" spans="1:3" s="44" customFormat="1" ht="12" customHeight="1" thickBot="1">
      <c r="A146" s="26" t="s">
        <v>89</v>
      </c>
      <c r="B146" s="66" t="s">
        <v>545</v>
      </c>
      <c r="C146" s="142">
        <f>+C147+C148+C149+C150+C151</f>
        <v>0</v>
      </c>
    </row>
    <row r="147" spans="1:3" s="44" customFormat="1" ht="12" customHeight="1">
      <c r="A147" s="234" t="s">
        <v>152</v>
      </c>
      <c r="B147" s="8" t="s">
        <v>546</v>
      </c>
      <c r="C147" s="121"/>
    </row>
    <row r="148" spans="1:3" s="44" customFormat="1" ht="12" customHeight="1">
      <c r="A148" s="234" t="s">
        <v>153</v>
      </c>
      <c r="B148" s="8" t="s">
        <v>547</v>
      </c>
      <c r="C148" s="121"/>
    </row>
    <row r="149" spans="1:3" s="44" customFormat="1" ht="12" customHeight="1">
      <c r="A149" s="234" t="s">
        <v>287</v>
      </c>
      <c r="B149" s="8" t="s">
        <v>548</v>
      </c>
      <c r="C149" s="121"/>
    </row>
    <row r="150" spans="1:3" s="44" customFormat="1" ht="12" customHeight="1">
      <c r="A150" s="234" t="s">
        <v>288</v>
      </c>
      <c r="B150" s="8" t="s">
        <v>582</v>
      </c>
      <c r="C150" s="121"/>
    </row>
    <row r="151" spans="1:3" ht="12.75" customHeight="1" thickBot="1">
      <c r="A151" s="243" t="s">
        <v>550</v>
      </c>
      <c r="B151" s="6" t="s">
        <v>551</v>
      </c>
      <c r="C151" s="122"/>
    </row>
    <row r="152" spans="1:3" ht="12.75" customHeight="1" thickBot="1">
      <c r="A152" s="448" t="s">
        <v>90</v>
      </c>
      <c r="B152" s="66" t="s">
        <v>552</v>
      </c>
      <c r="C152" s="142"/>
    </row>
    <row r="153" spans="1:3" ht="12.75" customHeight="1" thickBot="1">
      <c r="A153" s="448" t="s">
        <v>91</v>
      </c>
      <c r="B153" s="66" t="s">
        <v>553</v>
      </c>
      <c r="C153" s="142"/>
    </row>
    <row r="154" spans="1:3" ht="12" customHeight="1" thickBot="1">
      <c r="A154" s="26" t="s">
        <v>92</v>
      </c>
      <c r="B154" s="66" t="s">
        <v>554</v>
      </c>
      <c r="C154" s="228">
        <f>+C129+C133+C140+C146+C152+C153</f>
        <v>136847</v>
      </c>
    </row>
    <row r="155" spans="1:3" ht="15" customHeight="1" thickBot="1">
      <c r="A155" s="245" t="s">
        <v>93</v>
      </c>
      <c r="B155" s="200" t="s">
        <v>555</v>
      </c>
      <c r="C155" s="228">
        <f>+C128+C154</f>
        <v>1585945</v>
      </c>
    </row>
    <row r="156" ht="13.5" thickBot="1"/>
    <row r="157" spans="1:3" ht="15" customHeight="1" thickBot="1">
      <c r="A157" s="117" t="s">
        <v>583</v>
      </c>
      <c r="B157" s="118"/>
      <c r="C157" s="521">
        <v>3</v>
      </c>
    </row>
    <row r="158" spans="1:3" ht="15" customHeight="1" thickBot="1">
      <c r="A158" s="570" t="s">
        <v>68</v>
      </c>
      <c r="B158" s="571"/>
      <c r="C158" s="521">
        <v>7</v>
      </c>
    </row>
    <row r="159" spans="1:3" ht="14.25" customHeight="1" thickBot="1">
      <c r="A159" s="117" t="s">
        <v>216</v>
      </c>
      <c r="B159" s="118"/>
      <c r="C159" s="65">
        <v>500</v>
      </c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&amp;R7. melléklet a 5/2017.(II.20.) önkormányzati rendelethez</oddHeader>
  </headerFooter>
  <rowBreaks count="1" manualBreakCount="1"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53">
    <tabColor rgb="FF92D050"/>
  </sheetPr>
  <dimension ref="A1:K158"/>
  <sheetViews>
    <sheetView zoomScaleSheetLayoutView="85" workbookViewId="0" topLeftCell="A132">
      <selection activeCell="C101" sqref="C10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94"/>
      <c r="B1" s="96"/>
      <c r="C1" s="119"/>
    </row>
    <row r="2" spans="1:3" s="40" customFormat="1" ht="21" customHeight="1">
      <c r="A2" s="208" t="s">
        <v>127</v>
      </c>
      <c r="B2" s="182" t="s">
        <v>217</v>
      </c>
      <c r="C2" s="184" t="s">
        <v>116</v>
      </c>
    </row>
    <row r="3" spans="1:3" s="40" customFormat="1" ht="16.5" thickBot="1">
      <c r="A3" s="97" t="s">
        <v>213</v>
      </c>
      <c r="B3" s="183" t="s">
        <v>405</v>
      </c>
      <c r="C3" s="447" t="s">
        <v>124</v>
      </c>
    </row>
    <row r="4" spans="1:3" s="41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85" t="s">
        <v>119</v>
      </c>
    </row>
    <row r="6" spans="1:3" s="3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35" customFormat="1" ht="15.75" customHeight="1" thickBot="1">
      <c r="A7" s="102"/>
      <c r="B7" s="103" t="s">
        <v>120</v>
      </c>
      <c r="C7" s="186"/>
    </row>
    <row r="8" spans="1:3" s="35" customFormat="1" ht="12" customHeight="1" thickBot="1">
      <c r="A8" s="26" t="s">
        <v>83</v>
      </c>
      <c r="B8" s="20" t="s">
        <v>235</v>
      </c>
      <c r="C8" s="134">
        <f>+C9+C10+C11+C12+C13+C14</f>
        <v>1049864</v>
      </c>
    </row>
    <row r="9" spans="1:3" s="42" customFormat="1" ht="12" customHeight="1">
      <c r="A9" s="234" t="s">
        <v>154</v>
      </c>
      <c r="B9" s="218" t="s">
        <v>236</v>
      </c>
      <c r="C9" s="258">
        <v>231988</v>
      </c>
    </row>
    <row r="10" spans="1:3" s="43" customFormat="1" ht="12" customHeight="1">
      <c r="A10" s="235" t="s">
        <v>155</v>
      </c>
      <c r="B10" s="219" t="s">
        <v>237</v>
      </c>
      <c r="C10" s="510">
        <f>217051+1171</f>
        <v>218222</v>
      </c>
    </row>
    <row r="11" spans="1:3" s="43" customFormat="1" ht="12" customHeight="1">
      <c r="A11" s="235" t="s">
        <v>156</v>
      </c>
      <c r="B11" s="219" t="s">
        <v>238</v>
      </c>
      <c r="C11" s="510">
        <f>567601-6973</f>
        <v>560628</v>
      </c>
    </row>
    <row r="12" spans="1:3" s="43" customFormat="1" ht="12" customHeight="1">
      <c r="A12" s="235" t="s">
        <v>157</v>
      </c>
      <c r="B12" s="219" t="s">
        <v>239</v>
      </c>
      <c r="C12" s="138">
        <v>26943</v>
      </c>
    </row>
    <row r="13" spans="1:3" s="43" customFormat="1" ht="12" customHeight="1">
      <c r="A13" s="235" t="s">
        <v>178</v>
      </c>
      <c r="B13" s="219" t="s">
        <v>568</v>
      </c>
      <c r="C13" s="510">
        <f>10020+324</f>
        <v>10344</v>
      </c>
    </row>
    <row r="14" spans="1:3" s="42" customFormat="1" ht="12" customHeight="1" thickBot="1">
      <c r="A14" s="236" t="s">
        <v>158</v>
      </c>
      <c r="B14" s="220" t="s">
        <v>508</v>
      </c>
      <c r="C14" s="138">
        <v>1739</v>
      </c>
    </row>
    <row r="15" spans="1:3" s="42" customFormat="1" ht="12" customHeight="1" thickBot="1">
      <c r="A15" s="26" t="s">
        <v>84</v>
      </c>
      <c r="B15" s="129" t="s">
        <v>240</v>
      </c>
      <c r="C15" s="134">
        <f>+C16+C17+C18+C19+C20</f>
        <v>637667</v>
      </c>
    </row>
    <row r="16" spans="1:3" s="42" customFormat="1" ht="12" customHeight="1">
      <c r="A16" s="234" t="s">
        <v>160</v>
      </c>
      <c r="B16" s="218" t="s">
        <v>241</v>
      </c>
      <c r="C16" s="136"/>
    </row>
    <row r="17" spans="1:3" s="42" customFormat="1" ht="12" customHeight="1">
      <c r="A17" s="235" t="s">
        <v>161</v>
      </c>
      <c r="B17" s="219" t="s">
        <v>242</v>
      </c>
      <c r="C17" s="135"/>
    </row>
    <row r="18" spans="1:3" s="42" customFormat="1" ht="12" customHeight="1">
      <c r="A18" s="235" t="s">
        <v>162</v>
      </c>
      <c r="B18" s="219" t="s">
        <v>398</v>
      </c>
      <c r="C18" s="135"/>
    </row>
    <row r="19" spans="1:3" s="42" customFormat="1" ht="12" customHeight="1">
      <c r="A19" s="235" t="s">
        <v>163</v>
      </c>
      <c r="B19" s="219" t="s">
        <v>399</v>
      </c>
      <c r="C19" s="135"/>
    </row>
    <row r="20" spans="1:3" s="42" customFormat="1" ht="12" customHeight="1">
      <c r="A20" s="235" t="s">
        <v>164</v>
      </c>
      <c r="B20" s="219" t="s">
        <v>243</v>
      </c>
      <c r="C20" s="138">
        <v>637667</v>
      </c>
    </row>
    <row r="21" spans="1:3" s="43" customFormat="1" ht="12" customHeight="1" thickBot="1">
      <c r="A21" s="236" t="s">
        <v>173</v>
      </c>
      <c r="B21" s="220" t="s">
        <v>244</v>
      </c>
      <c r="C21" s="137"/>
    </row>
    <row r="22" spans="1:3" s="43" customFormat="1" ht="12" customHeight="1" thickBot="1">
      <c r="A22" s="26" t="s">
        <v>85</v>
      </c>
      <c r="B22" s="20" t="s">
        <v>245</v>
      </c>
      <c r="C22" s="134">
        <f>+C23+C24+C25+C26+C27</f>
        <v>16653</v>
      </c>
    </row>
    <row r="23" spans="1:3" s="43" customFormat="1" ht="12" customHeight="1">
      <c r="A23" s="234" t="s">
        <v>143</v>
      </c>
      <c r="B23" s="218" t="s">
        <v>246</v>
      </c>
      <c r="C23" s="258">
        <v>895</v>
      </c>
    </row>
    <row r="24" spans="1:3" s="42" customFormat="1" ht="12" customHeight="1">
      <c r="A24" s="235" t="s">
        <v>144</v>
      </c>
      <c r="B24" s="219" t="s">
        <v>247</v>
      </c>
      <c r="C24" s="138"/>
    </row>
    <row r="25" spans="1:3" s="43" customFormat="1" ht="12" customHeight="1">
      <c r="A25" s="235" t="s">
        <v>145</v>
      </c>
      <c r="B25" s="219" t="s">
        <v>400</v>
      </c>
      <c r="C25" s="138"/>
    </row>
    <row r="26" spans="1:3" s="43" customFormat="1" ht="12" customHeight="1">
      <c r="A26" s="235" t="s">
        <v>146</v>
      </c>
      <c r="B26" s="219" t="s">
        <v>401</v>
      </c>
      <c r="C26" s="138"/>
    </row>
    <row r="27" spans="1:3" s="43" customFormat="1" ht="12" customHeight="1">
      <c r="A27" s="235" t="s">
        <v>189</v>
      </c>
      <c r="B27" s="219" t="s">
        <v>248</v>
      </c>
      <c r="C27" s="138">
        <v>15758</v>
      </c>
    </row>
    <row r="28" spans="1:3" s="43" customFormat="1" ht="12" customHeight="1" thickBot="1">
      <c r="A28" s="236" t="s">
        <v>190</v>
      </c>
      <c r="B28" s="220" t="s">
        <v>249</v>
      </c>
      <c r="C28" s="207"/>
    </row>
    <row r="29" spans="1:3" s="43" customFormat="1" ht="12" customHeight="1" thickBot="1">
      <c r="A29" s="26" t="s">
        <v>191</v>
      </c>
      <c r="B29" s="20" t="s">
        <v>250</v>
      </c>
      <c r="C29" s="139">
        <f>+C30+C34+C35+C36</f>
        <v>366438</v>
      </c>
    </row>
    <row r="30" spans="1:3" s="43" customFormat="1" ht="12" customHeight="1">
      <c r="A30" s="234" t="s">
        <v>251</v>
      </c>
      <c r="B30" s="218" t="s">
        <v>569</v>
      </c>
      <c r="C30" s="213">
        <f>SUM(C31:C33)</f>
        <v>323618</v>
      </c>
    </row>
    <row r="31" spans="1:3" s="43" customFormat="1" ht="12" customHeight="1">
      <c r="A31" s="235" t="s">
        <v>252</v>
      </c>
      <c r="B31" s="219" t="s">
        <v>257</v>
      </c>
      <c r="C31" s="138">
        <v>83000</v>
      </c>
    </row>
    <row r="32" spans="1:3" s="43" customFormat="1" ht="12" customHeight="1">
      <c r="A32" s="235" t="s">
        <v>253</v>
      </c>
      <c r="B32" s="219" t="s">
        <v>20</v>
      </c>
      <c r="C32" s="510">
        <f>237500+2978</f>
        <v>240478</v>
      </c>
    </row>
    <row r="33" spans="1:3" s="43" customFormat="1" ht="12" customHeight="1">
      <c r="A33" s="235" t="s">
        <v>510</v>
      </c>
      <c r="B33" s="219" t="s">
        <v>17</v>
      </c>
      <c r="C33" s="138">
        <v>140</v>
      </c>
    </row>
    <row r="34" spans="1:3" s="43" customFormat="1" ht="12" customHeight="1">
      <c r="A34" s="235" t="s">
        <v>254</v>
      </c>
      <c r="B34" s="219" t="s">
        <v>259</v>
      </c>
      <c r="C34" s="138">
        <v>28200</v>
      </c>
    </row>
    <row r="35" spans="1:3" s="43" customFormat="1" ht="12" customHeight="1">
      <c r="A35" s="235" t="s">
        <v>255</v>
      </c>
      <c r="B35" s="219" t="s">
        <v>260</v>
      </c>
      <c r="C35" s="138">
        <v>5620</v>
      </c>
    </row>
    <row r="36" spans="1:3" s="43" customFormat="1" ht="12" customHeight="1" thickBot="1">
      <c r="A36" s="236" t="s">
        <v>256</v>
      </c>
      <c r="B36" s="220" t="s">
        <v>261</v>
      </c>
      <c r="C36" s="207">
        <v>9000</v>
      </c>
    </row>
    <row r="37" spans="1:3" s="43" customFormat="1" ht="12" customHeight="1" thickBot="1">
      <c r="A37" s="26" t="s">
        <v>87</v>
      </c>
      <c r="B37" s="20" t="s">
        <v>512</v>
      </c>
      <c r="C37" s="134">
        <f>SUM(C38:C48)</f>
        <v>43852</v>
      </c>
    </row>
    <row r="38" spans="1:3" s="43" customFormat="1" ht="12" customHeight="1">
      <c r="A38" s="234" t="s">
        <v>147</v>
      </c>
      <c r="B38" s="218" t="s">
        <v>264</v>
      </c>
      <c r="C38" s="258">
        <v>5350</v>
      </c>
    </row>
    <row r="39" spans="1:3" s="43" customFormat="1" ht="12" customHeight="1">
      <c r="A39" s="235" t="s">
        <v>148</v>
      </c>
      <c r="B39" s="219" t="s">
        <v>265</v>
      </c>
      <c r="C39" s="138">
        <v>23206</v>
      </c>
    </row>
    <row r="40" spans="1:3" s="43" customFormat="1" ht="12" customHeight="1">
      <c r="A40" s="235" t="s">
        <v>149</v>
      </c>
      <c r="B40" s="219" t="s">
        <v>266</v>
      </c>
      <c r="C40" s="138">
        <v>8027</v>
      </c>
    </row>
    <row r="41" spans="1:3" s="43" customFormat="1" ht="12" customHeight="1">
      <c r="A41" s="235" t="s">
        <v>193</v>
      </c>
      <c r="B41" s="219" t="s">
        <v>267</v>
      </c>
      <c r="C41" s="138">
        <v>376</v>
      </c>
    </row>
    <row r="42" spans="1:3" s="43" customFormat="1" ht="12" customHeight="1">
      <c r="A42" s="235" t="s">
        <v>194</v>
      </c>
      <c r="B42" s="219" t="s">
        <v>268</v>
      </c>
      <c r="C42" s="138"/>
    </row>
    <row r="43" spans="1:3" s="43" customFormat="1" ht="12" customHeight="1">
      <c r="A43" s="235" t="s">
        <v>195</v>
      </c>
      <c r="B43" s="219" t="s">
        <v>269</v>
      </c>
      <c r="C43" s="138">
        <v>5593</v>
      </c>
    </row>
    <row r="44" spans="1:3" s="43" customFormat="1" ht="12" customHeight="1">
      <c r="A44" s="235" t="s">
        <v>196</v>
      </c>
      <c r="B44" s="219" t="s">
        <v>270</v>
      </c>
      <c r="C44" s="138"/>
    </row>
    <row r="45" spans="1:3" s="43" customFormat="1" ht="12" customHeight="1">
      <c r="A45" s="235" t="s">
        <v>197</v>
      </c>
      <c r="B45" s="219" t="s">
        <v>271</v>
      </c>
      <c r="C45" s="138"/>
    </row>
    <row r="46" spans="1:3" s="43" customFormat="1" ht="12" customHeight="1">
      <c r="A46" s="235" t="s">
        <v>262</v>
      </c>
      <c r="B46" s="219" t="s">
        <v>272</v>
      </c>
      <c r="C46" s="138"/>
    </row>
    <row r="47" spans="1:3" s="43" customFormat="1" ht="12" customHeight="1">
      <c r="A47" s="236" t="s">
        <v>263</v>
      </c>
      <c r="B47" s="220" t="s">
        <v>513</v>
      </c>
      <c r="C47" s="207">
        <v>500</v>
      </c>
    </row>
    <row r="48" spans="1:3" s="43" customFormat="1" ht="12" customHeight="1" thickBot="1">
      <c r="A48" s="236" t="s">
        <v>514</v>
      </c>
      <c r="B48" s="220" t="s">
        <v>273</v>
      </c>
      <c r="C48" s="207">
        <v>800</v>
      </c>
    </row>
    <row r="49" spans="1:3" s="43" customFormat="1" ht="12" customHeight="1" thickBot="1">
      <c r="A49" s="26" t="s">
        <v>88</v>
      </c>
      <c r="B49" s="20" t="s">
        <v>274</v>
      </c>
      <c r="C49" s="134">
        <f>SUM(C50:C54)</f>
        <v>35543</v>
      </c>
    </row>
    <row r="50" spans="1:3" s="43" customFormat="1" ht="12" customHeight="1">
      <c r="A50" s="234" t="s">
        <v>150</v>
      </c>
      <c r="B50" s="218" t="s">
        <v>278</v>
      </c>
      <c r="C50" s="258"/>
    </row>
    <row r="51" spans="1:3" s="43" customFormat="1" ht="12" customHeight="1">
      <c r="A51" s="235" t="s">
        <v>151</v>
      </c>
      <c r="B51" s="219" t="s">
        <v>279</v>
      </c>
      <c r="C51" s="138">
        <v>35543</v>
      </c>
    </row>
    <row r="52" spans="1:3" s="43" customFormat="1" ht="12" customHeight="1">
      <c r="A52" s="235" t="s">
        <v>275</v>
      </c>
      <c r="B52" s="219" t="s">
        <v>280</v>
      </c>
      <c r="C52" s="138"/>
    </row>
    <row r="53" spans="1:3" s="43" customFormat="1" ht="12" customHeight="1">
      <c r="A53" s="235" t="s">
        <v>276</v>
      </c>
      <c r="B53" s="219" t="s">
        <v>281</v>
      </c>
      <c r="C53" s="138"/>
    </row>
    <row r="54" spans="1:3" s="43" customFormat="1" ht="12" customHeight="1" thickBot="1">
      <c r="A54" s="236" t="s">
        <v>277</v>
      </c>
      <c r="B54" s="220" t="s">
        <v>282</v>
      </c>
      <c r="C54" s="207"/>
    </row>
    <row r="55" spans="1:3" s="43" customFormat="1" ht="12" customHeight="1" thickBot="1">
      <c r="A55" s="26" t="s">
        <v>198</v>
      </c>
      <c r="B55" s="20" t="s">
        <v>283</v>
      </c>
      <c r="C55" s="134">
        <f>SUM(C56:C58)</f>
        <v>13887</v>
      </c>
    </row>
    <row r="56" spans="1:3" s="43" customFormat="1" ht="12" customHeight="1">
      <c r="A56" s="234" t="s">
        <v>152</v>
      </c>
      <c r="B56" s="218" t="s">
        <v>284</v>
      </c>
      <c r="C56" s="136"/>
    </row>
    <row r="57" spans="1:3" s="43" customFormat="1" ht="12" customHeight="1">
      <c r="A57" s="235" t="s">
        <v>153</v>
      </c>
      <c r="B57" s="219" t="s">
        <v>402</v>
      </c>
      <c r="C57" s="138">
        <v>1000</v>
      </c>
    </row>
    <row r="58" spans="1:3" s="43" customFormat="1" ht="12" customHeight="1">
      <c r="A58" s="235" t="s">
        <v>287</v>
      </c>
      <c r="B58" s="219" t="s">
        <v>285</v>
      </c>
      <c r="C58" s="138">
        <v>12887</v>
      </c>
    </row>
    <row r="59" spans="1:3" s="43" customFormat="1" ht="12" customHeight="1" thickBot="1">
      <c r="A59" s="236" t="s">
        <v>288</v>
      </c>
      <c r="B59" s="220" t="s">
        <v>286</v>
      </c>
      <c r="C59" s="137"/>
    </row>
    <row r="60" spans="1:3" s="43" customFormat="1" ht="12" customHeight="1" thickBot="1">
      <c r="A60" s="26" t="s">
        <v>90</v>
      </c>
      <c r="B60" s="129" t="s">
        <v>289</v>
      </c>
      <c r="C60" s="134">
        <f>SUM(C61:C63)</f>
        <v>0</v>
      </c>
    </row>
    <row r="61" spans="1:3" s="43" customFormat="1" ht="12" customHeight="1">
      <c r="A61" s="234" t="s">
        <v>199</v>
      </c>
      <c r="B61" s="218" t="s">
        <v>291</v>
      </c>
      <c r="C61" s="138"/>
    </row>
    <row r="62" spans="1:3" s="43" customFormat="1" ht="12" customHeight="1">
      <c r="A62" s="235" t="s">
        <v>200</v>
      </c>
      <c r="B62" s="219" t="s">
        <v>403</v>
      </c>
      <c r="C62" s="138"/>
    </row>
    <row r="63" spans="1:3" s="43" customFormat="1" ht="12" customHeight="1">
      <c r="A63" s="235" t="s">
        <v>223</v>
      </c>
      <c r="B63" s="219" t="s">
        <v>292</v>
      </c>
      <c r="C63" s="138"/>
    </row>
    <row r="64" spans="1:3" s="43" customFormat="1" ht="12" customHeight="1" thickBot="1">
      <c r="A64" s="236" t="s">
        <v>290</v>
      </c>
      <c r="B64" s="220" t="s">
        <v>293</v>
      </c>
      <c r="C64" s="138"/>
    </row>
    <row r="65" spans="1:3" s="43" customFormat="1" ht="12" customHeight="1" thickBot="1">
      <c r="A65" s="26" t="s">
        <v>91</v>
      </c>
      <c r="B65" s="20" t="s">
        <v>294</v>
      </c>
      <c r="C65" s="139">
        <f>+C8+C15+C22+C29+C37+C49+C55+C60</f>
        <v>2163904</v>
      </c>
    </row>
    <row r="66" spans="1:3" s="43" customFormat="1" ht="12" customHeight="1" thickBot="1">
      <c r="A66" s="237" t="s">
        <v>373</v>
      </c>
      <c r="B66" s="129" t="s">
        <v>296</v>
      </c>
      <c r="C66" s="134">
        <f>SUM(C67:C69)</f>
        <v>10303</v>
      </c>
    </row>
    <row r="67" spans="1:3" s="43" customFormat="1" ht="12" customHeight="1">
      <c r="A67" s="234" t="s">
        <v>327</v>
      </c>
      <c r="B67" s="218" t="s">
        <v>297</v>
      </c>
      <c r="C67" s="138">
        <v>10303</v>
      </c>
    </row>
    <row r="68" spans="1:3" s="43" customFormat="1" ht="12" customHeight="1">
      <c r="A68" s="235" t="s">
        <v>336</v>
      </c>
      <c r="B68" s="219" t="s">
        <v>298</v>
      </c>
      <c r="C68" s="138"/>
    </row>
    <row r="69" spans="1:3" s="43" customFormat="1" ht="12" customHeight="1" thickBot="1">
      <c r="A69" s="236" t="s">
        <v>337</v>
      </c>
      <c r="B69" s="221" t="s">
        <v>299</v>
      </c>
      <c r="C69" s="138"/>
    </row>
    <row r="70" spans="1:3" s="43" customFormat="1" ht="12" customHeight="1" thickBot="1">
      <c r="A70" s="237" t="s">
        <v>300</v>
      </c>
      <c r="B70" s="129" t="s">
        <v>301</v>
      </c>
      <c r="C70" s="134">
        <f>SUM(C71:C74)</f>
        <v>0</v>
      </c>
    </row>
    <row r="71" spans="1:3" s="43" customFormat="1" ht="12" customHeight="1">
      <c r="A71" s="234" t="s">
        <v>179</v>
      </c>
      <c r="B71" s="218" t="s">
        <v>302</v>
      </c>
      <c r="C71" s="138"/>
    </row>
    <row r="72" spans="1:3" s="43" customFormat="1" ht="12" customHeight="1">
      <c r="A72" s="235" t="s">
        <v>180</v>
      </c>
      <c r="B72" s="219" t="s">
        <v>303</v>
      </c>
      <c r="C72" s="138"/>
    </row>
    <row r="73" spans="1:3" s="43" customFormat="1" ht="12" customHeight="1">
      <c r="A73" s="235" t="s">
        <v>328</v>
      </c>
      <c r="B73" s="219" t="s">
        <v>304</v>
      </c>
      <c r="C73" s="138"/>
    </row>
    <row r="74" spans="1:3" s="43" customFormat="1" ht="12" customHeight="1" thickBot="1">
      <c r="A74" s="236" t="s">
        <v>329</v>
      </c>
      <c r="B74" s="220" t="s">
        <v>305</v>
      </c>
      <c r="C74" s="138"/>
    </row>
    <row r="75" spans="1:3" s="43" customFormat="1" ht="12" customHeight="1" thickBot="1">
      <c r="A75" s="237" t="s">
        <v>306</v>
      </c>
      <c r="B75" s="129" t="s">
        <v>307</v>
      </c>
      <c r="C75" s="134">
        <f>SUM(C76:C77)</f>
        <v>257029</v>
      </c>
    </row>
    <row r="76" spans="1:3" s="43" customFormat="1" ht="12" customHeight="1">
      <c r="A76" s="234" t="s">
        <v>330</v>
      </c>
      <c r="B76" s="218" t="s">
        <v>308</v>
      </c>
      <c r="C76" s="138">
        <v>257029</v>
      </c>
    </row>
    <row r="77" spans="1:3" s="43" customFormat="1" ht="12" customHeight="1" thickBot="1">
      <c r="A77" s="236" t="s">
        <v>331</v>
      </c>
      <c r="B77" s="220" t="s">
        <v>309</v>
      </c>
      <c r="C77" s="138"/>
    </row>
    <row r="78" spans="1:3" s="42" customFormat="1" ht="12" customHeight="1" thickBot="1">
      <c r="A78" s="237" t="s">
        <v>310</v>
      </c>
      <c r="B78" s="129" t="s">
        <v>311</v>
      </c>
      <c r="C78" s="134">
        <f>SUM(C79:C81)</f>
        <v>35165</v>
      </c>
    </row>
    <row r="79" spans="1:3" s="43" customFormat="1" ht="12" customHeight="1">
      <c r="A79" s="234" t="s">
        <v>332</v>
      </c>
      <c r="B79" s="218" t="s">
        <v>312</v>
      </c>
      <c r="C79" s="510">
        <v>35165</v>
      </c>
    </row>
    <row r="80" spans="1:3" s="43" customFormat="1" ht="12" customHeight="1">
      <c r="A80" s="235" t="s">
        <v>333</v>
      </c>
      <c r="B80" s="219" t="s">
        <v>313</v>
      </c>
      <c r="C80" s="138"/>
    </row>
    <row r="81" spans="1:3" s="43" customFormat="1" ht="12" customHeight="1" thickBot="1">
      <c r="A81" s="236" t="s">
        <v>334</v>
      </c>
      <c r="B81" s="220" t="s">
        <v>314</v>
      </c>
      <c r="C81" s="138"/>
    </row>
    <row r="82" spans="1:3" s="43" customFormat="1" ht="12" customHeight="1" thickBot="1">
      <c r="A82" s="237" t="s">
        <v>315</v>
      </c>
      <c r="B82" s="129" t="s">
        <v>335</v>
      </c>
      <c r="C82" s="134">
        <f>SUM(C83:C86)</f>
        <v>0</v>
      </c>
    </row>
    <row r="83" spans="1:3" s="43" customFormat="1" ht="12" customHeight="1">
      <c r="A83" s="238" t="s">
        <v>316</v>
      </c>
      <c r="B83" s="218" t="s">
        <v>317</v>
      </c>
      <c r="C83" s="138"/>
    </row>
    <row r="84" spans="1:3" s="43" customFormat="1" ht="12" customHeight="1">
      <c r="A84" s="239" t="s">
        <v>318</v>
      </c>
      <c r="B84" s="219" t="s">
        <v>319</v>
      </c>
      <c r="C84" s="138"/>
    </row>
    <row r="85" spans="1:3" s="43" customFormat="1" ht="12" customHeight="1">
      <c r="A85" s="239" t="s">
        <v>320</v>
      </c>
      <c r="B85" s="219" t="s">
        <v>321</v>
      </c>
      <c r="C85" s="138"/>
    </row>
    <row r="86" spans="1:3" s="42" customFormat="1" ht="12" customHeight="1" thickBot="1">
      <c r="A86" s="240" t="s">
        <v>322</v>
      </c>
      <c r="B86" s="220" t="s">
        <v>323</v>
      </c>
      <c r="C86" s="138"/>
    </row>
    <row r="87" spans="1:3" s="42" customFormat="1" ht="12" customHeight="1" thickBot="1">
      <c r="A87" s="237" t="s">
        <v>324</v>
      </c>
      <c r="B87" s="129" t="s">
        <v>517</v>
      </c>
      <c r="C87" s="259"/>
    </row>
    <row r="88" spans="1:3" s="42" customFormat="1" ht="12" customHeight="1" thickBot="1">
      <c r="A88" s="237" t="s">
        <v>570</v>
      </c>
      <c r="B88" s="129" t="s">
        <v>325</v>
      </c>
      <c r="C88" s="259"/>
    </row>
    <row r="89" spans="1:3" s="42" customFormat="1" ht="12" customHeight="1" thickBot="1">
      <c r="A89" s="237" t="s">
        <v>571</v>
      </c>
      <c r="B89" s="225" t="s">
        <v>518</v>
      </c>
      <c r="C89" s="139">
        <f>+C66+C70+C75+C78+C82+C88+C87</f>
        <v>302497</v>
      </c>
    </row>
    <row r="90" spans="1:3" s="42" customFormat="1" ht="12" customHeight="1" thickBot="1">
      <c r="A90" s="241" t="s">
        <v>572</v>
      </c>
      <c r="B90" s="226" t="s">
        <v>573</v>
      </c>
      <c r="C90" s="139">
        <f>+C65+C89</f>
        <v>2466401</v>
      </c>
    </row>
    <row r="91" spans="1:3" s="43" customFormat="1" ht="15" customHeight="1" thickBot="1">
      <c r="A91" s="108"/>
      <c r="B91" s="109"/>
      <c r="C91" s="191"/>
    </row>
    <row r="92" spans="1:3" s="35" customFormat="1" ht="16.5" customHeight="1" thickBot="1">
      <c r="A92" s="112"/>
      <c r="B92" s="113" t="s">
        <v>121</v>
      </c>
      <c r="C92" s="193"/>
    </row>
    <row r="93" spans="1:3" s="44" customFormat="1" ht="12" customHeight="1" thickBot="1">
      <c r="A93" s="210" t="s">
        <v>83</v>
      </c>
      <c r="B93" s="25" t="s">
        <v>584</v>
      </c>
      <c r="C93" s="133">
        <f>+C94+C95+C96+C97+C98+C111</f>
        <v>1282236</v>
      </c>
    </row>
    <row r="94" spans="1:3" ht="12" customHeight="1">
      <c r="A94" s="242" t="s">
        <v>154</v>
      </c>
      <c r="B94" s="9" t="s">
        <v>112</v>
      </c>
      <c r="C94" s="511">
        <f>634959-201-540+62</f>
        <v>634280</v>
      </c>
    </row>
    <row r="95" spans="1:3" ht="12" customHeight="1">
      <c r="A95" s="235" t="s">
        <v>155</v>
      </c>
      <c r="B95" s="7" t="s">
        <v>201</v>
      </c>
      <c r="C95" s="510">
        <f>88466-55-62</f>
        <v>88349</v>
      </c>
    </row>
    <row r="96" spans="1:3" ht="12" customHeight="1">
      <c r="A96" s="235" t="s">
        <v>156</v>
      </c>
      <c r="B96" s="7" t="s">
        <v>177</v>
      </c>
      <c r="C96" s="457">
        <f>232890-6510+540-22</f>
        <v>226898</v>
      </c>
    </row>
    <row r="97" spans="1:3" ht="12" customHeight="1">
      <c r="A97" s="235" t="s">
        <v>157</v>
      </c>
      <c r="B97" s="10" t="s">
        <v>202</v>
      </c>
      <c r="C97" s="207">
        <v>52365</v>
      </c>
    </row>
    <row r="98" spans="1:3" ht="12" customHeight="1">
      <c r="A98" s="235" t="s">
        <v>168</v>
      </c>
      <c r="B98" s="18" t="s">
        <v>203</v>
      </c>
      <c r="C98" s="457">
        <f>159128+22</f>
        <v>159150</v>
      </c>
    </row>
    <row r="99" spans="1:3" ht="12" customHeight="1">
      <c r="A99" s="235" t="s">
        <v>158</v>
      </c>
      <c r="B99" s="7" t="s">
        <v>574</v>
      </c>
      <c r="C99" s="207">
        <f>6599</f>
        <v>6599</v>
      </c>
    </row>
    <row r="100" spans="1:3" ht="12" customHeight="1">
      <c r="A100" s="235" t="s">
        <v>159</v>
      </c>
      <c r="B100" s="70" t="s">
        <v>522</v>
      </c>
      <c r="C100" s="457"/>
    </row>
    <row r="101" spans="1:3" ht="12" customHeight="1">
      <c r="A101" s="235" t="s">
        <v>169</v>
      </c>
      <c r="B101" s="70" t="s">
        <v>523</v>
      </c>
      <c r="C101" s="457"/>
    </row>
    <row r="102" spans="1:3" ht="12" customHeight="1">
      <c r="A102" s="235" t="s">
        <v>170</v>
      </c>
      <c r="B102" s="70" t="s">
        <v>341</v>
      </c>
      <c r="C102" s="457"/>
    </row>
    <row r="103" spans="1:3" ht="12" customHeight="1">
      <c r="A103" s="235" t="s">
        <v>171</v>
      </c>
      <c r="B103" s="71" t="s">
        <v>342</v>
      </c>
      <c r="C103" s="457"/>
    </row>
    <row r="104" spans="1:3" ht="12" customHeight="1">
      <c r="A104" s="235" t="s">
        <v>172</v>
      </c>
      <c r="B104" s="71" t="s">
        <v>343</v>
      </c>
      <c r="C104" s="457"/>
    </row>
    <row r="105" spans="1:3" ht="12" customHeight="1">
      <c r="A105" s="235" t="s">
        <v>174</v>
      </c>
      <c r="B105" s="70" t="s">
        <v>344</v>
      </c>
      <c r="C105" s="457">
        <f>104176+22</f>
        <v>104198</v>
      </c>
    </row>
    <row r="106" spans="1:3" ht="12" customHeight="1">
      <c r="A106" s="235" t="s">
        <v>204</v>
      </c>
      <c r="B106" s="70" t="s">
        <v>345</v>
      </c>
      <c r="C106" s="207"/>
    </row>
    <row r="107" spans="1:3" ht="12" customHeight="1">
      <c r="A107" s="235" t="s">
        <v>339</v>
      </c>
      <c r="B107" s="71" t="s">
        <v>346</v>
      </c>
      <c r="C107" s="207"/>
    </row>
    <row r="108" spans="1:3" ht="12" customHeight="1">
      <c r="A108" s="243" t="s">
        <v>340</v>
      </c>
      <c r="B108" s="72" t="s">
        <v>347</v>
      </c>
      <c r="C108" s="207"/>
    </row>
    <row r="109" spans="1:3" ht="12" customHeight="1">
      <c r="A109" s="235" t="s">
        <v>524</v>
      </c>
      <c r="B109" s="72" t="s">
        <v>348</v>
      </c>
      <c r="C109" s="207"/>
    </row>
    <row r="110" spans="1:3" ht="12" customHeight="1">
      <c r="A110" s="235" t="s">
        <v>525</v>
      </c>
      <c r="B110" s="71" t="s">
        <v>349</v>
      </c>
      <c r="C110" s="138">
        <v>48353</v>
      </c>
    </row>
    <row r="111" spans="1:3" ht="12" customHeight="1">
      <c r="A111" s="235" t="s">
        <v>526</v>
      </c>
      <c r="B111" s="10" t="s">
        <v>113</v>
      </c>
      <c r="C111" s="138">
        <f>SUM(C112:C113)</f>
        <v>121194</v>
      </c>
    </row>
    <row r="112" spans="1:3" ht="12" customHeight="1">
      <c r="A112" s="236" t="s">
        <v>527</v>
      </c>
      <c r="B112" s="7" t="s">
        <v>575</v>
      </c>
      <c r="C112" s="457">
        <f>908+36504</f>
        <v>37412</v>
      </c>
    </row>
    <row r="113" spans="1:3" ht="12" customHeight="1" thickBot="1">
      <c r="A113" s="244" t="s">
        <v>529</v>
      </c>
      <c r="B113" s="73" t="s">
        <v>576</v>
      </c>
      <c r="C113" s="540">
        <v>83782</v>
      </c>
    </row>
    <row r="114" spans="1:3" ht="12" customHeight="1" thickBot="1">
      <c r="A114" s="26" t="s">
        <v>84</v>
      </c>
      <c r="B114" s="24" t="s">
        <v>350</v>
      </c>
      <c r="C114" s="134">
        <f>+C115+C117+C119</f>
        <v>99457</v>
      </c>
    </row>
    <row r="115" spans="1:3" ht="12" customHeight="1">
      <c r="A115" s="234" t="s">
        <v>160</v>
      </c>
      <c r="B115" s="7" t="s">
        <v>221</v>
      </c>
      <c r="C115" s="258">
        <v>46697</v>
      </c>
    </row>
    <row r="116" spans="1:3" ht="12" customHeight="1">
      <c r="A116" s="234" t="s">
        <v>161</v>
      </c>
      <c r="B116" s="11" t="s">
        <v>354</v>
      </c>
      <c r="C116" s="258"/>
    </row>
    <row r="117" spans="1:3" ht="12" customHeight="1">
      <c r="A117" s="234" t="s">
        <v>162</v>
      </c>
      <c r="B117" s="11" t="s">
        <v>205</v>
      </c>
      <c r="C117" s="138">
        <v>42415</v>
      </c>
    </row>
    <row r="118" spans="1:3" ht="12" customHeight="1">
      <c r="A118" s="234" t="s">
        <v>163</v>
      </c>
      <c r="B118" s="11" t="s">
        <v>355</v>
      </c>
      <c r="C118" s="459"/>
    </row>
    <row r="119" spans="1:3" ht="12" customHeight="1">
      <c r="A119" s="234" t="s">
        <v>164</v>
      </c>
      <c r="B119" s="131" t="s">
        <v>224</v>
      </c>
      <c r="C119" s="459">
        <v>10345</v>
      </c>
    </row>
    <row r="120" spans="1:3" ht="12" customHeight="1">
      <c r="A120" s="234" t="s">
        <v>173</v>
      </c>
      <c r="B120" s="130" t="s">
        <v>404</v>
      </c>
      <c r="C120" s="459"/>
    </row>
    <row r="121" spans="1:3" ht="12" customHeight="1">
      <c r="A121" s="234" t="s">
        <v>175</v>
      </c>
      <c r="B121" s="214" t="s">
        <v>360</v>
      </c>
      <c r="C121" s="459"/>
    </row>
    <row r="122" spans="1:3" ht="12" customHeight="1">
      <c r="A122" s="234" t="s">
        <v>206</v>
      </c>
      <c r="B122" s="71" t="s">
        <v>343</v>
      </c>
      <c r="C122" s="459"/>
    </row>
    <row r="123" spans="1:3" ht="12" customHeight="1">
      <c r="A123" s="234" t="s">
        <v>207</v>
      </c>
      <c r="B123" s="71" t="s">
        <v>359</v>
      </c>
      <c r="C123" s="459"/>
    </row>
    <row r="124" spans="1:3" ht="12" customHeight="1">
      <c r="A124" s="234" t="s">
        <v>208</v>
      </c>
      <c r="B124" s="71" t="s">
        <v>358</v>
      </c>
      <c r="C124" s="459"/>
    </row>
    <row r="125" spans="1:3" ht="12" customHeight="1">
      <c r="A125" s="234" t="s">
        <v>351</v>
      </c>
      <c r="B125" s="71" t="s">
        <v>346</v>
      </c>
      <c r="C125" s="459"/>
    </row>
    <row r="126" spans="1:3" ht="12" customHeight="1">
      <c r="A126" s="234" t="s">
        <v>352</v>
      </c>
      <c r="B126" s="71" t="s">
        <v>357</v>
      </c>
      <c r="C126" s="459"/>
    </row>
    <row r="127" spans="1:3" ht="12" customHeight="1" thickBot="1">
      <c r="A127" s="243" t="s">
        <v>353</v>
      </c>
      <c r="B127" s="71" t="s">
        <v>356</v>
      </c>
      <c r="C127" s="487">
        <v>10345</v>
      </c>
    </row>
    <row r="128" spans="1:6" ht="12" customHeight="1" thickBot="1">
      <c r="A128" s="26" t="s">
        <v>85</v>
      </c>
      <c r="B128" s="66" t="s">
        <v>531</v>
      </c>
      <c r="C128" s="134">
        <f>+C93+C114</f>
        <v>1381693</v>
      </c>
      <c r="F128" s="494"/>
    </row>
    <row r="129" spans="1:3" ht="12" customHeight="1" thickBot="1">
      <c r="A129" s="26" t="s">
        <v>86</v>
      </c>
      <c r="B129" s="66" t="s">
        <v>532</v>
      </c>
      <c r="C129" s="134">
        <f>+C130+C131+C132</f>
        <v>0</v>
      </c>
    </row>
    <row r="130" spans="1:3" s="44" customFormat="1" ht="12" customHeight="1">
      <c r="A130" s="234" t="s">
        <v>251</v>
      </c>
      <c r="B130" s="8" t="s">
        <v>577</v>
      </c>
      <c r="C130" s="459"/>
    </row>
    <row r="131" spans="1:3" ht="12" customHeight="1">
      <c r="A131" s="234" t="s">
        <v>254</v>
      </c>
      <c r="B131" s="8" t="s">
        <v>534</v>
      </c>
      <c r="C131" s="121"/>
    </row>
    <row r="132" spans="1:3" ht="12" customHeight="1" thickBot="1">
      <c r="A132" s="243" t="s">
        <v>255</v>
      </c>
      <c r="B132" s="6" t="s">
        <v>578</v>
      </c>
      <c r="C132" s="121"/>
    </row>
    <row r="133" spans="1:3" ht="12" customHeight="1" thickBot="1">
      <c r="A133" s="26" t="s">
        <v>87</v>
      </c>
      <c r="B133" s="66" t="s">
        <v>536</v>
      </c>
      <c r="C133" s="134">
        <f>+C134+C135+C136+C137+C138+C139</f>
        <v>0</v>
      </c>
    </row>
    <row r="134" spans="1:3" ht="12" customHeight="1">
      <c r="A134" s="234" t="s">
        <v>147</v>
      </c>
      <c r="B134" s="8" t="s">
        <v>537</v>
      </c>
      <c r="C134" s="121"/>
    </row>
    <row r="135" spans="1:3" ht="12" customHeight="1">
      <c r="A135" s="234" t="s">
        <v>148</v>
      </c>
      <c r="B135" s="8" t="s">
        <v>538</v>
      </c>
      <c r="C135" s="121"/>
    </row>
    <row r="136" spans="1:3" ht="12" customHeight="1">
      <c r="A136" s="234" t="s">
        <v>149</v>
      </c>
      <c r="B136" s="8" t="s">
        <v>539</v>
      </c>
      <c r="C136" s="121"/>
    </row>
    <row r="137" spans="1:3" ht="12" customHeight="1">
      <c r="A137" s="234" t="s">
        <v>193</v>
      </c>
      <c r="B137" s="8" t="s">
        <v>579</v>
      </c>
      <c r="C137" s="121"/>
    </row>
    <row r="138" spans="1:3" ht="12" customHeight="1">
      <c r="A138" s="234" t="s">
        <v>194</v>
      </c>
      <c r="B138" s="8" t="s">
        <v>541</v>
      </c>
      <c r="C138" s="121"/>
    </row>
    <row r="139" spans="1:3" s="44" customFormat="1" ht="12" customHeight="1" thickBot="1">
      <c r="A139" s="243" t="s">
        <v>195</v>
      </c>
      <c r="B139" s="6" t="s">
        <v>542</v>
      </c>
      <c r="C139" s="121"/>
    </row>
    <row r="140" spans="1:11" ht="12" customHeight="1" thickBot="1">
      <c r="A140" s="26" t="s">
        <v>88</v>
      </c>
      <c r="B140" s="66" t="s">
        <v>580</v>
      </c>
      <c r="C140" s="139">
        <f>+C141+C142+C144+C145+C143</f>
        <v>33302</v>
      </c>
      <c r="K140" s="120"/>
    </row>
    <row r="141" spans="1:3" ht="12.75">
      <c r="A141" s="234" t="s">
        <v>150</v>
      </c>
      <c r="B141" s="8" t="s">
        <v>361</v>
      </c>
      <c r="C141" s="121"/>
    </row>
    <row r="142" spans="1:3" ht="12" customHeight="1">
      <c r="A142" s="234" t="s">
        <v>151</v>
      </c>
      <c r="B142" s="8" t="s">
        <v>362</v>
      </c>
      <c r="C142" s="121">
        <v>33302</v>
      </c>
    </row>
    <row r="143" spans="1:3" s="44" customFormat="1" ht="12" customHeight="1">
      <c r="A143" s="234" t="s">
        <v>275</v>
      </c>
      <c r="B143" s="8" t="s">
        <v>581</v>
      </c>
      <c r="C143" s="121"/>
    </row>
    <row r="144" spans="1:3" s="44" customFormat="1" ht="12" customHeight="1">
      <c r="A144" s="234" t="s">
        <v>276</v>
      </c>
      <c r="B144" s="8" t="s">
        <v>544</v>
      </c>
      <c r="C144" s="121"/>
    </row>
    <row r="145" spans="1:3" s="44" customFormat="1" ht="12" customHeight="1" thickBot="1">
      <c r="A145" s="243" t="s">
        <v>277</v>
      </c>
      <c r="B145" s="6" t="s">
        <v>372</v>
      </c>
      <c r="C145" s="121"/>
    </row>
    <row r="146" spans="1:3" s="44" customFormat="1" ht="12" customHeight="1" thickBot="1">
      <c r="A146" s="26" t="s">
        <v>89</v>
      </c>
      <c r="B146" s="66" t="s">
        <v>545</v>
      </c>
      <c r="C146" s="142">
        <f>+C147+C148+C149+C150+C151</f>
        <v>0</v>
      </c>
    </row>
    <row r="147" spans="1:3" s="44" customFormat="1" ht="12" customHeight="1">
      <c r="A147" s="234" t="s">
        <v>152</v>
      </c>
      <c r="B147" s="8" t="s">
        <v>546</v>
      </c>
      <c r="C147" s="121"/>
    </row>
    <row r="148" spans="1:3" s="44" customFormat="1" ht="12" customHeight="1">
      <c r="A148" s="234" t="s">
        <v>153</v>
      </c>
      <c r="B148" s="8" t="s">
        <v>547</v>
      </c>
      <c r="C148" s="121"/>
    </row>
    <row r="149" spans="1:3" s="44" customFormat="1" ht="12" customHeight="1">
      <c r="A149" s="234" t="s">
        <v>287</v>
      </c>
      <c r="B149" s="8" t="s">
        <v>548</v>
      </c>
      <c r="C149" s="121"/>
    </row>
    <row r="150" spans="1:3" ht="12.75" customHeight="1">
      <c r="A150" s="234" t="s">
        <v>288</v>
      </c>
      <c r="B150" s="8" t="s">
        <v>582</v>
      </c>
      <c r="C150" s="121"/>
    </row>
    <row r="151" spans="1:3" ht="12.75" customHeight="1" thickBot="1">
      <c r="A151" s="243" t="s">
        <v>550</v>
      </c>
      <c r="B151" s="6" t="s">
        <v>551</v>
      </c>
      <c r="C151" s="122"/>
    </row>
    <row r="152" spans="1:3" ht="12.75" customHeight="1" thickBot="1">
      <c r="A152" s="448" t="s">
        <v>90</v>
      </c>
      <c r="B152" s="66" t="s">
        <v>552</v>
      </c>
      <c r="C152" s="142"/>
    </row>
    <row r="153" spans="1:3" ht="12" customHeight="1" thickBot="1">
      <c r="A153" s="448" t="s">
        <v>91</v>
      </c>
      <c r="B153" s="66" t="s">
        <v>553</v>
      </c>
      <c r="C153" s="142"/>
    </row>
    <row r="154" spans="1:3" ht="15" customHeight="1" thickBot="1">
      <c r="A154" s="26" t="s">
        <v>92</v>
      </c>
      <c r="B154" s="66" t="s">
        <v>554</v>
      </c>
      <c r="C154" s="228">
        <f>+C129+C133+C140+C146+C152+C153</f>
        <v>33302</v>
      </c>
    </row>
    <row r="155" spans="1:3" ht="13.5" thickBot="1">
      <c r="A155" s="245" t="s">
        <v>93</v>
      </c>
      <c r="B155" s="200" t="s">
        <v>555</v>
      </c>
      <c r="C155" s="228">
        <f>+C128+C154</f>
        <v>1414995</v>
      </c>
    </row>
    <row r="156" ht="15" customHeight="1" thickBot="1"/>
    <row r="157" spans="1:3" ht="14.25" customHeight="1" thickBot="1">
      <c r="A157" s="117" t="s">
        <v>583</v>
      </c>
      <c r="B157" s="118"/>
      <c r="C157" s="65">
        <v>1</v>
      </c>
    </row>
    <row r="158" spans="1:3" ht="13.5" thickBot="1">
      <c r="A158" s="117" t="s">
        <v>216</v>
      </c>
      <c r="B158" s="118"/>
      <c r="C158" s="6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 5/2017.(II.20.) önkormányzati rendelethez</oddHeader>
  </headerFooter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3">
    <tabColor rgb="FF92D050"/>
  </sheetPr>
  <dimension ref="A1:K159"/>
  <sheetViews>
    <sheetView zoomScaleSheetLayoutView="85" workbookViewId="0" topLeftCell="A19">
      <selection activeCell="D9" sqref="D9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94"/>
      <c r="B1" s="96"/>
      <c r="C1" s="119"/>
    </row>
    <row r="2" spans="1:3" s="40" customFormat="1" ht="21" customHeight="1">
      <c r="A2" s="208" t="s">
        <v>127</v>
      </c>
      <c r="B2" s="182" t="s">
        <v>217</v>
      </c>
      <c r="C2" s="184" t="s">
        <v>116</v>
      </c>
    </row>
    <row r="3" spans="1:3" s="40" customFormat="1" ht="16.5" thickBot="1">
      <c r="A3" s="97" t="s">
        <v>213</v>
      </c>
      <c r="B3" s="183" t="s">
        <v>406</v>
      </c>
      <c r="C3" s="447" t="s">
        <v>125</v>
      </c>
    </row>
    <row r="4" spans="1:3" s="41" customFormat="1" ht="15.75" customHeight="1" thickBot="1">
      <c r="A4" s="98"/>
      <c r="B4" s="98"/>
      <c r="C4" s="99" t="s">
        <v>117</v>
      </c>
    </row>
    <row r="5" spans="1:3" ht="13.5" thickBot="1">
      <c r="A5" s="209" t="s">
        <v>215</v>
      </c>
      <c r="B5" s="100" t="s">
        <v>118</v>
      </c>
      <c r="C5" s="185" t="s">
        <v>119</v>
      </c>
    </row>
    <row r="6" spans="1:3" s="35" customFormat="1" ht="12.75" customHeight="1" thickBot="1">
      <c r="A6" s="90" t="s">
        <v>504</v>
      </c>
      <c r="B6" s="91" t="s">
        <v>505</v>
      </c>
      <c r="C6" s="92" t="s">
        <v>506</v>
      </c>
    </row>
    <row r="7" spans="1:3" s="35" customFormat="1" ht="15.75" customHeight="1" thickBot="1">
      <c r="A7" s="102"/>
      <c r="B7" s="103" t="s">
        <v>120</v>
      </c>
      <c r="C7" s="186"/>
    </row>
    <row r="8" spans="1:3" s="35" customFormat="1" ht="12" customHeight="1" thickBot="1">
      <c r="A8" s="26" t="s">
        <v>83</v>
      </c>
      <c r="B8" s="20" t="s">
        <v>235</v>
      </c>
      <c r="C8" s="134">
        <f>+C9+C10+C11+C12+C13+C14</f>
        <v>-2606</v>
      </c>
    </row>
    <row r="9" spans="1:3" s="42" customFormat="1" ht="12" customHeight="1">
      <c r="A9" s="234" t="s">
        <v>154</v>
      </c>
      <c r="B9" s="218" t="s">
        <v>236</v>
      </c>
      <c r="C9" s="136"/>
    </row>
    <row r="10" spans="1:3" s="43" customFormat="1" ht="12" customHeight="1">
      <c r="A10" s="235" t="s">
        <v>155</v>
      </c>
      <c r="B10" s="219" t="s">
        <v>237</v>
      </c>
      <c r="C10" s="135"/>
    </row>
    <row r="11" spans="1:3" s="43" customFormat="1" ht="12" customHeight="1">
      <c r="A11" s="235" t="s">
        <v>156</v>
      </c>
      <c r="B11" s="219" t="s">
        <v>238</v>
      </c>
      <c r="C11" s="510">
        <f>-2606</f>
        <v>-2606</v>
      </c>
    </row>
    <row r="12" spans="1:3" s="43" customFormat="1" ht="12" customHeight="1">
      <c r="A12" s="235" t="s">
        <v>157</v>
      </c>
      <c r="B12" s="219" t="s">
        <v>239</v>
      </c>
      <c r="C12" s="135"/>
    </row>
    <row r="13" spans="1:3" s="43" customFormat="1" ht="12" customHeight="1">
      <c r="A13" s="235" t="s">
        <v>178</v>
      </c>
      <c r="B13" s="219" t="s">
        <v>568</v>
      </c>
      <c r="C13" s="138"/>
    </row>
    <row r="14" spans="1:3" s="42" customFormat="1" ht="12" customHeight="1" thickBot="1">
      <c r="A14" s="236" t="s">
        <v>158</v>
      </c>
      <c r="B14" s="220" t="s">
        <v>508</v>
      </c>
      <c r="C14" s="135"/>
    </row>
    <row r="15" spans="1:3" s="42" customFormat="1" ht="12" customHeight="1" thickBot="1">
      <c r="A15" s="26" t="s">
        <v>84</v>
      </c>
      <c r="B15" s="129" t="s">
        <v>240</v>
      </c>
      <c r="C15" s="134">
        <f>+C16+C17+C18+C19+C20</f>
        <v>129599</v>
      </c>
    </row>
    <row r="16" spans="1:3" s="42" customFormat="1" ht="12" customHeight="1">
      <c r="A16" s="234" t="s">
        <v>160</v>
      </c>
      <c r="B16" s="218" t="s">
        <v>241</v>
      </c>
      <c r="C16" s="136"/>
    </row>
    <row r="17" spans="1:3" s="42" customFormat="1" ht="12" customHeight="1">
      <c r="A17" s="235" t="s">
        <v>161</v>
      </c>
      <c r="B17" s="219" t="s">
        <v>242</v>
      </c>
      <c r="C17" s="135"/>
    </row>
    <row r="18" spans="1:3" s="42" customFormat="1" ht="12" customHeight="1">
      <c r="A18" s="235" t="s">
        <v>162</v>
      </c>
      <c r="B18" s="219" t="s">
        <v>398</v>
      </c>
      <c r="C18" s="135"/>
    </row>
    <row r="19" spans="1:3" s="42" customFormat="1" ht="12" customHeight="1">
      <c r="A19" s="235" t="s">
        <v>163</v>
      </c>
      <c r="B19" s="219" t="s">
        <v>399</v>
      </c>
      <c r="C19" s="135"/>
    </row>
    <row r="20" spans="1:3" s="42" customFormat="1" ht="12" customHeight="1">
      <c r="A20" s="235" t="s">
        <v>164</v>
      </c>
      <c r="B20" s="219" t="s">
        <v>243</v>
      </c>
      <c r="C20" s="138">
        <v>129599</v>
      </c>
    </row>
    <row r="21" spans="1:3" s="43" customFormat="1" ht="12" customHeight="1" thickBot="1">
      <c r="A21" s="236" t="s">
        <v>173</v>
      </c>
      <c r="B21" s="220" t="s">
        <v>244</v>
      </c>
      <c r="C21" s="207"/>
    </row>
    <row r="22" spans="1:3" s="43" customFormat="1" ht="12" customHeight="1" thickBot="1">
      <c r="A22" s="26" t="s">
        <v>85</v>
      </c>
      <c r="B22" s="20" t="s">
        <v>245</v>
      </c>
      <c r="C22" s="134">
        <f>+C23+C24+C25+C26+C27</f>
        <v>20000</v>
      </c>
    </row>
    <row r="23" spans="1:3" s="43" customFormat="1" ht="12" customHeight="1">
      <c r="A23" s="234" t="s">
        <v>143</v>
      </c>
      <c r="B23" s="218" t="s">
        <v>246</v>
      </c>
      <c r="C23" s="258">
        <v>20000</v>
      </c>
    </row>
    <row r="24" spans="1:3" s="42" customFormat="1" ht="12" customHeight="1">
      <c r="A24" s="235" t="s">
        <v>144</v>
      </c>
      <c r="B24" s="219" t="s">
        <v>247</v>
      </c>
      <c r="C24" s="135"/>
    </row>
    <row r="25" spans="1:3" s="43" customFormat="1" ht="12" customHeight="1">
      <c r="A25" s="235" t="s">
        <v>145</v>
      </c>
      <c r="B25" s="219" t="s">
        <v>400</v>
      </c>
      <c r="C25" s="135"/>
    </row>
    <row r="26" spans="1:3" s="43" customFormat="1" ht="12" customHeight="1">
      <c r="A26" s="235" t="s">
        <v>146</v>
      </c>
      <c r="B26" s="219" t="s">
        <v>401</v>
      </c>
      <c r="C26" s="135"/>
    </row>
    <row r="27" spans="1:3" s="43" customFormat="1" ht="12" customHeight="1">
      <c r="A27" s="235" t="s">
        <v>189</v>
      </c>
      <c r="B27" s="219" t="s">
        <v>248</v>
      </c>
      <c r="C27" s="138"/>
    </row>
    <row r="28" spans="1:3" s="43" customFormat="1" ht="12" customHeight="1" thickBot="1">
      <c r="A28" s="236" t="s">
        <v>190</v>
      </c>
      <c r="B28" s="220" t="s">
        <v>249</v>
      </c>
      <c r="C28" s="207"/>
    </row>
    <row r="29" spans="1:3" s="43" customFormat="1" ht="12" customHeight="1" thickBot="1">
      <c r="A29" s="26" t="s">
        <v>191</v>
      </c>
      <c r="B29" s="20" t="s">
        <v>250</v>
      </c>
      <c r="C29" s="139">
        <f>+C30+C34+C35+C36</f>
        <v>0</v>
      </c>
    </row>
    <row r="30" spans="1:3" s="43" customFormat="1" ht="12" customHeight="1">
      <c r="A30" s="234" t="s">
        <v>251</v>
      </c>
      <c r="B30" s="218" t="s">
        <v>569</v>
      </c>
      <c r="C30" s="213">
        <f>+C31+C32+C33</f>
        <v>0</v>
      </c>
    </row>
    <row r="31" spans="1:3" s="43" customFormat="1" ht="12" customHeight="1">
      <c r="A31" s="235" t="s">
        <v>252</v>
      </c>
      <c r="B31" s="219" t="s">
        <v>257</v>
      </c>
      <c r="C31" s="135"/>
    </row>
    <row r="32" spans="1:3" s="43" customFormat="1" ht="12" customHeight="1">
      <c r="A32" s="235" t="s">
        <v>253</v>
      </c>
      <c r="B32" s="219" t="s">
        <v>258</v>
      </c>
      <c r="C32" s="135"/>
    </row>
    <row r="33" spans="1:3" s="43" customFormat="1" ht="12" customHeight="1">
      <c r="A33" s="235" t="s">
        <v>510</v>
      </c>
      <c r="B33" s="437" t="s">
        <v>511</v>
      </c>
      <c r="C33" s="135"/>
    </row>
    <row r="34" spans="1:3" s="43" customFormat="1" ht="12" customHeight="1">
      <c r="A34" s="235" t="s">
        <v>254</v>
      </c>
      <c r="B34" s="219" t="s">
        <v>259</v>
      </c>
      <c r="C34" s="135"/>
    </row>
    <row r="35" spans="1:3" s="43" customFormat="1" ht="12" customHeight="1">
      <c r="A35" s="235" t="s">
        <v>255</v>
      </c>
      <c r="B35" s="219" t="s">
        <v>260</v>
      </c>
      <c r="C35" s="135"/>
    </row>
    <row r="36" spans="1:3" s="43" customFormat="1" ht="12" customHeight="1" thickBot="1">
      <c r="A36" s="236" t="s">
        <v>256</v>
      </c>
      <c r="B36" s="220" t="s">
        <v>261</v>
      </c>
      <c r="C36" s="137"/>
    </row>
    <row r="37" spans="1:3" s="43" customFormat="1" ht="12" customHeight="1" thickBot="1">
      <c r="A37" s="26" t="s">
        <v>87</v>
      </c>
      <c r="B37" s="20" t="s">
        <v>512</v>
      </c>
      <c r="C37" s="134">
        <f>SUM(C38:C48)</f>
        <v>10170</v>
      </c>
    </row>
    <row r="38" spans="1:3" s="43" customFormat="1" ht="12" customHeight="1">
      <c r="A38" s="234" t="s">
        <v>147</v>
      </c>
      <c r="B38" s="218" t="s">
        <v>264</v>
      </c>
      <c r="C38" s="136">
        <v>8000</v>
      </c>
    </row>
    <row r="39" spans="1:3" s="43" customFormat="1" ht="12" customHeight="1">
      <c r="A39" s="235" t="s">
        <v>148</v>
      </c>
      <c r="B39" s="219" t="s">
        <v>265</v>
      </c>
      <c r="C39" s="138"/>
    </row>
    <row r="40" spans="1:3" s="43" customFormat="1" ht="12" customHeight="1">
      <c r="A40" s="235" t="s">
        <v>149</v>
      </c>
      <c r="B40" s="219" t="s">
        <v>266</v>
      </c>
      <c r="C40" s="138"/>
    </row>
    <row r="41" spans="1:3" s="43" customFormat="1" ht="12" customHeight="1">
      <c r="A41" s="235" t="s">
        <v>193</v>
      </c>
      <c r="B41" s="219" t="s">
        <v>267</v>
      </c>
      <c r="C41" s="135"/>
    </row>
    <row r="42" spans="1:3" s="43" customFormat="1" ht="12" customHeight="1">
      <c r="A42" s="235" t="s">
        <v>194</v>
      </c>
      <c r="B42" s="219" t="s">
        <v>268</v>
      </c>
      <c r="C42" s="135"/>
    </row>
    <row r="43" spans="1:3" s="43" customFormat="1" ht="12" customHeight="1">
      <c r="A43" s="235" t="s">
        <v>195</v>
      </c>
      <c r="B43" s="219" t="s">
        <v>269</v>
      </c>
      <c r="C43" s="135">
        <v>2160</v>
      </c>
    </row>
    <row r="44" spans="1:3" s="43" customFormat="1" ht="12" customHeight="1">
      <c r="A44" s="235" t="s">
        <v>196</v>
      </c>
      <c r="B44" s="219" t="s">
        <v>270</v>
      </c>
      <c r="C44" s="135"/>
    </row>
    <row r="45" spans="1:3" s="43" customFormat="1" ht="12" customHeight="1">
      <c r="A45" s="235" t="s">
        <v>197</v>
      </c>
      <c r="B45" s="219" t="s">
        <v>271</v>
      </c>
      <c r="C45" s="135">
        <v>10</v>
      </c>
    </row>
    <row r="46" spans="1:3" s="43" customFormat="1" ht="12" customHeight="1">
      <c r="A46" s="235" t="s">
        <v>262</v>
      </c>
      <c r="B46" s="219" t="s">
        <v>272</v>
      </c>
      <c r="C46" s="138"/>
    </row>
    <row r="47" spans="1:3" s="43" customFormat="1" ht="12" customHeight="1">
      <c r="A47" s="236" t="s">
        <v>263</v>
      </c>
      <c r="B47" s="220" t="s">
        <v>513</v>
      </c>
      <c r="C47" s="207"/>
    </row>
    <row r="48" spans="1:3" s="43" customFormat="1" ht="12" customHeight="1" thickBot="1">
      <c r="A48" s="236" t="s">
        <v>514</v>
      </c>
      <c r="B48" s="220" t="s">
        <v>273</v>
      </c>
      <c r="C48" s="207"/>
    </row>
    <row r="49" spans="1:3" s="43" customFormat="1" ht="12" customHeight="1" thickBot="1">
      <c r="A49" s="26" t="s">
        <v>88</v>
      </c>
      <c r="B49" s="20" t="s">
        <v>274</v>
      </c>
      <c r="C49" s="134">
        <f>SUM(C50:C54)</f>
        <v>0</v>
      </c>
    </row>
    <row r="50" spans="1:3" s="43" customFormat="1" ht="12" customHeight="1">
      <c r="A50" s="234" t="s">
        <v>150</v>
      </c>
      <c r="B50" s="218" t="s">
        <v>278</v>
      </c>
      <c r="C50" s="258"/>
    </row>
    <row r="51" spans="1:3" s="43" customFormat="1" ht="12" customHeight="1">
      <c r="A51" s="235" t="s">
        <v>151</v>
      </c>
      <c r="B51" s="219" t="s">
        <v>279</v>
      </c>
      <c r="C51" s="138"/>
    </row>
    <row r="52" spans="1:3" s="43" customFormat="1" ht="12" customHeight="1">
      <c r="A52" s="235" t="s">
        <v>275</v>
      </c>
      <c r="B52" s="219" t="s">
        <v>280</v>
      </c>
      <c r="C52" s="138"/>
    </row>
    <row r="53" spans="1:3" s="43" customFormat="1" ht="12" customHeight="1">
      <c r="A53" s="235" t="s">
        <v>276</v>
      </c>
      <c r="B53" s="219" t="s">
        <v>281</v>
      </c>
      <c r="C53" s="138"/>
    </row>
    <row r="54" spans="1:3" s="43" customFormat="1" ht="12" customHeight="1" thickBot="1">
      <c r="A54" s="236" t="s">
        <v>277</v>
      </c>
      <c r="B54" s="220" t="s">
        <v>282</v>
      </c>
      <c r="C54" s="207"/>
    </row>
    <row r="55" spans="1:3" s="43" customFormat="1" ht="12" customHeight="1" thickBot="1">
      <c r="A55" s="26" t="s">
        <v>198</v>
      </c>
      <c r="B55" s="20" t="s">
        <v>283</v>
      </c>
      <c r="C55" s="134">
        <f>SUM(C56:C58)</f>
        <v>2366</v>
      </c>
    </row>
    <row r="56" spans="1:3" s="43" customFormat="1" ht="12" customHeight="1">
      <c r="A56" s="234" t="s">
        <v>152</v>
      </c>
      <c r="B56" s="218" t="s">
        <v>284</v>
      </c>
      <c r="C56" s="136"/>
    </row>
    <row r="57" spans="1:3" s="43" customFormat="1" ht="12" customHeight="1">
      <c r="A57" s="235" t="s">
        <v>153</v>
      </c>
      <c r="B57" s="219" t="s">
        <v>402</v>
      </c>
      <c r="C57" s="138">
        <v>2366</v>
      </c>
    </row>
    <row r="58" spans="1:3" s="43" customFormat="1" ht="12" customHeight="1">
      <c r="A58" s="235" t="s">
        <v>287</v>
      </c>
      <c r="B58" s="219" t="s">
        <v>285</v>
      </c>
      <c r="C58" s="138"/>
    </row>
    <row r="59" spans="1:3" s="43" customFormat="1" ht="12" customHeight="1" thickBot="1">
      <c r="A59" s="236" t="s">
        <v>288</v>
      </c>
      <c r="B59" s="220" t="s">
        <v>286</v>
      </c>
      <c r="C59" s="137"/>
    </row>
    <row r="60" spans="1:3" s="43" customFormat="1" ht="12" customHeight="1" thickBot="1">
      <c r="A60" s="26" t="s">
        <v>90</v>
      </c>
      <c r="B60" s="129" t="s">
        <v>289</v>
      </c>
      <c r="C60" s="134">
        <f>SUM(C61:C63)</f>
        <v>2468</v>
      </c>
    </row>
    <row r="61" spans="1:3" s="43" customFormat="1" ht="12" customHeight="1">
      <c r="A61" s="234" t="s">
        <v>199</v>
      </c>
      <c r="B61" s="218" t="s">
        <v>291</v>
      </c>
      <c r="C61" s="138"/>
    </row>
    <row r="62" spans="1:3" s="43" customFormat="1" ht="12" customHeight="1">
      <c r="A62" s="235" t="s">
        <v>200</v>
      </c>
      <c r="B62" s="219" t="s">
        <v>403</v>
      </c>
      <c r="C62" s="138"/>
    </row>
    <row r="63" spans="1:3" s="43" customFormat="1" ht="12" customHeight="1">
      <c r="A63" s="235" t="s">
        <v>223</v>
      </c>
      <c r="B63" s="219" t="s">
        <v>292</v>
      </c>
      <c r="C63" s="138">
        <v>2468</v>
      </c>
    </row>
    <row r="64" spans="1:3" s="43" customFormat="1" ht="12" customHeight="1" thickBot="1">
      <c r="A64" s="236" t="s">
        <v>290</v>
      </c>
      <c r="B64" s="220" t="s">
        <v>293</v>
      </c>
      <c r="C64" s="138"/>
    </row>
    <row r="65" spans="1:3" s="43" customFormat="1" ht="12" customHeight="1" thickBot="1">
      <c r="A65" s="26" t="s">
        <v>91</v>
      </c>
      <c r="B65" s="20" t="s">
        <v>294</v>
      </c>
      <c r="C65" s="139">
        <f>+C8+C15+C22+C29+C37+C49+C55+C60</f>
        <v>161997</v>
      </c>
    </row>
    <row r="66" spans="1:3" s="43" customFormat="1" ht="12" customHeight="1" thickBot="1">
      <c r="A66" s="237" t="s">
        <v>373</v>
      </c>
      <c r="B66" s="129" t="s">
        <v>296</v>
      </c>
      <c r="C66" s="134">
        <f>SUM(C67:C69)</f>
        <v>150000</v>
      </c>
    </row>
    <row r="67" spans="1:3" s="43" customFormat="1" ht="12" customHeight="1">
      <c r="A67" s="234" t="s">
        <v>327</v>
      </c>
      <c r="B67" s="218" t="s">
        <v>297</v>
      </c>
      <c r="C67" s="138">
        <v>50000</v>
      </c>
    </row>
    <row r="68" spans="1:3" s="43" customFormat="1" ht="12" customHeight="1">
      <c r="A68" s="235" t="s">
        <v>336</v>
      </c>
      <c r="B68" s="219" t="s">
        <v>298</v>
      </c>
      <c r="C68" s="138">
        <v>100000</v>
      </c>
    </row>
    <row r="69" spans="1:3" s="43" customFormat="1" ht="12" customHeight="1" thickBot="1">
      <c r="A69" s="236" t="s">
        <v>337</v>
      </c>
      <c r="B69" s="221" t="s">
        <v>299</v>
      </c>
      <c r="C69" s="138"/>
    </row>
    <row r="70" spans="1:3" s="43" customFormat="1" ht="12" customHeight="1" thickBot="1">
      <c r="A70" s="237" t="s">
        <v>300</v>
      </c>
      <c r="B70" s="129" t="s">
        <v>301</v>
      </c>
      <c r="C70" s="134">
        <f>SUM(C71:C74)</f>
        <v>0</v>
      </c>
    </row>
    <row r="71" spans="1:3" s="43" customFormat="1" ht="12" customHeight="1">
      <c r="A71" s="234" t="s">
        <v>179</v>
      </c>
      <c r="B71" s="218" t="s">
        <v>302</v>
      </c>
      <c r="C71" s="138"/>
    </row>
    <row r="72" spans="1:3" s="43" customFormat="1" ht="12" customHeight="1">
      <c r="A72" s="235" t="s">
        <v>180</v>
      </c>
      <c r="B72" s="219" t="s">
        <v>303</v>
      </c>
      <c r="C72" s="138"/>
    </row>
    <row r="73" spans="1:3" s="43" customFormat="1" ht="12" customHeight="1">
      <c r="A73" s="235" t="s">
        <v>328</v>
      </c>
      <c r="B73" s="219" t="s">
        <v>304</v>
      </c>
      <c r="C73" s="138"/>
    </row>
    <row r="74" spans="1:3" s="43" customFormat="1" ht="12" customHeight="1" thickBot="1">
      <c r="A74" s="236" t="s">
        <v>329</v>
      </c>
      <c r="B74" s="220" t="s">
        <v>305</v>
      </c>
      <c r="C74" s="138"/>
    </row>
    <row r="75" spans="1:3" s="43" customFormat="1" ht="12" customHeight="1" thickBot="1">
      <c r="A75" s="237" t="s">
        <v>306</v>
      </c>
      <c r="B75" s="129" t="s">
        <v>307</v>
      </c>
      <c r="C75" s="134">
        <f>SUM(C76:C77)</f>
        <v>0</v>
      </c>
    </row>
    <row r="76" spans="1:3" s="43" customFormat="1" ht="12" customHeight="1">
      <c r="A76" s="234" t="s">
        <v>330</v>
      </c>
      <c r="B76" s="218" t="s">
        <v>308</v>
      </c>
      <c r="C76" s="138"/>
    </row>
    <row r="77" spans="1:3" s="43" customFormat="1" ht="12" customHeight="1" thickBot="1">
      <c r="A77" s="236" t="s">
        <v>331</v>
      </c>
      <c r="B77" s="220" t="s">
        <v>309</v>
      </c>
      <c r="C77" s="138"/>
    </row>
    <row r="78" spans="1:3" s="42" customFormat="1" ht="12" customHeight="1" thickBot="1">
      <c r="A78" s="237" t="s">
        <v>310</v>
      </c>
      <c r="B78" s="129" t="s">
        <v>311</v>
      </c>
      <c r="C78" s="134">
        <f>SUM(C79:C81)</f>
        <v>0</v>
      </c>
    </row>
    <row r="79" spans="1:3" s="43" customFormat="1" ht="12" customHeight="1">
      <c r="A79" s="234" t="s">
        <v>332</v>
      </c>
      <c r="B79" s="218" t="s">
        <v>312</v>
      </c>
      <c r="C79" s="138"/>
    </row>
    <row r="80" spans="1:3" s="43" customFormat="1" ht="12" customHeight="1">
      <c r="A80" s="235" t="s">
        <v>333</v>
      </c>
      <c r="B80" s="219" t="s">
        <v>313</v>
      </c>
      <c r="C80" s="138"/>
    </row>
    <row r="81" spans="1:3" s="43" customFormat="1" ht="12" customHeight="1" thickBot="1">
      <c r="A81" s="236" t="s">
        <v>334</v>
      </c>
      <c r="B81" s="220" t="s">
        <v>314</v>
      </c>
      <c r="C81" s="138"/>
    </row>
    <row r="82" spans="1:3" s="43" customFormat="1" ht="12" customHeight="1" thickBot="1">
      <c r="A82" s="237" t="s">
        <v>315</v>
      </c>
      <c r="B82" s="129" t="s">
        <v>335</v>
      </c>
      <c r="C82" s="134">
        <f>SUM(C83:C86)</f>
        <v>0</v>
      </c>
    </row>
    <row r="83" spans="1:3" s="43" customFormat="1" ht="12" customHeight="1">
      <c r="A83" s="238" t="s">
        <v>316</v>
      </c>
      <c r="B83" s="218" t="s">
        <v>317</v>
      </c>
      <c r="C83" s="138"/>
    </row>
    <row r="84" spans="1:3" s="43" customFormat="1" ht="12" customHeight="1">
      <c r="A84" s="239" t="s">
        <v>318</v>
      </c>
      <c r="B84" s="219" t="s">
        <v>319</v>
      </c>
      <c r="C84" s="138"/>
    </row>
    <row r="85" spans="1:3" s="43" customFormat="1" ht="12" customHeight="1">
      <c r="A85" s="239" t="s">
        <v>320</v>
      </c>
      <c r="B85" s="219" t="s">
        <v>321</v>
      </c>
      <c r="C85" s="138"/>
    </row>
    <row r="86" spans="1:3" s="42" customFormat="1" ht="12" customHeight="1" thickBot="1">
      <c r="A86" s="240" t="s">
        <v>322</v>
      </c>
      <c r="B86" s="220" t="s">
        <v>323</v>
      </c>
      <c r="C86" s="138"/>
    </row>
    <row r="87" spans="1:3" s="42" customFormat="1" ht="12" customHeight="1" thickBot="1">
      <c r="A87" s="237" t="s">
        <v>324</v>
      </c>
      <c r="B87" s="129" t="s">
        <v>517</v>
      </c>
      <c r="C87" s="259"/>
    </row>
    <row r="88" spans="1:3" s="42" customFormat="1" ht="12" customHeight="1" thickBot="1">
      <c r="A88" s="237" t="s">
        <v>570</v>
      </c>
      <c r="B88" s="129" t="s">
        <v>325</v>
      </c>
      <c r="C88" s="259"/>
    </row>
    <row r="89" spans="1:3" s="42" customFormat="1" ht="12" customHeight="1" thickBot="1">
      <c r="A89" s="237" t="s">
        <v>571</v>
      </c>
      <c r="B89" s="225" t="s">
        <v>518</v>
      </c>
      <c r="C89" s="139">
        <f>+C66+C70+C75+C78+C82+C88+C87</f>
        <v>150000</v>
      </c>
    </row>
    <row r="90" spans="1:3" s="42" customFormat="1" ht="12" customHeight="1" thickBot="1">
      <c r="A90" s="241" t="s">
        <v>572</v>
      </c>
      <c r="B90" s="226" t="s">
        <v>573</v>
      </c>
      <c r="C90" s="139">
        <f>+C65+C89</f>
        <v>311997</v>
      </c>
    </row>
    <row r="91" spans="1:3" s="43" customFormat="1" ht="15" customHeight="1" thickBot="1">
      <c r="A91" s="108"/>
      <c r="B91" s="109"/>
      <c r="C91" s="191"/>
    </row>
    <row r="92" spans="1:3" s="35" customFormat="1" ht="16.5" customHeight="1" thickBot="1">
      <c r="A92" s="112"/>
      <c r="B92" s="113" t="s">
        <v>121</v>
      </c>
      <c r="C92" s="193"/>
    </row>
    <row r="93" spans="1:3" s="44" customFormat="1" ht="12" customHeight="1" thickBot="1">
      <c r="A93" s="210" t="s">
        <v>83</v>
      </c>
      <c r="B93" s="25" t="s">
        <v>584</v>
      </c>
      <c r="C93" s="133">
        <f>+C94+C95+C96+C97+C98+C111</f>
        <v>62347</v>
      </c>
    </row>
    <row r="94" spans="1:3" ht="12" customHeight="1">
      <c r="A94" s="242" t="s">
        <v>154</v>
      </c>
      <c r="B94" s="9" t="s">
        <v>112</v>
      </c>
      <c r="C94" s="511">
        <f>7876+253</f>
        <v>8129</v>
      </c>
    </row>
    <row r="95" spans="1:3" ht="12" customHeight="1">
      <c r="A95" s="235" t="s">
        <v>155</v>
      </c>
      <c r="B95" s="7" t="s">
        <v>201</v>
      </c>
      <c r="C95" s="510">
        <f>2922+68</f>
        <v>2990</v>
      </c>
    </row>
    <row r="96" spans="1:3" ht="12" customHeight="1">
      <c r="A96" s="235" t="s">
        <v>156</v>
      </c>
      <c r="B96" s="7" t="s">
        <v>177</v>
      </c>
      <c r="C96" s="207">
        <v>26397</v>
      </c>
    </row>
    <row r="97" spans="1:3" ht="12" customHeight="1">
      <c r="A97" s="235" t="s">
        <v>157</v>
      </c>
      <c r="B97" s="10" t="s">
        <v>202</v>
      </c>
      <c r="C97" s="207">
        <v>31</v>
      </c>
    </row>
    <row r="98" spans="1:3" ht="12" customHeight="1">
      <c r="A98" s="235" t="s">
        <v>168</v>
      </c>
      <c r="B98" s="18" t="s">
        <v>203</v>
      </c>
      <c r="C98" s="207">
        <v>24800</v>
      </c>
    </row>
    <row r="99" spans="1:3" ht="12" customHeight="1">
      <c r="A99" s="235" t="s">
        <v>158</v>
      </c>
      <c r="B99" s="7" t="s">
        <v>574</v>
      </c>
      <c r="C99" s="207"/>
    </row>
    <row r="100" spans="1:3" ht="12" customHeight="1">
      <c r="A100" s="235" t="s">
        <v>159</v>
      </c>
      <c r="B100" s="70" t="s">
        <v>522</v>
      </c>
      <c r="C100" s="207"/>
    </row>
    <row r="101" spans="1:3" ht="12" customHeight="1">
      <c r="A101" s="235" t="s">
        <v>169</v>
      </c>
      <c r="B101" s="70" t="s">
        <v>523</v>
      </c>
      <c r="C101" s="207"/>
    </row>
    <row r="102" spans="1:3" ht="12" customHeight="1">
      <c r="A102" s="235" t="s">
        <v>170</v>
      </c>
      <c r="B102" s="70" t="s">
        <v>341</v>
      </c>
      <c r="C102" s="207"/>
    </row>
    <row r="103" spans="1:3" ht="12" customHeight="1">
      <c r="A103" s="235" t="s">
        <v>171</v>
      </c>
      <c r="B103" s="71" t="s">
        <v>342</v>
      </c>
      <c r="C103" s="207"/>
    </row>
    <row r="104" spans="1:3" ht="12" customHeight="1">
      <c r="A104" s="235" t="s">
        <v>172</v>
      </c>
      <c r="B104" s="71" t="s">
        <v>343</v>
      </c>
      <c r="C104" s="207"/>
    </row>
    <row r="105" spans="1:3" ht="12" customHeight="1">
      <c r="A105" s="235" t="s">
        <v>174</v>
      </c>
      <c r="B105" s="70" t="s">
        <v>344</v>
      </c>
      <c r="C105" s="207">
        <v>9251</v>
      </c>
    </row>
    <row r="106" spans="1:3" ht="12" customHeight="1">
      <c r="A106" s="235" t="s">
        <v>204</v>
      </c>
      <c r="B106" s="70" t="s">
        <v>345</v>
      </c>
      <c r="C106" s="207"/>
    </row>
    <row r="107" spans="1:3" ht="12" customHeight="1">
      <c r="A107" s="235" t="s">
        <v>339</v>
      </c>
      <c r="B107" s="71" t="s">
        <v>346</v>
      </c>
      <c r="C107" s="207"/>
    </row>
    <row r="108" spans="1:3" ht="12" customHeight="1">
      <c r="A108" s="243" t="s">
        <v>340</v>
      </c>
      <c r="B108" s="72" t="s">
        <v>347</v>
      </c>
      <c r="C108" s="207"/>
    </row>
    <row r="109" spans="1:3" ht="12" customHeight="1">
      <c r="A109" s="235" t="s">
        <v>524</v>
      </c>
      <c r="B109" s="72" t="s">
        <v>348</v>
      </c>
      <c r="C109" s="207"/>
    </row>
    <row r="110" spans="1:3" ht="12" customHeight="1">
      <c r="A110" s="235" t="s">
        <v>525</v>
      </c>
      <c r="B110" s="71" t="s">
        <v>349</v>
      </c>
      <c r="C110" s="138">
        <v>15549</v>
      </c>
    </row>
    <row r="111" spans="1:3" ht="12" customHeight="1">
      <c r="A111" s="235" t="s">
        <v>526</v>
      </c>
      <c r="B111" s="10" t="s">
        <v>113</v>
      </c>
      <c r="C111" s="138"/>
    </row>
    <row r="112" spans="1:3" ht="12" customHeight="1">
      <c r="A112" s="236" t="s">
        <v>527</v>
      </c>
      <c r="B112" s="7" t="s">
        <v>575</v>
      </c>
      <c r="C112" s="207"/>
    </row>
    <row r="113" spans="1:3" ht="12" customHeight="1" thickBot="1">
      <c r="A113" s="244" t="s">
        <v>529</v>
      </c>
      <c r="B113" s="73" t="s">
        <v>576</v>
      </c>
      <c r="C113" s="141"/>
    </row>
    <row r="114" spans="1:3" ht="12" customHeight="1" thickBot="1">
      <c r="A114" s="26" t="s">
        <v>84</v>
      </c>
      <c r="B114" s="24" t="s">
        <v>350</v>
      </c>
      <c r="C114" s="134">
        <f>+C115+C117+C119</f>
        <v>5058</v>
      </c>
    </row>
    <row r="115" spans="1:3" ht="12" customHeight="1">
      <c r="A115" s="234" t="s">
        <v>160</v>
      </c>
      <c r="B115" s="7" t="s">
        <v>221</v>
      </c>
      <c r="C115" s="258">
        <v>4207</v>
      </c>
    </row>
    <row r="116" spans="1:3" ht="12" customHeight="1">
      <c r="A116" s="234" t="s">
        <v>161</v>
      </c>
      <c r="B116" s="11" t="s">
        <v>354</v>
      </c>
      <c r="C116" s="258"/>
    </row>
    <row r="117" spans="1:3" ht="12" customHeight="1">
      <c r="A117" s="234" t="s">
        <v>162</v>
      </c>
      <c r="B117" s="11" t="s">
        <v>205</v>
      </c>
      <c r="C117" s="138">
        <v>851</v>
      </c>
    </row>
    <row r="118" spans="1:3" ht="12" customHeight="1">
      <c r="A118" s="234" t="s">
        <v>163</v>
      </c>
      <c r="B118" s="11" t="s">
        <v>355</v>
      </c>
      <c r="C118" s="459"/>
    </row>
    <row r="119" spans="1:3" ht="12" customHeight="1">
      <c r="A119" s="234" t="s">
        <v>164</v>
      </c>
      <c r="B119" s="131" t="s">
        <v>224</v>
      </c>
      <c r="C119" s="459"/>
    </row>
    <row r="120" spans="1:3" ht="12" customHeight="1">
      <c r="A120" s="234" t="s">
        <v>173</v>
      </c>
      <c r="B120" s="130" t="s">
        <v>404</v>
      </c>
      <c r="C120" s="459"/>
    </row>
    <row r="121" spans="1:3" ht="12" customHeight="1">
      <c r="A121" s="234" t="s">
        <v>175</v>
      </c>
      <c r="B121" s="214" t="s">
        <v>360</v>
      </c>
      <c r="C121" s="488"/>
    </row>
    <row r="122" spans="1:3" ht="12" customHeight="1">
      <c r="A122" s="234" t="s">
        <v>206</v>
      </c>
      <c r="B122" s="71" t="s">
        <v>343</v>
      </c>
      <c r="C122" s="488"/>
    </row>
    <row r="123" spans="1:3" ht="12" customHeight="1">
      <c r="A123" s="234" t="s">
        <v>207</v>
      </c>
      <c r="B123" s="71" t="s">
        <v>359</v>
      </c>
      <c r="C123" s="488"/>
    </row>
    <row r="124" spans="1:3" ht="12" customHeight="1">
      <c r="A124" s="234" t="s">
        <v>208</v>
      </c>
      <c r="B124" s="71" t="s">
        <v>358</v>
      </c>
      <c r="C124" s="488"/>
    </row>
    <row r="125" spans="1:3" ht="12" customHeight="1">
      <c r="A125" s="234" t="s">
        <v>351</v>
      </c>
      <c r="B125" s="71" t="s">
        <v>346</v>
      </c>
      <c r="C125" s="488"/>
    </row>
    <row r="126" spans="1:3" ht="12" customHeight="1">
      <c r="A126" s="234" t="s">
        <v>352</v>
      </c>
      <c r="B126" s="71" t="s">
        <v>357</v>
      </c>
      <c r="C126" s="488"/>
    </row>
    <row r="127" spans="1:3" ht="12" customHeight="1" thickBot="1">
      <c r="A127" s="243" t="s">
        <v>353</v>
      </c>
      <c r="B127" s="71" t="s">
        <v>356</v>
      </c>
      <c r="C127" s="489"/>
    </row>
    <row r="128" spans="1:3" ht="12" customHeight="1" thickBot="1">
      <c r="A128" s="26" t="s">
        <v>85</v>
      </c>
      <c r="B128" s="66" t="s">
        <v>531</v>
      </c>
      <c r="C128" s="134">
        <f>+C93+C114</f>
        <v>67405</v>
      </c>
    </row>
    <row r="129" spans="1:3" ht="12" customHeight="1" thickBot="1">
      <c r="A129" s="26" t="s">
        <v>86</v>
      </c>
      <c r="B129" s="66" t="s">
        <v>532</v>
      </c>
      <c r="C129" s="134">
        <f>+C130+C131+C132</f>
        <v>103545</v>
      </c>
    </row>
    <row r="130" spans="1:3" s="44" customFormat="1" ht="12" customHeight="1">
      <c r="A130" s="234" t="s">
        <v>251</v>
      </c>
      <c r="B130" s="8" t="s">
        <v>577</v>
      </c>
      <c r="C130" s="459">
        <v>3545</v>
      </c>
    </row>
    <row r="131" spans="1:3" ht="12" customHeight="1">
      <c r="A131" s="234" t="s">
        <v>254</v>
      </c>
      <c r="B131" s="8" t="s">
        <v>534</v>
      </c>
      <c r="C131" s="121">
        <v>100000</v>
      </c>
    </row>
    <row r="132" spans="1:3" ht="12" customHeight="1" thickBot="1">
      <c r="A132" s="243" t="s">
        <v>255</v>
      </c>
      <c r="B132" s="6" t="s">
        <v>578</v>
      </c>
      <c r="C132" s="121"/>
    </row>
    <row r="133" spans="1:3" ht="12" customHeight="1" thickBot="1">
      <c r="A133" s="26" t="s">
        <v>87</v>
      </c>
      <c r="B133" s="66" t="s">
        <v>536</v>
      </c>
      <c r="C133" s="134">
        <f>+C134+C135+C136+C137+C138+C139</f>
        <v>0</v>
      </c>
    </row>
    <row r="134" spans="1:3" ht="12" customHeight="1">
      <c r="A134" s="234" t="s">
        <v>147</v>
      </c>
      <c r="B134" s="8" t="s">
        <v>537</v>
      </c>
      <c r="C134" s="121"/>
    </row>
    <row r="135" spans="1:3" ht="12" customHeight="1">
      <c r="A135" s="234" t="s">
        <v>148</v>
      </c>
      <c r="B135" s="8" t="s">
        <v>538</v>
      </c>
      <c r="C135" s="121"/>
    </row>
    <row r="136" spans="1:3" ht="12" customHeight="1">
      <c r="A136" s="234" t="s">
        <v>149</v>
      </c>
      <c r="B136" s="8" t="s">
        <v>539</v>
      </c>
      <c r="C136" s="121"/>
    </row>
    <row r="137" spans="1:3" ht="12" customHeight="1">
      <c r="A137" s="234" t="s">
        <v>193</v>
      </c>
      <c r="B137" s="8" t="s">
        <v>579</v>
      </c>
      <c r="C137" s="121"/>
    </row>
    <row r="138" spans="1:3" ht="12" customHeight="1">
      <c r="A138" s="234" t="s">
        <v>194</v>
      </c>
      <c r="B138" s="8" t="s">
        <v>541</v>
      </c>
      <c r="C138" s="121"/>
    </row>
    <row r="139" spans="1:3" s="44" customFormat="1" ht="12" customHeight="1" thickBot="1">
      <c r="A139" s="243" t="s">
        <v>195</v>
      </c>
      <c r="B139" s="6" t="s">
        <v>542</v>
      </c>
      <c r="C139" s="121"/>
    </row>
    <row r="140" spans="1:11" ht="12" customHeight="1" thickBot="1">
      <c r="A140" s="26" t="s">
        <v>88</v>
      </c>
      <c r="B140" s="66" t="s">
        <v>580</v>
      </c>
      <c r="C140" s="139">
        <f>+C141+C142+C144+C145+C143</f>
        <v>0</v>
      </c>
      <c r="K140" s="120"/>
    </row>
    <row r="141" spans="1:3" ht="12.75">
      <c r="A141" s="234" t="s">
        <v>150</v>
      </c>
      <c r="B141" s="8" t="s">
        <v>361</v>
      </c>
      <c r="C141" s="121"/>
    </row>
    <row r="142" spans="1:3" ht="12" customHeight="1">
      <c r="A142" s="234" t="s">
        <v>151</v>
      </c>
      <c r="B142" s="8" t="s">
        <v>362</v>
      </c>
      <c r="C142" s="121"/>
    </row>
    <row r="143" spans="1:3" s="44" customFormat="1" ht="12" customHeight="1">
      <c r="A143" s="234" t="s">
        <v>275</v>
      </c>
      <c r="B143" s="8" t="s">
        <v>581</v>
      </c>
      <c r="C143" s="121"/>
    </row>
    <row r="144" spans="1:3" s="44" customFormat="1" ht="12" customHeight="1">
      <c r="A144" s="234" t="s">
        <v>276</v>
      </c>
      <c r="B144" s="8" t="s">
        <v>544</v>
      </c>
      <c r="C144" s="121"/>
    </row>
    <row r="145" spans="1:3" s="44" customFormat="1" ht="12" customHeight="1" thickBot="1">
      <c r="A145" s="243" t="s">
        <v>277</v>
      </c>
      <c r="B145" s="6" t="s">
        <v>372</v>
      </c>
      <c r="C145" s="121"/>
    </row>
    <row r="146" spans="1:3" s="44" customFormat="1" ht="12" customHeight="1" thickBot="1">
      <c r="A146" s="26" t="s">
        <v>89</v>
      </c>
      <c r="B146" s="66" t="s">
        <v>545</v>
      </c>
      <c r="C146" s="142">
        <f>+C147+C148+C149+C150+C151</f>
        <v>0</v>
      </c>
    </row>
    <row r="147" spans="1:3" s="44" customFormat="1" ht="12" customHeight="1">
      <c r="A147" s="234" t="s">
        <v>152</v>
      </c>
      <c r="B147" s="8" t="s">
        <v>546</v>
      </c>
      <c r="C147" s="121"/>
    </row>
    <row r="148" spans="1:3" s="44" customFormat="1" ht="12" customHeight="1">
      <c r="A148" s="234" t="s">
        <v>153</v>
      </c>
      <c r="B148" s="8" t="s">
        <v>547</v>
      </c>
      <c r="C148" s="121"/>
    </row>
    <row r="149" spans="1:3" s="44" customFormat="1" ht="12" customHeight="1">
      <c r="A149" s="234" t="s">
        <v>287</v>
      </c>
      <c r="B149" s="8" t="s">
        <v>548</v>
      </c>
      <c r="C149" s="121"/>
    </row>
    <row r="150" spans="1:3" ht="12.75" customHeight="1">
      <c r="A150" s="234" t="s">
        <v>288</v>
      </c>
      <c r="B150" s="8" t="s">
        <v>582</v>
      </c>
      <c r="C150" s="121"/>
    </row>
    <row r="151" spans="1:3" ht="12.75" customHeight="1" thickBot="1">
      <c r="A151" s="243" t="s">
        <v>550</v>
      </c>
      <c r="B151" s="6" t="s">
        <v>551</v>
      </c>
      <c r="C151" s="122"/>
    </row>
    <row r="152" spans="1:3" ht="12.75" customHeight="1" thickBot="1">
      <c r="A152" s="448" t="s">
        <v>90</v>
      </c>
      <c r="B152" s="66" t="s">
        <v>552</v>
      </c>
      <c r="C152" s="142"/>
    </row>
    <row r="153" spans="1:3" ht="12" customHeight="1" thickBot="1">
      <c r="A153" s="448" t="s">
        <v>91</v>
      </c>
      <c r="B153" s="66" t="s">
        <v>553</v>
      </c>
      <c r="C153" s="142"/>
    </row>
    <row r="154" spans="1:3" ht="15" customHeight="1" thickBot="1">
      <c r="A154" s="26" t="s">
        <v>92</v>
      </c>
      <c r="B154" s="66" t="s">
        <v>554</v>
      </c>
      <c r="C154" s="228">
        <f>+C129+C133+C140+C146+C152+C153</f>
        <v>103545</v>
      </c>
    </row>
    <row r="155" spans="1:3" ht="13.5" thickBot="1">
      <c r="A155" s="245" t="s">
        <v>93</v>
      </c>
      <c r="B155" s="200" t="s">
        <v>555</v>
      </c>
      <c r="C155" s="228">
        <f>+C128+C154</f>
        <v>170950</v>
      </c>
    </row>
    <row r="156" ht="15" customHeight="1" thickBot="1"/>
    <row r="157" spans="1:3" ht="14.25" customHeight="1" thickBot="1">
      <c r="A157" s="117" t="s">
        <v>583</v>
      </c>
      <c r="B157" s="118"/>
      <c r="C157" s="521">
        <v>2</v>
      </c>
    </row>
    <row r="158" spans="1:3" ht="14.25" customHeight="1" thickBot="1">
      <c r="A158" s="570" t="s">
        <v>68</v>
      </c>
      <c r="B158" s="571"/>
      <c r="C158" s="521">
        <v>7</v>
      </c>
    </row>
    <row r="159" spans="1:3" ht="13.5" thickBot="1">
      <c r="A159" s="117" t="s">
        <v>216</v>
      </c>
      <c r="B159" s="118"/>
      <c r="C159" s="65"/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5/2017.(II.20.)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2017-02-16T10:27:23Z</cp:lastPrinted>
  <dcterms:created xsi:type="dcterms:W3CDTF">1999-10-30T10:30:45Z</dcterms:created>
  <dcterms:modified xsi:type="dcterms:W3CDTF">2017-02-16T10:45:00Z</dcterms:modified>
  <cp:category/>
  <cp:version/>
  <cp:contentType/>
  <cp:contentStatus/>
</cp:coreProperties>
</file>