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 Mérlegszerű" sheetId="1" r:id="rId1"/>
    <sheet name="2,a Elemi bevételek" sheetId="2" state="hidden" r:id="rId2"/>
    <sheet name="2,b Elemi kiadások" sheetId="3" r:id="rId3"/>
    <sheet name="5. Felhalmozás" sheetId="4" r:id="rId4"/>
    <sheet name="6,a Műk. mérleg" sheetId="5" r:id="rId5"/>
    <sheet name="6,b Beruh. mérleg" sheetId="6" r:id="rId6"/>
    <sheet name="7. Tartalékok" sheetId="7" r:id="rId7"/>
    <sheet name="10. Likviditási terv" sheetId="8" r:id="rId8"/>
    <sheet name="12. Többéves döntések" sheetId="9" r:id="rId9"/>
  </sheets>
  <definedNames>
    <definedName name="_xlfn.IFERROR" hidden="1">#NAME?</definedName>
    <definedName name="_xlnm.Print_Area" localSheetId="0">'1. Mérlegszerű'!$A$1:$S$55</definedName>
    <definedName name="_xlnm.Print_Area" localSheetId="7">'10. Likviditási terv'!$A$1:$O$27</definedName>
    <definedName name="_xlnm.Print_Area" localSheetId="1">'2,a Elemi bevételek'!$A$1:$G$43</definedName>
    <definedName name="_xlnm.Print_Area" localSheetId="2">'2,b Elemi kiadások'!$A$1:$I$65</definedName>
    <definedName name="_xlnm.Print_Area" localSheetId="3">'5. Felhalmozás'!$A$1:$R$33</definedName>
    <definedName name="_xlnm.Print_Area" localSheetId="4">'6,a Műk. mérleg'!$A$1:$M$31</definedName>
    <definedName name="_xlnm.Print_Area" localSheetId="5">'6,b Beruh. mérleg'!$A$1:$Q$30</definedName>
  </definedNames>
  <calcPr fullCalcOnLoad="1"/>
</workbook>
</file>

<file path=xl/sharedStrings.xml><?xml version="1.0" encoding="utf-8"?>
<sst xmlns="http://schemas.openxmlformats.org/spreadsheetml/2006/main" count="776" uniqueCount="515">
  <si>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</si>
  <si>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</si>
  <si>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</si>
  <si>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</si>
  <si>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</si>
  <si>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</si>
  <si>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</si>
  <si>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</si>
  <si>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</si>
  <si>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</si>
  <si>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</si>
  <si>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</si>
  <si>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</si>
  <si>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</si>
  <si>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</si>
  <si>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</si>
  <si>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</si>
  <si>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</si>
  <si>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</si>
  <si>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</si>
  <si>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</si>
  <si>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</si>
  <si>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</si>
  <si>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</si>
  <si>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</si>
  <si>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</si>
  <si>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</si>
  <si>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</si>
  <si>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</si>
  <si>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</si>
  <si>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</si>
  <si>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</si>
  <si>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</si>
  <si>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</si>
  <si>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</si>
  <si>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</si>
  <si>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</si>
  <si>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</si>
  <si>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</si>
  <si>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</si>
  <si>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</si>
  <si>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</si>
  <si>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</si>
  <si>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</si>
  <si>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</si>
  <si>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</si>
  <si>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</si>
  <si>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</si>
  <si>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</si>
  <si>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</si>
  <si>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</si>
  <si>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</si>
  <si>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</si>
  <si>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</si>
  <si>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</si>
  <si>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</si>
  <si>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</si>
  <si>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</si>
  <si>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</si>
  <si>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</si>
  <si>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</si>
  <si>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</si>
  <si>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</si>
  <si>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</si>
  <si>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</si>
  <si>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</si>
  <si>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</si>
  <si>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</si>
  <si>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</si>
  <si>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</si>
  <si>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</si>
  <si>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</si>
  <si>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</si>
  <si>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</si>
  <si>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</si>
  <si>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</si>
  <si>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</si>
  <si>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</si>
  <si>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</si>
  <si>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</si>
  <si>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</si>
  <si>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</si>
  <si>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</si>
  <si>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</si>
  <si>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</si>
  <si>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</si>
  <si>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</si>
  <si>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</si>
  <si>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</si>
  <si>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</si>
  <si>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</si>
  <si>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</si>
  <si>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</si>
  <si>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</si>
  <si>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</si>
  <si>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</si>
  <si>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</si>
  <si>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</si>
  <si>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</si>
  <si>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</si>
  <si>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</si>
  <si>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</si>
  <si>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</si>
  <si>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</si>
  <si>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</si>
  <si>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</si>
  <si>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</si>
  <si>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</si>
  <si>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</si>
  <si>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</si>
  <si>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</si>
  <si>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</si>
  <si>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</si>
  <si>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</si>
  <si>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</si>
  <si>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</si>
  <si>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</si>
  <si>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</si>
  <si>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</si>
  <si>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</si>
  <si>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</si>
  <si>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</si>
  <si>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</si>
  <si>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</si>
  <si>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</si>
  <si>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</si>
  <si>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</si>
  <si>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</si>
  <si>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</si>
  <si>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</si>
  <si>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</si>
  <si>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</si>
  <si>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</si>
  <si>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</si>
  <si>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</si>
  <si>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</si>
  <si>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</si>
  <si>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</si>
  <si>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</si>
  <si>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</si>
  <si>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</si>
  <si>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</si>
  <si>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</si>
  <si>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</si>
  <si>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</si>
  <si>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</si>
  <si>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</si>
  <si>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</si>
  <si>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</si>
  <si>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</si>
  <si>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</si>
  <si>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</si>
  <si>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</si>
  <si>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</si>
  <si>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</si>
  <si>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</si>
  <si>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</si>
  <si>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</si>
  <si>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</si>
  <si>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</si>
  <si>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</si>
  <si>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</si>
  <si>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</si>
  <si>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</si>
  <si>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K48.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</si>
  <si>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</si>
  <si>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</si>
  <si>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</si>
  <si>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</si>
  <si>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</si>
  <si>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</si>
  <si>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</si>
  <si>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</si>
  <si>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</si>
  <si>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</si>
  <si>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</si>
  <si>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</si>
  <si>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</si>
  <si>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</si>
  <si>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</si>
  <si>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</si>
  <si>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</si>
  <si>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</si>
  <si>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</si>
  <si>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</si>
  <si>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</si>
  <si>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</si>
  <si>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</si>
  <si>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</si>
  <si>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</si>
  <si>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</si>
  <si>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</si>
  <si>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</si>
  <si>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Sor-
szám</t>
  </si>
  <si>
    <t>Megnevezés</t>
  </si>
  <si>
    <t>Tartalékok</t>
  </si>
  <si>
    <t>10.</t>
  </si>
  <si>
    <t>11.</t>
  </si>
  <si>
    <t>12.</t>
  </si>
  <si>
    <t>13.</t>
  </si>
  <si>
    <t>14.</t>
  </si>
  <si>
    <t>Értékpapír vásárlása, visszavásárlása</t>
  </si>
  <si>
    <t>15.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</si>
  <si>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</si>
  <si>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</si>
  <si>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</si>
  <si>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</si>
  <si>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</si>
  <si>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</si>
  <si>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</si>
  <si>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20.</t>
  </si>
  <si>
    <t>21.</t>
  </si>
  <si>
    <t>22.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</si>
  <si>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</si>
  <si>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</si>
  <si>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</si>
  <si>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</si>
  <si>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</si>
  <si>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</si>
  <si>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</si>
  <si>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</si>
  <si>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</si>
  <si>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</si>
  <si>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</si>
  <si>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</si>
  <si>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</si>
  <si>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</si>
  <si>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</si>
  <si>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</si>
  <si>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</si>
  <si>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</si>
  <si>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</si>
  <si>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</si>
  <si>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</si>
  <si>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</si>
  <si>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K513.</t>
  </si>
  <si>
    <t>Tartalékok előirányzata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</si>
  <si>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</si>
  <si>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</si>
  <si>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</si>
  <si>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</si>
  <si>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</si>
  <si>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</si>
  <si>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</si>
  <si>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Egyéb működési célú támogatások</t>
  </si>
  <si>
    <t>Államháztartáson belüli megelőlegezések visszafizetése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</si>
  <si>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</si>
  <si>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</si>
  <si>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</si>
  <si>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</si>
  <si>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</si>
  <si>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</si>
  <si>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</si>
  <si>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</si>
  <si>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</si>
  <si>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</si>
  <si>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</si>
  <si>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</si>
  <si>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</si>
  <si>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</si>
  <si>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</si>
  <si>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</si>
  <si>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</si>
  <si>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</si>
  <si>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</si>
  <si>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</si>
  <si>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</si>
  <si>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</si>
  <si>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</si>
  <si>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</si>
  <si>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</si>
  <si>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</si>
  <si>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</si>
  <si>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</si>
  <si>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</si>
  <si>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</si>
  <si>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</si>
  <si>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</si>
  <si>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</si>
  <si>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</si>
  <si>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</si>
  <si>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</si>
  <si>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2.1. Személyi juttatások</t>
  </si>
  <si>
    <t>2.2. Munkaadókat terhelő járulékok és szociális hozzájárulási adó</t>
  </si>
  <si>
    <t>2.3. Dologi kiadások</t>
  </si>
  <si>
    <t>Összesen</t>
  </si>
  <si>
    <t>Közös Önkormányzati Hivatal 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</si>
  <si>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</si>
  <si>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</si>
  <si>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</si>
  <si>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</si>
  <si>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</si>
  <si>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</si>
  <si>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</si>
  <si>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</si>
  <si>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</si>
  <si>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</si>
  <si>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</si>
  <si>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</si>
  <si>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</si>
  <si>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</si>
  <si>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Bevételek összesen :</t>
  </si>
  <si>
    <t>Munkaadót terhelő járulékok</t>
  </si>
  <si>
    <t>Tartalék</t>
  </si>
  <si>
    <t>Kiadások összesen:</t>
  </si>
  <si>
    <t>Záró pénzkészlet</t>
  </si>
  <si>
    <t>F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</si>
  <si>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</si>
  <si>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</si>
  <si>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</si>
  <si>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</si>
  <si>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</si>
  <si>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</si>
  <si>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</si>
  <si>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</si>
  <si>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</si>
  <si>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</si>
  <si>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</si>
  <si>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</si>
  <si>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</si>
  <si>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</si>
  <si>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CSESZTREG KÖZSÉG ÖNKORMÁNYZATA ÉS INTÉZMÉNYE</t>
  </si>
  <si>
    <t>Adatok Ft-ban</t>
  </si>
  <si>
    <t>Működési célú költségvetési tán. és kiegészítő tám.</t>
  </si>
  <si>
    <t>Biztosító által fizetett kártérítés</t>
  </si>
  <si>
    <t>K335.</t>
  </si>
  <si>
    <t>Közvetített szolgáltatások</t>
  </si>
  <si>
    <t>K512.</t>
  </si>
  <si>
    <t xml:space="preserve">    Adatok Ft-ban</t>
  </si>
  <si>
    <t>Előzetesen felszámított és fizetendő áfa</t>
  </si>
  <si>
    <t>Igazgatáshoz szükséges kis értékű tárgyi eszközök beszerzés</t>
  </si>
  <si>
    <t>Víziközmű felújítása</t>
  </si>
  <si>
    <t>Felhalmozási jellegű bevétel megnevezése</t>
  </si>
  <si>
    <t>Felhalmozási jellegű kiadás megnevezése</t>
  </si>
  <si>
    <t xml:space="preserve"> Adatok Ft-ban</t>
  </si>
  <si>
    <t xml:space="preserve">    lásd: 5. tábla</t>
  </si>
  <si>
    <t xml:space="preserve">   lásd: 5. tábla</t>
  </si>
  <si>
    <t>2018.</t>
  </si>
  <si>
    <t>2019.</t>
  </si>
  <si>
    <t>K89.</t>
  </si>
  <si>
    <t>Egyéb felhalmozási célú támogatások áht-n kívülre</t>
  </si>
  <si>
    <t>K5021.</t>
  </si>
  <si>
    <t>A helyi önkormányzatok előző évi elszámolásaiból származó kiadások</t>
  </si>
  <si>
    <t>K352.</t>
  </si>
  <si>
    <t>Fizetendő áfa előirányzata</t>
  </si>
  <si>
    <t>2.1. Működési célú támogatás aht-n belül</t>
  </si>
  <si>
    <t xml:space="preserve">2.2. Működési bevételek </t>
  </si>
  <si>
    <t>2.3. Felhalmozási bevételek</t>
  </si>
  <si>
    <t xml:space="preserve">1.6. Beruházások </t>
  </si>
  <si>
    <t>1.7. Felújítások</t>
  </si>
  <si>
    <t>1.8. Egyéb felhalmozási célú kiadások</t>
  </si>
  <si>
    <t>1.9. Tartalékok</t>
  </si>
  <si>
    <t>1.8. Előző évi költségvetési maradvány igénybevétele</t>
  </si>
  <si>
    <t>2.4. Előző évi költségvetési maradvány igénybevétele</t>
  </si>
  <si>
    <t>Működési célú támogatások áht-n belülről</t>
  </si>
  <si>
    <t>Előző évi költségvetési maradvány igénybevétele</t>
  </si>
  <si>
    <t>2020.</t>
  </si>
  <si>
    <t>B411.</t>
  </si>
  <si>
    <t>Eredeti előirányzat 2018.</t>
  </si>
  <si>
    <t>B25.</t>
  </si>
  <si>
    <t>Egyéb felhalmozási célú támogatások áht-n belülről</t>
  </si>
  <si>
    <t>B75.</t>
  </si>
  <si>
    <t>Egyéb felhalmozási célú átvett pénzeszközök</t>
  </si>
  <si>
    <t>2018. ÉVI MŰKÖDÉSI ÉS FELHALMOZÁSI CÉLÚ BEVÉTELEI ÉS KIADÁSAI</t>
  </si>
  <si>
    <t>1.7. Felhalmozási célú átvett pénzeszközök</t>
  </si>
  <si>
    <t xml:space="preserve"> </t>
  </si>
  <si>
    <t>2018. évi előirányzat</t>
  </si>
  <si>
    <t>CSESZTREG KÖZSÉG ÖNKORMÁNYZATA ÉS INTÉZMÉNYE 2018. ÉVI ELŐIRÁNYZAT FELHASZNÁLÁSI ÜTEMTERVE</t>
  </si>
  <si>
    <t>Költségvetési bevételek összesen: (1.+3.+4.+6.+7.)</t>
  </si>
  <si>
    <t>Hiány belső finanszírozás bevételei ( 10.+…+14.)</t>
  </si>
  <si>
    <t>Hiány külső finanszírozásának bevételei (16.+…+20. )</t>
  </si>
  <si>
    <t>Felhalmozási célú finanszírozási bevételek összesen (9.+15.)</t>
  </si>
  <si>
    <t>BEVÉTEL ÖSSZESEN (8.+21.)</t>
  </si>
  <si>
    <t>Költségvetési kiadások összesen: (1.+3.+5.+6.+7.)</t>
  </si>
  <si>
    <t>Felhalmozási célú finanszírozási kiadások összesen
(9.+...+20.)</t>
  </si>
  <si>
    <t>KIADÁSOK ÖSSZESEN (8.+21.)</t>
  </si>
  <si>
    <t>GO IN NATURE projekt</t>
  </si>
  <si>
    <t>2018. előtti kifizetések</t>
  </si>
  <si>
    <t>Összesen (1+2+3+5+7)</t>
  </si>
  <si>
    <t>Dózsa úti járda részleges felújítása</t>
  </si>
  <si>
    <t>Védőnő részére kis értékű eszközök beszerzése</t>
  </si>
  <si>
    <t>Egyéb felhalmozási célú támogatások áht-n kívülre (Sportegyesület)</t>
  </si>
  <si>
    <t>Fecskeház kialakítása</t>
  </si>
  <si>
    <t>Ady úti járda felújítása</t>
  </si>
  <si>
    <t>Kátyúzás</t>
  </si>
  <si>
    <t>Egészségügy részére kis értékű eszközök beszerzése</t>
  </si>
  <si>
    <t>Konyha felújítás projekt</t>
  </si>
  <si>
    <t>Tartalékok (EFOP 1.5.3.)</t>
  </si>
  <si>
    <t>Tartalékok (EFOP 3.9.2.)</t>
  </si>
  <si>
    <t>Tartalékok (GO IN NATURE)</t>
  </si>
  <si>
    <t>Tartalékok (KerKaLand)</t>
  </si>
  <si>
    <t>Felhalmozási jellegű bevételek és kiadások (önkormányzati szinten)</t>
  </si>
  <si>
    <t>Tulajdonosi bevételek (Zalavíz)</t>
  </si>
  <si>
    <t>Előző évi maradvány igénybevétele</t>
  </si>
  <si>
    <t>Fecskeházak kialakítására kapott pályázati támogatás</t>
  </si>
  <si>
    <t>Konyha felújítására kapott pályázati támogatás</t>
  </si>
  <si>
    <t>EFOP 1.5.3. - pályázati támogatás</t>
  </si>
  <si>
    <t>EFOP 3.9.2. - pályázati támogatás</t>
  </si>
  <si>
    <t>Felhalmozási célú támogatások áht-n belülről</t>
  </si>
  <si>
    <t>igazg.</t>
  </si>
  <si>
    <t>fecskeház</t>
  </si>
  <si>
    <t>Dózsa úit járda</t>
  </si>
  <si>
    <t>Ady úti járda</t>
  </si>
  <si>
    <t>kátyúzás</t>
  </si>
  <si>
    <t>GO IN NATURE</t>
  </si>
  <si>
    <t>KerKaLand</t>
  </si>
  <si>
    <t>vízmű</t>
  </si>
  <si>
    <t>orvos</t>
  </si>
  <si>
    <t>védőőnő</t>
  </si>
  <si>
    <t>műv. Ház felúj.</t>
  </si>
  <si>
    <t>műv. Ház beruh.</t>
  </si>
  <si>
    <t xml:space="preserve">konyha </t>
  </si>
  <si>
    <t>hivatal</t>
  </si>
  <si>
    <t>Értékesítési forgalmi adók (Iparűzési adó)</t>
  </si>
  <si>
    <t>Tartalékok (általános)</t>
  </si>
  <si>
    <t>Művelődési Ház felújítása, valamint eszközök beszerzése</t>
  </si>
  <si>
    <t>Előirányzat módosítás 04.15.</t>
  </si>
  <si>
    <t>Módosított előirányzat 04.15.</t>
  </si>
  <si>
    <t>Előrányzat módosítás 04.15.</t>
  </si>
  <si>
    <t>Ebből: Közművelődési érdekeltségnövelő támogatáshoz kapcsolódó beruházás</t>
  </si>
  <si>
    <t>Ebből: Közművelődési érdekeltségnövelő támogatáshoz kapcsolódó beruházás általános forgalmi adója</t>
  </si>
  <si>
    <t>Előriányzat módosítás 04.15.</t>
  </si>
  <si>
    <t>A K5 rovaton (működési célú kiadás) könyvelendő felhalmozási célú céltartalék a mérlegszerű bemutatásban a felhalmozási célú kiadások között szerepel!</t>
  </si>
  <si>
    <t>H</t>
  </si>
  <si>
    <t>Közművelődési érdekeltségnövelő támogatásból történő eszközbeszerzés (Művelődési Házba székek vásárlása)</t>
  </si>
  <si>
    <t>Közművelődési érdekeltségnövelő támogatás</t>
  </si>
  <si>
    <t>érd.növ.tám.</t>
  </si>
  <si>
    <t>Előirányzat módosítás 05.31.</t>
  </si>
  <si>
    <t>Módosított előirányzat 05.31.</t>
  </si>
  <si>
    <t>Előrányzat módosítás 05.31.</t>
  </si>
  <si>
    <t>2/2018. (II. 15.) önkormányzati rendelet 2,b. melléklete</t>
  </si>
  <si>
    <t>Központi, irányítószervi támogatás</t>
  </si>
  <si>
    <t>Előriányzat módosítás 05.31.</t>
  </si>
  <si>
    <t>2.4. Egyéb működési célú kiadások</t>
  </si>
  <si>
    <t>2/2018. (II. 15.) önkormányzati rendelet 1. melléklete</t>
  </si>
  <si>
    <t>2.5. Beruházási kiadás</t>
  </si>
  <si>
    <t>I. Működési célú bevételek és kiadások mérlege
(Önkormányzati szinten)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</si>
  <si>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</si>
  <si>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</si>
  <si>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</si>
  <si>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</si>
  <si>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</si>
  <si>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6.-ból EU-s támogatás (közvetlen)</t>
  </si>
  <si>
    <t>Költségvetési bevételek összesen (1.+2.+4.+5.+6.+8.)</t>
  </si>
  <si>
    <t>Költségvetési kiadások összesen (1.+...+8.)</t>
  </si>
  <si>
    <t>Hiány belső finanszírozásának bevételei (11.+…+14.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</si>
  <si>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</si>
  <si>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</si>
  <si>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</si>
  <si>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</si>
  <si>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</si>
  <si>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(16.+17.) </t>
  </si>
  <si>
    <t>Forgatási célú belföldi, külföldi értékpapírok vásárlása</t>
  </si>
  <si>
    <t xml:space="preserve">   Likviditási célú hitelek, kölcsönök felvétele</t>
  </si>
  <si>
    <t>Pénzeszközök lekötött betétként elhelyezése</t>
  </si>
  <si>
    <t xml:space="preserve">   Értékpapírok bevételei</t>
  </si>
  <si>
    <t>Adóssághoz nem kapcsolódó származékos ügyletek</t>
  </si>
  <si>
    <t>Váltóbevételek</t>
  </si>
  <si>
    <t>Váltókiadások</t>
  </si>
  <si>
    <t>Adóssághoz nem kapcsolódó származékos ügyletek bevételei</t>
  </si>
  <si>
    <t>Működési célú finanszírozási bevételek összesen (10.+15.+19.+20.)</t>
  </si>
  <si>
    <t>Működési célú finanszírozási kiadások összesen (10.+...+20.)</t>
  </si>
  <si>
    <t>BEVÉTEL ÖSSZESEN (9.+21.)</t>
  </si>
  <si>
    <t>KIADÁSOK ÖSSZESEN (9.+21.)</t>
  </si>
  <si>
    <t>23.</t>
  </si>
  <si>
    <t>Költségvetési hiány:</t>
  </si>
  <si>
    <t>Költségvetési többlet:</t>
  </si>
  <si>
    <t>24.</t>
  </si>
  <si>
    <t>Tárgyévi  hiány:</t>
  </si>
  <si>
    <t>Tárgyévi  többlet:</t>
  </si>
  <si>
    <t>2/2018. (II. 15.) önkormányzati rendelet 5. melléklete</t>
  </si>
  <si>
    <t>Módosított előirányzat 05.31</t>
  </si>
  <si>
    <t>2/2018. (II. 15.) önkormányzati rendelet 6.a, melléklete</t>
  </si>
  <si>
    <t>I</t>
  </si>
  <si>
    <t>2/2018. (II. 15.) önkormányzati rendelet 6.b, melléklete</t>
  </si>
  <si>
    <t>Előriányzat módosítás 05.31</t>
  </si>
  <si>
    <t>-</t>
  </si>
  <si>
    <t>J</t>
  </si>
  <si>
    <t>K</t>
  </si>
  <si>
    <t>2/2018. (II. 15.) önkormányzati rendelet 10. melléklete</t>
  </si>
  <si>
    <t>2/2018. (II. 15.) önkormányzati rendelet 12. melléklete</t>
  </si>
  <si>
    <t>Módosított előirányzat 06.30.</t>
  </si>
  <si>
    <t>Előrányzat módosítás 06.30.</t>
  </si>
  <si>
    <t>K84.</t>
  </si>
  <si>
    <t>Egyéb felhalmozási célú támogatások áht-n belülre</t>
  </si>
  <si>
    <t>Előriányzat módosítás 06.30.</t>
  </si>
  <si>
    <t>Előirányzat módosítás 06.30.</t>
  </si>
  <si>
    <t>Kerkaland projekt 2017. évben megkapott felhalmozási célú pályázati bevételének visszafizetése</t>
  </si>
  <si>
    <t>KerKaLand projekthez kapcsolódó beruházás</t>
  </si>
  <si>
    <t>GO IN NATURE projekthez kapcsolódó beruházás</t>
  </si>
  <si>
    <t>CSESZTREG KÖZSÉG ÖNKORMÁNYZATA 2018. ÉVI TARTALÉKAI</t>
  </si>
  <si>
    <t>Sorszám.</t>
  </si>
  <si>
    <t>Feladat / cél</t>
  </si>
  <si>
    <t>Az átcsoportosítás jogát gyakorolja</t>
  </si>
  <si>
    <t>A.</t>
  </si>
  <si>
    <t>Fejlesztési  célú céltartalékok</t>
  </si>
  <si>
    <t>Polgármester</t>
  </si>
  <si>
    <t>EFOP 1.5.3. - Humán szolgáltatások fejlesztése Lenti járás területén</t>
  </si>
  <si>
    <t>EFOP 3.9.2. - Humán kapacitások fejlesztése a Lenti járásban</t>
  </si>
  <si>
    <t>Kalandozások a Kerka völgyében- KerKaLand</t>
  </si>
  <si>
    <t>B.</t>
  </si>
  <si>
    <t xml:space="preserve">Általános tartalék </t>
  </si>
  <si>
    <t xml:space="preserve">Tartalékok mindösszesen </t>
  </si>
  <si>
    <t>2/2018. (II. 15.) önkormányzati rendelet 7. melléklete</t>
  </si>
  <si>
    <t>Egyéb tárgyi eszközök beszerzése, létesítése</t>
  </si>
  <si>
    <t>7 db pelenkázó beszerzése védőnői szolgálathoz</t>
  </si>
  <si>
    <t>pelenkázó</t>
  </si>
  <si>
    <t>12/2018. (VI. 29.) önkormányzati rendelet 1. melléklete</t>
  </si>
  <si>
    <t>12/2018. (VI. 29.) önkormányzati rendelet 2. melléklete</t>
  </si>
  <si>
    <t>12/2018. (VI. 29.) önkormányzati rendelet 8. melléklete</t>
  </si>
  <si>
    <t>12/2018. (VI. 29.) önkormányzati rendelet 7. melléklete</t>
  </si>
  <si>
    <t>12/2018. (VI. 29.) önkormányzati rendelet 6. melléklete</t>
  </si>
  <si>
    <t>12/2018. (VI. 29.) önkormányzati rendelet 5. melléklete</t>
  </si>
  <si>
    <t>12/2018. (VI. 29.) önkormányzati rendelet 4. melléklete</t>
  </si>
  <si>
    <t>12/2018. (VI. 29.) önkormányzati rendelet 3.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</si>
</sst>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6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i/>
      <sz val="6"/>
      <name val="Times New Roman CE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4"/>
      <color indexed="10"/>
      <name val="Times New Roman CE"/>
      <family val="0"/>
    </font>
    <font>
      <b/>
      <sz val="9"/>
      <color indexed="8"/>
      <name val="Times New Roman"/>
      <family val="1"/>
    </font>
    <font>
      <sz val="11"/>
      <name val="Arial"/>
      <family val="2"/>
    </font>
    <font>
      <i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9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9" borderId="1" applyNumberFormat="0" applyAlignment="0" applyProtection="0"/>
    <xf numFmtId="0" fontId="15" fillId="22" borderId="7" applyNumberFormat="0" applyFont="0" applyAlignment="0" applyProtection="0"/>
    <xf numFmtId="0" fontId="18" fillId="6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1">
      <alignment/>
      <protection/>
    </xf>
    <xf numFmtId="0" fontId="16" fillId="0" borderId="0" xfId="101" applyFont="1" applyBorder="1" applyAlignment="1">
      <alignment horizontal="center"/>
      <protection/>
    </xf>
    <xf numFmtId="0" fontId="27" fillId="0" borderId="10" xfId="101" applyFont="1" applyBorder="1" applyAlignment="1">
      <alignment vertical="center" wrapText="1"/>
      <protection/>
    </xf>
    <xf numFmtId="0" fontId="27" fillId="0" borderId="11" xfId="101" applyFont="1" applyBorder="1" applyAlignment="1">
      <alignment horizontal="center" vertical="center" wrapText="1"/>
      <protection/>
    </xf>
    <xf numFmtId="49" fontId="16" fillId="0" borderId="12" xfId="101" applyNumberFormat="1" applyFont="1" applyBorder="1" applyAlignment="1">
      <alignment horizontal="right"/>
      <protection/>
    </xf>
    <xf numFmtId="49" fontId="16" fillId="0" borderId="13" xfId="101" applyNumberFormat="1" applyFont="1" applyBorder="1" applyAlignment="1">
      <alignment horizontal="right"/>
      <protection/>
    </xf>
    <xf numFmtId="180" fontId="16" fillId="0" borderId="13" xfId="101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1" applyFont="1" applyBorder="1">
      <alignment/>
      <protection/>
    </xf>
    <xf numFmtId="0" fontId="16" fillId="0" borderId="15" xfId="101" applyFont="1" applyBorder="1">
      <alignment/>
      <protection/>
    </xf>
    <xf numFmtId="49" fontId="16" fillId="0" borderId="16" xfId="101" applyNumberFormat="1" applyBorder="1">
      <alignment/>
      <protection/>
    </xf>
    <xf numFmtId="49" fontId="16" fillId="0" borderId="17" xfId="101" applyNumberFormat="1" applyBorder="1">
      <alignment/>
      <protection/>
    </xf>
    <xf numFmtId="0" fontId="27" fillId="0" borderId="18" xfId="101" applyFont="1" applyBorder="1" applyAlignment="1">
      <alignment horizontal="left"/>
      <protection/>
    </xf>
    <xf numFmtId="0" fontId="27" fillId="0" borderId="19" xfId="101" applyFont="1" applyBorder="1" applyAlignment="1">
      <alignment horizontal="left"/>
      <protection/>
    </xf>
    <xf numFmtId="0" fontId="27" fillId="0" borderId="20" xfId="101" applyFont="1" applyBorder="1" applyAlignment="1">
      <alignment horizontal="left"/>
      <protection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4" fillId="0" borderId="0" xfId="0" applyFont="1" applyAlignment="1">
      <alignment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31" fillId="0" borderId="21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33" fillId="0" borderId="23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44" fillId="0" borderId="0" xfId="101" applyFont="1" applyAlignment="1">
      <alignment horizontal="center"/>
      <protection/>
    </xf>
    <xf numFmtId="0" fontId="16" fillId="0" borderId="0" xfId="101" applyFont="1" applyBorder="1" applyAlignment="1">
      <alignment horizontal="right"/>
      <protection/>
    </xf>
    <xf numFmtId="3" fontId="16" fillId="0" borderId="13" xfId="101" applyNumberFormat="1" applyFont="1" applyBorder="1">
      <alignment/>
      <protection/>
    </xf>
    <xf numFmtId="3" fontId="16" fillId="0" borderId="17" xfId="101" applyNumberFormat="1" applyFont="1" applyBorder="1">
      <alignment/>
      <protection/>
    </xf>
    <xf numFmtId="3" fontId="27" fillId="0" borderId="19" xfId="101" applyNumberFormat="1" applyFont="1" applyBorder="1">
      <alignment/>
      <protection/>
    </xf>
    <xf numFmtId="3" fontId="16" fillId="0" borderId="13" xfId="101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1" fillId="0" borderId="13" xfId="0" applyNumberFormat="1" applyFont="1" applyBorder="1" applyAlignment="1">
      <alignment horizontal="right" wrapText="1"/>
    </xf>
    <xf numFmtId="3" fontId="29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horizontal="right" wrapText="1"/>
    </xf>
    <xf numFmtId="3" fontId="33" fillId="0" borderId="23" xfId="0" applyNumberFormat="1" applyFont="1" applyBorder="1" applyAlignment="1">
      <alignment horizontal="right" wrapText="1"/>
    </xf>
    <xf numFmtId="3" fontId="25" fillId="0" borderId="25" xfId="0" applyNumberFormat="1" applyFont="1" applyBorder="1" applyAlignment="1">
      <alignment horizontal="right" wrapText="1"/>
    </xf>
    <xf numFmtId="3" fontId="29" fillId="0" borderId="25" xfId="0" applyNumberFormat="1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8" fillId="0" borderId="13" xfId="0" applyFont="1" applyBorder="1" applyAlignment="1">
      <alignment wrapText="1"/>
    </xf>
    <xf numFmtId="0" fontId="30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6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7" fillId="0" borderId="12" xfId="101" applyFont="1" applyBorder="1" applyAlignment="1">
      <alignment horizontal="center"/>
      <protection/>
    </xf>
    <xf numFmtId="0" fontId="47" fillId="0" borderId="13" xfId="101" applyFont="1" applyBorder="1" applyAlignment="1">
      <alignment horizontal="center"/>
      <protection/>
    </xf>
    <xf numFmtId="0" fontId="47" fillId="0" borderId="14" xfId="101" applyFont="1" applyBorder="1" applyAlignment="1">
      <alignment horizontal="center"/>
      <protection/>
    </xf>
    <xf numFmtId="0" fontId="47" fillId="0" borderId="0" xfId="101" applyFont="1">
      <alignment/>
      <protection/>
    </xf>
    <xf numFmtId="180" fontId="16" fillId="0" borderId="0" xfId="104" applyNumberFormat="1" applyFill="1" applyAlignment="1" applyProtection="1">
      <alignment vertical="center" wrapText="1"/>
      <protection/>
    </xf>
    <xf numFmtId="180" fontId="49" fillId="0" borderId="0" xfId="104" applyNumberFormat="1" applyFont="1" applyFill="1" applyAlignment="1" applyProtection="1">
      <alignment horizontal="centerContinuous" vertical="center" wrapText="1"/>
      <protection/>
    </xf>
    <xf numFmtId="180" fontId="16" fillId="0" borderId="0" xfId="104" applyNumberFormat="1" applyFill="1" applyAlignment="1" applyProtection="1">
      <alignment horizontal="centerContinuous" vertical="center"/>
      <protection/>
    </xf>
    <xf numFmtId="180" fontId="16" fillId="0" borderId="0" xfId="104" applyNumberFormat="1" applyFill="1" applyAlignment="1" applyProtection="1">
      <alignment horizontal="center" vertical="center" wrapText="1"/>
      <protection/>
    </xf>
    <xf numFmtId="180" fontId="51" fillId="0" borderId="32" xfId="104" applyNumberFormat="1" applyFont="1" applyFill="1" applyBorder="1" applyAlignment="1" applyProtection="1">
      <alignment horizontal="centerContinuous" vertical="center" wrapText="1"/>
      <protection/>
    </xf>
    <xf numFmtId="180" fontId="51" fillId="0" borderId="33" xfId="104" applyNumberFormat="1" applyFont="1" applyFill="1" applyBorder="1" applyAlignment="1" applyProtection="1">
      <alignment horizontal="centerContinuous" vertical="center" wrapText="1"/>
      <protection/>
    </xf>
    <xf numFmtId="180" fontId="51" fillId="0" borderId="34" xfId="104" applyNumberFormat="1" applyFont="1" applyFill="1" applyBorder="1" applyAlignment="1" applyProtection="1">
      <alignment horizontal="centerContinuous" vertical="center" wrapText="1"/>
      <protection/>
    </xf>
    <xf numFmtId="180" fontId="51" fillId="0" borderId="32" xfId="104" applyNumberFormat="1" applyFont="1" applyFill="1" applyBorder="1" applyAlignment="1" applyProtection="1">
      <alignment horizontal="center" vertical="center" wrapText="1"/>
      <protection/>
    </xf>
    <xf numFmtId="180" fontId="51" fillId="0" borderId="33" xfId="104" applyNumberFormat="1" applyFont="1" applyFill="1" applyBorder="1" applyAlignment="1" applyProtection="1">
      <alignment horizontal="center" vertical="center" wrapText="1"/>
      <protection/>
    </xf>
    <xf numFmtId="180" fontId="27" fillId="0" borderId="0" xfId="104" applyNumberFormat="1" applyFont="1" applyFill="1" applyAlignment="1" applyProtection="1">
      <alignment horizontal="center" vertical="center" wrapText="1"/>
      <protection/>
    </xf>
    <xf numFmtId="180" fontId="47" fillId="0" borderId="35" xfId="104" applyNumberFormat="1" applyFont="1" applyFill="1" applyBorder="1" applyAlignment="1" applyProtection="1">
      <alignment horizontal="center" vertical="center" wrapText="1"/>
      <protection/>
    </xf>
    <xf numFmtId="180" fontId="47" fillId="0" borderId="32" xfId="104" applyNumberFormat="1" applyFont="1" applyFill="1" applyBorder="1" applyAlignment="1" applyProtection="1">
      <alignment horizontal="center" vertical="center" wrapText="1"/>
      <protection/>
    </xf>
    <xf numFmtId="180" fontId="47" fillId="0" borderId="33" xfId="104" applyNumberFormat="1" applyFont="1" applyFill="1" applyBorder="1" applyAlignment="1" applyProtection="1">
      <alignment horizontal="center" vertical="center" wrapText="1"/>
      <protection/>
    </xf>
    <xf numFmtId="180" fontId="16" fillId="0" borderId="36" xfId="104" applyNumberFormat="1" applyFill="1" applyBorder="1" applyAlignment="1" applyProtection="1">
      <alignment horizontal="left" vertical="center" wrapText="1" indent="1"/>
      <protection/>
    </xf>
    <xf numFmtId="180" fontId="52" fillId="0" borderId="37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25" xfId="104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38" xfId="104" applyNumberFormat="1" applyFill="1" applyBorder="1" applyAlignment="1" applyProtection="1">
      <alignment horizontal="left" vertical="center" wrapText="1" indent="1"/>
      <protection/>
    </xf>
    <xf numFmtId="180" fontId="52" fillId="0" borderId="12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13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39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40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41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2" xfId="104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5" xfId="104" applyNumberFormat="1" applyFont="1" applyFill="1" applyBorder="1" applyAlignment="1" applyProtection="1">
      <alignment horizontal="left" vertical="center" wrapText="1" indent="1"/>
      <protection/>
    </xf>
    <xf numFmtId="180" fontId="47" fillId="0" borderId="32" xfId="104" applyNumberFormat="1" applyFont="1" applyFill="1" applyBorder="1" applyAlignment="1" applyProtection="1">
      <alignment horizontal="left" vertical="center" wrapText="1" indent="1"/>
      <protection/>
    </xf>
    <xf numFmtId="180" fontId="47" fillId="0" borderId="33" xfId="104" applyNumberFormat="1" applyFont="1" applyFill="1" applyBorder="1" applyAlignment="1" applyProtection="1">
      <alignment horizontal="right" vertical="center" wrapText="1" indent="1"/>
      <protection/>
    </xf>
    <xf numFmtId="180" fontId="52" fillId="0" borderId="13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39" xfId="104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3" xfId="104" applyNumberFormat="1" applyFont="1" applyFill="1" applyBorder="1" applyAlignment="1" applyProtection="1">
      <alignment horizontal="right" vertical="center" wrapText="1" indent="1"/>
      <protection/>
    </xf>
    <xf numFmtId="180" fontId="27" fillId="0" borderId="32" xfId="104" applyNumberFormat="1" applyFont="1" applyFill="1" applyBorder="1" applyAlignment="1" applyProtection="1">
      <alignment horizontal="left" vertical="center" wrapText="1" indent="1"/>
      <protection/>
    </xf>
    <xf numFmtId="180" fontId="27" fillId="0" borderId="42" xfId="104" applyNumberFormat="1" applyFont="1" applyFill="1" applyBorder="1" applyAlignment="1" applyProtection="1">
      <alignment horizontal="right" vertical="center" wrapText="1" indent="1"/>
      <protection/>
    </xf>
    <xf numFmtId="180" fontId="53" fillId="0" borderId="43" xfId="104" applyNumberFormat="1" applyFont="1" applyFill="1" applyBorder="1" applyAlignment="1" applyProtection="1">
      <alignment horizontal="left" vertical="center" wrapText="1" indent="1"/>
      <protection/>
    </xf>
    <xf numFmtId="180" fontId="53" fillId="0" borderId="25" xfId="104" applyNumberFormat="1" applyFont="1" applyFill="1" applyBorder="1" applyAlignment="1" applyProtection="1">
      <alignment horizontal="right" vertical="center" wrapText="1" indent="1"/>
      <protection/>
    </xf>
    <xf numFmtId="180" fontId="52" fillId="0" borderId="12" xfId="104" applyNumberFormat="1" applyFont="1" applyFill="1" applyBorder="1" applyAlignment="1" applyProtection="1">
      <alignment horizontal="left" vertical="center" wrapText="1" indent="2"/>
      <protection/>
    </xf>
    <xf numFmtId="180" fontId="52" fillId="0" borderId="13" xfId="104" applyNumberFormat="1" applyFont="1" applyFill="1" applyBorder="1" applyAlignment="1" applyProtection="1">
      <alignment horizontal="left" vertical="center" wrapText="1" indent="2"/>
      <protection/>
    </xf>
    <xf numFmtId="180" fontId="53" fillId="0" borderId="13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37" xfId="104" applyNumberFormat="1" applyFont="1" applyFill="1" applyBorder="1" applyAlignment="1" applyProtection="1">
      <alignment horizontal="left" vertical="center" wrapText="1" indent="2"/>
      <protection/>
    </xf>
    <xf numFmtId="180" fontId="52" fillId="0" borderId="16" xfId="104" applyNumberFormat="1" applyFont="1" applyFill="1" applyBorder="1" applyAlignment="1" applyProtection="1">
      <alignment horizontal="left" vertical="center" wrapText="1" indent="2"/>
      <protection/>
    </xf>
    <xf numFmtId="3" fontId="54" fillId="0" borderId="13" xfId="0" applyNumberFormat="1" applyFont="1" applyBorder="1" applyAlignment="1">
      <alignment horizontal="right" wrapText="1"/>
    </xf>
    <xf numFmtId="3" fontId="54" fillId="0" borderId="23" xfId="0" applyNumberFormat="1" applyFont="1" applyBorder="1" applyAlignment="1">
      <alignment horizontal="right" wrapText="1"/>
    </xf>
    <xf numFmtId="180" fontId="52" fillId="0" borderId="44" xfId="10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06">
      <alignment/>
      <protection/>
    </xf>
    <xf numFmtId="0" fontId="15" fillId="0" borderId="0" xfId="106" applyBorder="1">
      <alignment/>
      <protection/>
    </xf>
    <xf numFmtId="0" fontId="36" fillId="0" borderId="45" xfId="106" applyFont="1" applyFill="1" applyBorder="1" applyAlignment="1">
      <alignment horizontal="left" vertical="center"/>
      <protection/>
    </xf>
    <xf numFmtId="0" fontId="36" fillId="0" borderId="14" xfId="106" applyFont="1" applyFill="1" applyBorder="1" applyAlignment="1">
      <alignment horizontal="left" vertical="center"/>
      <protection/>
    </xf>
    <xf numFmtId="0" fontId="42" fillId="0" borderId="13" xfId="106" applyFont="1" applyBorder="1" applyAlignment="1">
      <alignment horizontal="left" vertical="center"/>
      <protection/>
    </xf>
    <xf numFmtId="0" fontId="42" fillId="0" borderId="13" xfId="106" applyFont="1" applyFill="1" applyBorder="1">
      <alignment/>
      <protection/>
    </xf>
    <xf numFmtId="0" fontId="56" fillId="0" borderId="14" xfId="102" applyFont="1" applyBorder="1" applyAlignment="1">
      <alignment horizontal="center"/>
      <protection/>
    </xf>
    <xf numFmtId="0" fontId="41" fillId="0" borderId="14" xfId="106" applyFont="1" applyBorder="1" applyAlignment="1">
      <alignment horizontal="left" vertical="center"/>
      <protection/>
    </xf>
    <xf numFmtId="0" fontId="42" fillId="0" borderId="14" xfId="106" applyFont="1" applyBorder="1" applyAlignment="1">
      <alignment horizontal="left" vertical="center"/>
      <protection/>
    </xf>
    <xf numFmtId="0" fontId="41" fillId="0" borderId="13" xfId="106" applyFont="1" applyBorder="1" applyAlignment="1">
      <alignment horizontal="left" vertical="center"/>
      <protection/>
    </xf>
    <xf numFmtId="0" fontId="56" fillId="0" borderId="14" xfId="106" applyFont="1" applyBorder="1" applyAlignment="1">
      <alignment horizontal="center" vertical="center"/>
      <protection/>
    </xf>
    <xf numFmtId="0" fontId="42" fillId="0" borderId="14" xfId="106" applyFont="1" applyBorder="1" applyAlignment="1">
      <alignment vertical="center"/>
      <protection/>
    </xf>
    <xf numFmtId="0" fontId="41" fillId="0" borderId="13" xfId="106" applyFont="1" applyFill="1" applyBorder="1" applyAlignment="1">
      <alignment horizontal="left" vertical="center"/>
      <protection/>
    </xf>
    <xf numFmtId="0" fontId="41" fillId="0" borderId="13" xfId="102" applyFont="1" applyBorder="1" applyAlignment="1">
      <alignment horizontal="left"/>
      <protection/>
    </xf>
    <xf numFmtId="0" fontId="56" fillId="0" borderId="14" xfId="106" applyFont="1" applyBorder="1" applyAlignment="1">
      <alignment horizontal="left" vertical="center"/>
      <protection/>
    </xf>
    <xf numFmtId="0" fontId="42" fillId="0" borderId="14" xfId="106" applyFont="1" applyBorder="1" applyAlignment="1">
      <alignment horizontal="left"/>
      <protection/>
    </xf>
    <xf numFmtId="0" fontId="56" fillId="0" borderId="13" xfId="106" applyFont="1" applyBorder="1" applyAlignment="1">
      <alignment horizontal="left" vertical="center"/>
      <protection/>
    </xf>
    <xf numFmtId="0" fontId="42" fillId="0" borderId="14" xfId="106" applyFont="1" applyBorder="1" applyAlignment="1">
      <alignment horizontal="center"/>
      <protection/>
    </xf>
    <xf numFmtId="0" fontId="42" fillId="0" borderId="45" xfId="106" applyFont="1" applyBorder="1" applyAlignment="1">
      <alignment horizontal="left"/>
      <protection/>
    </xf>
    <xf numFmtId="0" fontId="42" fillId="0" borderId="45" xfId="106" applyFont="1" applyBorder="1" applyAlignment="1">
      <alignment horizontal="left" vertical="center"/>
      <protection/>
    </xf>
    <xf numFmtId="0" fontId="42" fillId="0" borderId="14" xfId="106" applyFont="1" applyBorder="1" applyAlignment="1">
      <alignment horizontal="center" vertical="center"/>
      <protection/>
    </xf>
    <xf numFmtId="0" fontId="36" fillId="0" borderId="14" xfId="106" applyFont="1" applyBorder="1" applyAlignment="1">
      <alignment horizontal="center" vertical="center"/>
      <protection/>
    </xf>
    <xf numFmtId="3" fontId="41" fillId="0" borderId="39" xfId="106" applyNumberFormat="1" applyFont="1" applyBorder="1" applyAlignment="1">
      <alignment vertical="center"/>
      <protection/>
    </xf>
    <xf numFmtId="3" fontId="41" fillId="0" borderId="39" xfId="102" applyNumberFormat="1" applyFont="1" applyBorder="1" applyAlignment="1">
      <alignment horizontal="right"/>
      <protection/>
    </xf>
    <xf numFmtId="3" fontId="41" fillId="0" borderId="39" xfId="106" applyNumberFormat="1" applyFont="1" applyBorder="1" applyAlignment="1">
      <alignment horizontal="right" vertical="center"/>
      <protection/>
    </xf>
    <xf numFmtId="3" fontId="56" fillId="0" borderId="39" xfId="106" applyNumberFormat="1" applyFont="1" applyBorder="1" applyAlignment="1">
      <alignment horizontal="right" vertical="center"/>
      <protection/>
    </xf>
    <xf numFmtId="3" fontId="42" fillId="0" borderId="39" xfId="106" applyNumberFormat="1" applyFont="1" applyBorder="1" applyAlignment="1">
      <alignment horizontal="right" vertical="center"/>
      <protection/>
    </xf>
    <xf numFmtId="3" fontId="55" fillId="0" borderId="39" xfId="106" applyNumberFormat="1" applyFont="1" applyFill="1" applyBorder="1" applyAlignment="1">
      <alignment vertical="center"/>
      <protection/>
    </xf>
    <xf numFmtId="3" fontId="42" fillId="0" borderId="39" xfId="106" applyNumberFormat="1" applyFont="1" applyBorder="1" applyAlignment="1">
      <alignment vertical="center"/>
      <protection/>
    </xf>
    <xf numFmtId="3" fontId="56" fillId="0" borderId="39" xfId="106" applyNumberFormat="1" applyFont="1" applyBorder="1" applyAlignment="1">
      <alignment vertical="center"/>
      <protection/>
    </xf>
    <xf numFmtId="3" fontId="35" fillId="0" borderId="39" xfId="106" applyNumberFormat="1" applyFont="1" applyBorder="1" applyAlignment="1">
      <alignment vertical="center"/>
      <protection/>
    </xf>
    <xf numFmtId="0" fontId="42" fillId="0" borderId="45" xfId="106" applyFont="1" applyBorder="1" applyAlignment="1">
      <alignment horizontal="center" vertical="center"/>
      <protection/>
    </xf>
    <xf numFmtId="3" fontId="56" fillId="0" borderId="39" xfId="106" applyNumberFormat="1" applyFont="1" applyBorder="1">
      <alignment/>
      <protection/>
    </xf>
    <xf numFmtId="0" fontId="56" fillId="0" borderId="13" xfId="106" applyFont="1" applyFill="1" applyBorder="1" applyAlignment="1">
      <alignment horizontal="left" vertical="center"/>
      <protection/>
    </xf>
    <xf numFmtId="0" fontId="41" fillId="0" borderId="46" xfId="106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2" fillId="0" borderId="45" xfId="106" applyFont="1" applyBorder="1" applyAlignment="1">
      <alignment horizontal="center"/>
      <protection/>
    </xf>
    <xf numFmtId="0" fontId="42" fillId="20" borderId="47" xfId="106" applyFont="1" applyFill="1" applyBorder="1" applyAlignment="1">
      <alignment horizontal="center" vertical="center"/>
      <protection/>
    </xf>
    <xf numFmtId="0" fontId="42" fillId="20" borderId="48" xfId="106" applyFont="1" applyFill="1" applyBorder="1" applyAlignment="1">
      <alignment horizontal="center" vertical="center"/>
      <protection/>
    </xf>
    <xf numFmtId="0" fontId="42" fillId="20" borderId="49" xfId="106" applyFont="1" applyFill="1" applyBorder="1" applyAlignment="1">
      <alignment horizontal="center" vertical="center" wrapText="1"/>
      <protection/>
    </xf>
    <xf numFmtId="0" fontId="42" fillId="20" borderId="50" xfId="106" applyFont="1" applyFill="1" applyBorder="1" applyAlignment="1">
      <alignment horizontal="center" vertical="center"/>
      <protection/>
    </xf>
    <xf numFmtId="0" fontId="42" fillId="0" borderId="12" xfId="106" applyFont="1" applyBorder="1" applyAlignment="1">
      <alignment horizontal="center" vertical="center"/>
      <protection/>
    </xf>
    <xf numFmtId="0" fontId="56" fillId="0" borderId="51" xfId="106" applyFont="1" applyBorder="1" applyAlignment="1">
      <alignment horizontal="center" vertical="center"/>
      <protection/>
    </xf>
    <xf numFmtId="0" fontId="42" fillId="0" borderId="51" xfId="106" applyFont="1" applyBorder="1" applyAlignment="1">
      <alignment horizontal="left" vertical="center"/>
      <protection/>
    </xf>
    <xf numFmtId="3" fontId="58" fillId="24" borderId="39" xfId="106" applyNumberFormat="1" applyFont="1" applyFill="1" applyBorder="1">
      <alignment/>
      <protection/>
    </xf>
    <xf numFmtId="3" fontId="55" fillId="0" borderId="39" xfId="106" applyNumberFormat="1" applyFont="1" applyFill="1" applyBorder="1">
      <alignment/>
      <protection/>
    </xf>
    <xf numFmtId="0" fontId="41" fillId="0" borderId="12" xfId="106" applyFont="1" applyBorder="1" applyAlignment="1">
      <alignment horizontal="center" vertical="center"/>
      <protection/>
    </xf>
    <xf numFmtId="3" fontId="43" fillId="0" borderId="39" xfId="106" applyNumberFormat="1" applyFont="1" applyBorder="1" applyAlignment="1">
      <alignment vertical="center"/>
      <protection/>
    </xf>
    <xf numFmtId="0" fontId="42" fillId="0" borderId="51" xfId="106" applyFont="1" applyBorder="1" applyAlignment="1">
      <alignment horizontal="center" vertical="center"/>
      <protection/>
    </xf>
    <xf numFmtId="0" fontId="45" fillId="20" borderId="19" xfId="106" applyFont="1" applyFill="1" applyBorder="1" applyAlignment="1">
      <alignment horizontal="left" vertical="center"/>
      <protection/>
    </xf>
    <xf numFmtId="0" fontId="45" fillId="20" borderId="20" xfId="106" applyFont="1" applyFill="1" applyBorder="1" applyAlignment="1">
      <alignment horizontal="left" vertical="center"/>
      <protection/>
    </xf>
    <xf numFmtId="0" fontId="0" fillId="0" borderId="0" xfId="100">
      <alignment/>
      <protection/>
    </xf>
    <xf numFmtId="0" fontId="34" fillId="0" borderId="0" xfId="100" applyFont="1">
      <alignment/>
      <protection/>
    </xf>
    <xf numFmtId="180" fontId="48" fillId="0" borderId="0" xfId="104" applyNumberFormat="1" applyFont="1" applyFill="1" applyAlignment="1" applyProtection="1">
      <alignment vertical="center"/>
      <protection/>
    </xf>
    <xf numFmtId="180" fontId="48" fillId="0" borderId="0" xfId="104" applyNumberFormat="1" applyFont="1" applyFill="1" applyAlignment="1" applyProtection="1">
      <alignment horizontal="center" vertical="center"/>
      <protection/>
    </xf>
    <xf numFmtId="180" fontId="48" fillId="0" borderId="0" xfId="104" applyNumberFormat="1" applyFont="1" applyFill="1" applyAlignment="1" applyProtection="1">
      <alignment horizontal="center" vertical="center" wrapText="1"/>
      <protection/>
    </xf>
    <xf numFmtId="180" fontId="47" fillId="0" borderId="12" xfId="104" applyNumberFormat="1" applyFont="1" applyFill="1" applyBorder="1" applyAlignment="1" applyProtection="1">
      <alignment horizontal="center" vertical="center" wrapText="1"/>
      <protection/>
    </xf>
    <xf numFmtId="0" fontId="16" fillId="0" borderId="0" xfId="104" applyFill="1" applyAlignment="1">
      <alignment vertical="center" wrapText="1"/>
      <protection/>
    </xf>
    <xf numFmtId="180" fontId="62" fillId="0" borderId="0" xfId="104" applyNumberFormat="1" applyFont="1" applyFill="1" applyAlignment="1">
      <alignment vertical="center" wrapText="1"/>
      <protection/>
    </xf>
    <xf numFmtId="180" fontId="50" fillId="0" borderId="0" xfId="104" applyNumberFormat="1" applyFont="1" applyFill="1" applyAlignment="1">
      <alignment vertical="center" wrapText="1"/>
      <protection/>
    </xf>
    <xf numFmtId="180" fontId="64" fillId="0" borderId="0" xfId="104" applyNumberFormat="1" applyFont="1" applyFill="1" applyAlignment="1" applyProtection="1">
      <alignment vertical="center" wrapTex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 locked="0"/>
    </xf>
    <xf numFmtId="0" fontId="40" fillId="20" borderId="13" xfId="100" applyFont="1" applyFill="1" applyBorder="1" applyAlignment="1">
      <alignment horizontal="center" vertical="center" wrapText="1"/>
      <protection/>
    </xf>
    <xf numFmtId="0" fontId="42" fillId="20" borderId="13" xfId="100" applyFont="1" applyFill="1" applyBorder="1" applyAlignment="1">
      <alignment horizontal="center" vertical="center"/>
      <protection/>
    </xf>
    <xf numFmtId="0" fontId="1" fillId="0" borderId="13" xfId="100" applyFont="1" applyBorder="1">
      <alignment/>
      <protection/>
    </xf>
    <xf numFmtId="0" fontId="42" fillId="0" borderId="13" xfId="100" applyFont="1" applyBorder="1" applyAlignment="1">
      <alignment horizontal="left"/>
      <protection/>
    </xf>
    <xf numFmtId="0" fontId="1" fillId="0" borderId="13" xfId="100" applyFont="1" applyBorder="1" applyAlignment="1">
      <alignment horizontal="center"/>
      <protection/>
    </xf>
    <xf numFmtId="0" fontId="41" fillId="0" borderId="13" xfId="100" applyFont="1" applyBorder="1" applyAlignment="1">
      <alignment horizontal="left" vertical="distributed"/>
      <protection/>
    </xf>
    <xf numFmtId="0" fontId="41" fillId="0" borderId="13" xfId="100" applyFont="1" applyBorder="1" applyAlignment="1">
      <alignment horizontal="left"/>
      <protection/>
    </xf>
    <xf numFmtId="0" fontId="41" fillId="0" borderId="41" xfId="100" applyFont="1" applyBorder="1" applyAlignment="1">
      <alignment horizontal="left"/>
      <protection/>
    </xf>
    <xf numFmtId="0" fontId="41" fillId="0" borderId="41" xfId="100" applyFont="1" applyBorder="1" applyAlignment="1">
      <alignment horizontal="left" vertical="distributed"/>
      <protection/>
    </xf>
    <xf numFmtId="3" fontId="1" fillId="0" borderId="13" xfId="100" applyNumberFormat="1" applyFont="1" applyBorder="1">
      <alignment/>
      <protection/>
    </xf>
    <xf numFmtId="0" fontId="58" fillId="24" borderId="14" xfId="106" applyFont="1" applyFill="1" applyBorder="1" applyAlignment="1">
      <alignment horizontal="left" vertical="center"/>
      <protection/>
    </xf>
    <xf numFmtId="0" fontId="58" fillId="24" borderId="12" xfId="106" applyFont="1" applyFill="1" applyBorder="1" applyAlignment="1">
      <alignment horizontal="left" vertical="center"/>
      <protection/>
    </xf>
    <xf numFmtId="0" fontId="58" fillId="24" borderId="13" xfId="106" applyFont="1" applyFill="1" applyBorder="1" applyAlignment="1">
      <alignment horizontal="left" vertical="center"/>
      <protection/>
    </xf>
    <xf numFmtId="180" fontId="51" fillId="0" borderId="13" xfId="104" applyNumberFormat="1" applyFont="1" applyFill="1" applyBorder="1" applyAlignment="1" applyProtection="1">
      <alignment horizontal="center" vertical="center"/>
      <protection/>
    </xf>
    <xf numFmtId="180" fontId="47" fillId="0" borderId="13" xfId="104" applyNumberFormat="1" applyFont="1" applyFill="1" applyBorder="1" applyAlignment="1" applyProtection="1">
      <alignment horizontal="center" vertical="center" wrapText="1"/>
      <protection/>
    </xf>
    <xf numFmtId="180" fontId="47" fillId="0" borderId="39" xfId="104" applyNumberFormat="1" applyFont="1" applyFill="1" applyBorder="1" applyAlignment="1" applyProtection="1">
      <alignment horizontal="center" vertical="center" wrapText="1"/>
      <protection/>
    </xf>
    <xf numFmtId="180" fontId="47" fillId="0" borderId="13" xfId="104" applyNumberFormat="1" applyFont="1" applyFill="1" applyBorder="1" applyAlignment="1" applyProtection="1">
      <alignment horizontal="left" vertical="center" wrapText="1" indent="1"/>
      <protection/>
    </xf>
    <xf numFmtId="182" fontId="52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/>
    </xf>
    <xf numFmtId="182" fontId="52" fillId="0" borderId="39" xfId="74" applyNumberFormat="1" applyFont="1" applyFill="1" applyBorder="1" applyAlignment="1" applyProtection="1">
      <alignment vertical="center" wrapText="1"/>
      <protection/>
    </xf>
    <xf numFmtId="182" fontId="27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47" fillId="0" borderId="13" xfId="74" applyNumberFormat="1" applyFont="1" applyFill="1" applyBorder="1" applyAlignment="1" applyProtection="1">
      <alignment vertical="center" wrapText="1"/>
      <protection/>
    </xf>
    <xf numFmtId="182" fontId="47" fillId="0" borderId="39" xfId="74" applyNumberFormat="1" applyFont="1" applyFill="1" applyBorder="1" applyAlignment="1" applyProtection="1">
      <alignment vertical="center" wrapText="1"/>
      <protection/>
    </xf>
    <xf numFmtId="180" fontId="52" fillId="0" borderId="13" xfId="104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13" xfId="104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/>
    </xf>
    <xf numFmtId="182" fontId="52" fillId="0" borderId="39" xfId="74" applyNumberFormat="1" applyFont="1" applyFill="1" applyBorder="1" applyAlignment="1" applyProtection="1">
      <alignment vertical="center" wrapText="1"/>
      <protection/>
    </xf>
    <xf numFmtId="182" fontId="64" fillId="25" borderId="19" xfId="74" applyNumberFormat="1" applyFont="1" applyFill="1" applyBorder="1" applyAlignment="1" applyProtection="1">
      <alignment horizontal="left" vertical="center" wrapText="1" indent="2"/>
      <protection/>
    </xf>
    <xf numFmtId="182" fontId="64" fillId="0" borderId="19" xfId="74" applyNumberFormat="1" applyFont="1" applyFill="1" applyBorder="1" applyAlignment="1" applyProtection="1">
      <alignment vertical="center" wrapText="1"/>
      <protection/>
    </xf>
    <xf numFmtId="182" fontId="64" fillId="0" borderId="44" xfId="74" applyNumberFormat="1" applyFont="1" applyFill="1" applyBorder="1" applyAlignment="1" applyProtection="1">
      <alignment vertical="center" wrapText="1"/>
      <protection/>
    </xf>
    <xf numFmtId="0" fontId="60" fillId="0" borderId="13" xfId="100" applyFont="1" applyBorder="1" applyAlignment="1">
      <alignment horizontal="center"/>
      <protection/>
    </xf>
    <xf numFmtId="0" fontId="56" fillId="0" borderId="13" xfId="100" applyFont="1" applyBorder="1" applyAlignment="1">
      <alignment horizontal="left"/>
      <protection/>
    </xf>
    <xf numFmtId="3" fontId="43" fillId="0" borderId="13" xfId="100" applyNumberFormat="1" applyFont="1" applyBorder="1">
      <alignment/>
      <protection/>
    </xf>
    <xf numFmtId="0" fontId="65" fillId="0" borderId="0" xfId="100" applyFont="1">
      <alignment/>
      <protection/>
    </xf>
    <xf numFmtId="0" fontId="0" fillId="0" borderId="0" xfId="100" applyFont="1">
      <alignment/>
      <protection/>
    </xf>
    <xf numFmtId="0" fontId="1" fillId="0" borderId="0" xfId="106" applyFont="1">
      <alignment/>
      <protection/>
    </xf>
    <xf numFmtId="0" fontId="40" fillId="0" borderId="0" xfId="106" applyFont="1" applyAlignment="1">
      <alignment horizontal="right"/>
      <protection/>
    </xf>
    <xf numFmtId="0" fontId="45" fillId="0" borderId="0" xfId="106" applyFont="1" applyAlignment="1">
      <alignment horizontal="center"/>
      <protection/>
    </xf>
    <xf numFmtId="0" fontId="27" fillId="0" borderId="0" xfId="101" applyFont="1" applyAlignment="1">
      <alignment horizontal="right"/>
      <protection/>
    </xf>
    <xf numFmtId="180" fontId="27" fillId="0" borderId="0" xfId="104" applyNumberFormat="1" applyFont="1" applyFill="1" applyAlignment="1" applyProtection="1">
      <alignment horizontal="centerContinuous" vertical="center"/>
      <protection/>
    </xf>
    <xf numFmtId="180" fontId="52" fillId="0" borderId="0" xfId="104" applyNumberFormat="1" applyFont="1" applyFill="1" applyAlignment="1" applyProtection="1">
      <alignment horizontal="right" vertical="center"/>
      <protection/>
    </xf>
    <xf numFmtId="0" fontId="1" fillId="0" borderId="0" xfId="106" applyFont="1" applyAlignment="1">
      <alignment/>
      <protection/>
    </xf>
    <xf numFmtId="0" fontId="42" fillId="0" borderId="0" xfId="106" applyFont="1" applyAlignment="1">
      <alignment/>
      <protection/>
    </xf>
    <xf numFmtId="0" fontId="36" fillId="0" borderId="0" xfId="106" applyFont="1" applyAlignment="1">
      <alignment horizontal="right"/>
      <protection/>
    </xf>
    <xf numFmtId="180" fontId="52" fillId="0" borderId="0" xfId="104" applyNumberFormat="1" applyFont="1" applyFill="1" applyAlignment="1">
      <alignment horizontal="center" vertical="center"/>
      <protection/>
    </xf>
    <xf numFmtId="0" fontId="66" fillId="0" borderId="0" xfId="104" applyFont="1" applyAlignment="1">
      <alignment wrapText="1"/>
      <protection/>
    </xf>
    <xf numFmtId="182" fontId="29" fillId="0" borderId="13" xfId="74" applyNumberFormat="1" applyFont="1" applyBorder="1" applyAlignment="1">
      <alignment horizontal="right" wrapText="1"/>
    </xf>
    <xf numFmtId="0" fontId="66" fillId="0" borderId="0" xfId="104" applyFont="1" applyAlignment="1">
      <alignment horizontal="right" wrapText="1"/>
      <protection/>
    </xf>
    <xf numFmtId="49" fontId="16" fillId="0" borderId="16" xfId="101" applyNumberFormat="1" applyFont="1" applyBorder="1" applyAlignment="1">
      <alignment horizontal="right"/>
      <protection/>
    </xf>
    <xf numFmtId="49" fontId="16" fillId="0" borderId="17" xfId="101" applyNumberFormat="1" applyFont="1" applyBorder="1" applyAlignment="1">
      <alignment horizontal="right"/>
      <protection/>
    </xf>
    <xf numFmtId="3" fontId="16" fillId="0" borderId="17" xfId="101" applyNumberFormat="1" applyFont="1" applyFill="1" applyBorder="1" applyAlignment="1" applyProtection="1">
      <alignment vertical="center" wrapText="1"/>
      <protection locked="0"/>
    </xf>
    <xf numFmtId="0" fontId="27" fillId="0" borderId="52" xfId="101" applyFont="1" applyBorder="1" applyAlignment="1">
      <alignment horizontal="center" vertical="center" wrapText="1"/>
      <protection/>
    </xf>
    <xf numFmtId="3" fontId="29" fillId="0" borderId="13" xfId="0" applyNumberFormat="1" applyFont="1" applyFill="1" applyBorder="1" applyAlignment="1">
      <alignment horizontal="right" wrapText="1"/>
    </xf>
    <xf numFmtId="3" fontId="25" fillId="0" borderId="13" xfId="0" applyNumberFormat="1" applyFont="1" applyFill="1" applyBorder="1" applyAlignment="1">
      <alignment horizontal="right" wrapText="1"/>
    </xf>
    <xf numFmtId="0" fontId="25" fillId="0" borderId="13" xfId="0" applyFont="1" applyFill="1" applyBorder="1" applyAlignment="1">
      <alignment horizontal="right" wrapText="1"/>
    </xf>
    <xf numFmtId="3" fontId="33" fillId="0" borderId="13" xfId="0" applyNumberFormat="1" applyFont="1" applyFill="1" applyBorder="1" applyAlignment="1">
      <alignment horizontal="right" wrapText="1"/>
    </xf>
    <xf numFmtId="0" fontId="68" fillId="0" borderId="21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3" fontId="68" fillId="0" borderId="13" xfId="0" applyNumberFormat="1" applyFont="1" applyBorder="1" applyAlignment="1">
      <alignment horizontal="right" wrapText="1"/>
    </xf>
    <xf numFmtId="0" fontId="32" fillId="0" borderId="0" xfId="0" applyFont="1" applyAlignment="1">
      <alignment/>
    </xf>
    <xf numFmtId="0" fontId="35" fillId="0" borderId="13" xfId="106" applyFont="1" applyBorder="1" applyAlignment="1">
      <alignment vertical="center" wrapText="1"/>
      <protection/>
    </xf>
    <xf numFmtId="0" fontId="41" fillId="0" borderId="14" xfId="106" applyFont="1" applyBorder="1" applyAlignment="1">
      <alignment horizontal="left" vertical="center" wrapText="1"/>
      <protection/>
    </xf>
    <xf numFmtId="0" fontId="42" fillId="0" borderId="12" xfId="106" applyFont="1" applyBorder="1" applyAlignment="1">
      <alignment horizontal="center" vertical="center" wrapText="1"/>
      <protection/>
    </xf>
    <xf numFmtId="0" fontId="42" fillId="0" borderId="13" xfId="106" applyFont="1" applyBorder="1" applyAlignment="1">
      <alignment horizontal="left" vertical="center" wrapText="1"/>
      <protection/>
    </xf>
    <xf numFmtId="0" fontId="41" fillId="0" borderId="12" xfId="106" applyFont="1" applyBorder="1" applyAlignment="1">
      <alignment horizontal="center" vertical="center" wrapText="1"/>
      <protection/>
    </xf>
    <xf numFmtId="0" fontId="41" fillId="0" borderId="13" xfId="106" applyFont="1" applyFill="1" applyBorder="1" applyAlignment="1">
      <alignment horizontal="left" vertical="center" wrapText="1"/>
      <protection/>
    </xf>
    <xf numFmtId="0" fontId="56" fillId="0" borderId="14" xfId="106" applyFont="1" applyBorder="1" applyAlignment="1">
      <alignment horizontal="left" vertical="center" wrapText="1"/>
      <protection/>
    </xf>
    <xf numFmtId="0" fontId="41" fillId="0" borderId="51" xfId="106" applyFont="1" applyBorder="1" applyAlignment="1">
      <alignment horizontal="center" vertical="center" wrapText="1"/>
      <protection/>
    </xf>
    <xf numFmtId="0" fontId="36" fillId="0" borderId="51" xfId="106" applyFont="1" applyBorder="1" applyAlignment="1">
      <alignment vertical="center" wrapText="1"/>
      <protection/>
    </xf>
    <xf numFmtId="0" fontId="36" fillId="0" borderId="14" xfId="106" applyFont="1" applyBorder="1" applyAlignment="1">
      <alignment vertical="center" wrapText="1"/>
      <protection/>
    </xf>
    <xf numFmtId="0" fontId="42" fillId="0" borderId="14" xfId="106" applyFont="1" applyBorder="1" applyAlignment="1">
      <alignment vertical="center" wrapText="1"/>
      <protection/>
    </xf>
    <xf numFmtId="0" fontId="42" fillId="0" borderId="14" xfId="106" applyFont="1" applyBorder="1" applyAlignment="1">
      <alignment horizontal="left" vertical="center" wrapText="1"/>
      <protection/>
    </xf>
    <xf numFmtId="16" fontId="41" fillId="0" borderId="14" xfId="106" applyNumberFormat="1" applyFont="1" applyBorder="1" applyAlignment="1">
      <alignment horizontal="left" vertical="center" wrapText="1"/>
      <protection/>
    </xf>
    <xf numFmtId="0" fontId="42" fillId="0" borderId="51" xfId="106" applyFont="1" applyBorder="1" applyAlignment="1">
      <alignment horizontal="center" vertical="center" wrapText="1"/>
      <protection/>
    </xf>
    <xf numFmtId="0" fontId="42" fillId="0" borderId="14" xfId="106" applyFont="1" applyBorder="1" applyAlignment="1">
      <alignment horizontal="center" vertical="center" wrapText="1"/>
      <protection/>
    </xf>
    <xf numFmtId="0" fontId="41" fillId="0" borderId="41" xfId="100" applyFont="1" applyBorder="1" applyAlignment="1">
      <alignment horizontal="left" wrapText="1"/>
      <protection/>
    </xf>
    <xf numFmtId="182" fontId="35" fillId="0" borderId="13" xfId="74" applyNumberFormat="1" applyFont="1" applyBorder="1" applyAlignment="1">
      <alignment/>
    </xf>
    <xf numFmtId="182" fontId="61" fillId="0" borderId="13" xfId="74" applyNumberFormat="1" applyFont="1" applyBorder="1" applyAlignment="1">
      <alignment/>
    </xf>
    <xf numFmtId="182" fontId="35" fillId="0" borderId="13" xfId="74" applyNumberFormat="1" applyFont="1" applyBorder="1" applyAlignment="1">
      <alignment horizontal="center"/>
    </xf>
    <xf numFmtId="0" fontId="1" fillId="0" borderId="0" xfId="100" applyFont="1" applyBorder="1">
      <alignment/>
      <protection/>
    </xf>
    <xf numFmtId="0" fontId="42" fillId="0" borderId="0" xfId="100" applyFont="1" applyBorder="1" applyAlignment="1">
      <alignment horizontal="left"/>
      <protection/>
    </xf>
    <xf numFmtId="3" fontId="1" fillId="0" borderId="0" xfId="100" applyNumberFormat="1" applyFont="1" applyBorder="1">
      <alignment/>
      <protection/>
    </xf>
    <xf numFmtId="3" fontId="25" fillId="0" borderId="13" xfId="0" applyNumberFormat="1" applyFont="1" applyFill="1" applyBorder="1" applyAlignment="1">
      <alignment wrapText="1"/>
    </xf>
    <xf numFmtId="0" fontId="38" fillId="0" borderId="21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3" fontId="58" fillId="24" borderId="39" xfId="106" applyNumberFormat="1" applyFont="1" applyFill="1" applyBorder="1" applyAlignment="1">
      <alignment horizontal="right" vertical="center"/>
      <protection/>
    </xf>
    <xf numFmtId="3" fontId="59" fillId="24" borderId="39" xfId="106" applyNumberFormat="1" applyFont="1" applyFill="1" applyBorder="1" applyAlignment="1">
      <alignment vertical="center"/>
      <protection/>
    </xf>
    <xf numFmtId="3" fontId="45" fillId="20" borderId="44" xfId="106" applyNumberFormat="1" applyFont="1" applyFill="1" applyBorder="1" applyAlignment="1">
      <alignment vertical="center"/>
      <protection/>
    </xf>
    <xf numFmtId="3" fontId="16" fillId="0" borderId="0" xfId="101" applyNumberFormat="1">
      <alignment/>
      <protection/>
    </xf>
    <xf numFmtId="3" fontId="16" fillId="0" borderId="13" xfId="101" applyNumberFormat="1" applyFont="1" applyFill="1" applyBorder="1">
      <alignment/>
      <protection/>
    </xf>
    <xf numFmtId="3" fontId="16" fillId="0" borderId="17" xfId="101" applyNumberFormat="1" applyFont="1" applyFill="1" applyBorder="1">
      <alignment/>
      <protection/>
    </xf>
    <xf numFmtId="0" fontId="41" fillId="0" borderId="13" xfId="100" applyFont="1" applyFill="1" applyBorder="1">
      <alignment/>
      <protection/>
    </xf>
    <xf numFmtId="3" fontId="42" fillId="0" borderId="13" xfId="100" applyNumberFormat="1" applyFont="1" applyFill="1" applyBorder="1">
      <alignment/>
      <protection/>
    </xf>
    <xf numFmtId="3" fontId="56" fillId="0" borderId="13" xfId="100" applyNumberFormat="1" applyFont="1" applyFill="1" applyBorder="1">
      <alignment/>
      <protection/>
    </xf>
    <xf numFmtId="0" fontId="36" fillId="0" borderId="45" xfId="106" applyFont="1" applyBorder="1" applyAlignment="1">
      <alignment horizontal="left" vertical="center" wrapText="1"/>
      <protection/>
    </xf>
    <xf numFmtId="0" fontId="1" fillId="0" borderId="53" xfId="106" applyFont="1" applyBorder="1" applyAlignment="1">
      <alignment horizontal="center"/>
      <protection/>
    </xf>
    <xf numFmtId="0" fontId="36" fillId="0" borderId="54" xfId="106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right" wrapText="1"/>
    </xf>
    <xf numFmtId="0" fontId="29" fillId="0" borderId="55" xfId="0" applyFont="1" applyBorder="1" applyAlignment="1">
      <alignment horizontal="right" wrapText="1"/>
    </xf>
    <xf numFmtId="0" fontId="29" fillId="0" borderId="55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2" fillId="0" borderId="0" xfId="106" applyFont="1" applyAlignment="1">
      <alignment horizontal="center"/>
      <protection/>
    </xf>
    <xf numFmtId="180" fontId="50" fillId="0" borderId="0" xfId="104" applyNumberFormat="1" applyFont="1" applyFill="1" applyAlignment="1" applyProtection="1">
      <alignment horizontal="center" textRotation="180" wrapText="1"/>
      <protection/>
    </xf>
    <xf numFmtId="180" fontId="63" fillId="0" borderId="0" xfId="104" applyNumberFormat="1" applyFont="1" applyFill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center" wrapText="1"/>
    </xf>
    <xf numFmtId="0" fontId="70" fillId="0" borderId="21" xfId="0" applyFont="1" applyBorder="1" applyAlignment="1">
      <alignment wrapText="1"/>
    </xf>
    <xf numFmtId="0" fontId="70" fillId="0" borderId="13" xfId="0" applyFont="1" applyBorder="1" applyAlignment="1">
      <alignment wrapText="1"/>
    </xf>
    <xf numFmtId="3" fontId="70" fillId="0" borderId="25" xfId="0" applyNumberFormat="1" applyFont="1" applyBorder="1" applyAlignment="1">
      <alignment horizontal="right" wrapText="1"/>
    </xf>
    <xf numFmtId="0" fontId="71" fillId="0" borderId="0" xfId="0" applyFont="1" applyAlignment="1">
      <alignment/>
    </xf>
    <xf numFmtId="3" fontId="70" fillId="0" borderId="13" xfId="0" applyNumberFormat="1" applyFont="1" applyBorder="1" applyAlignment="1">
      <alignment horizontal="right" wrapText="1"/>
    </xf>
    <xf numFmtId="0" fontId="42" fillId="20" borderId="50" xfId="106" applyFont="1" applyFill="1" applyBorder="1" applyAlignment="1">
      <alignment horizontal="center" vertical="center" wrapText="1"/>
      <protection/>
    </xf>
    <xf numFmtId="3" fontId="41" fillId="0" borderId="45" xfId="106" applyNumberFormat="1" applyFont="1" applyBorder="1" applyAlignment="1">
      <alignment vertical="center"/>
      <protection/>
    </xf>
    <xf numFmtId="3" fontId="41" fillId="0" borderId="45" xfId="102" applyNumberFormat="1" applyFont="1" applyBorder="1" applyAlignment="1">
      <alignment horizontal="right"/>
      <protection/>
    </xf>
    <xf numFmtId="3" fontId="41" fillId="0" borderId="45" xfId="106" applyNumberFormat="1" applyFont="1" applyBorder="1" applyAlignment="1">
      <alignment horizontal="right" vertical="center"/>
      <protection/>
    </xf>
    <xf numFmtId="3" fontId="56" fillId="0" borderId="45" xfId="106" applyNumberFormat="1" applyFont="1" applyBorder="1" applyAlignment="1">
      <alignment horizontal="right" vertical="center"/>
      <protection/>
    </xf>
    <xf numFmtId="3" fontId="42" fillId="0" borderId="45" xfId="106" applyNumberFormat="1" applyFont="1" applyBorder="1" applyAlignment="1">
      <alignment horizontal="right" vertical="center"/>
      <protection/>
    </xf>
    <xf numFmtId="3" fontId="58" fillId="24" borderId="45" xfId="106" applyNumberFormat="1" applyFont="1" applyFill="1" applyBorder="1" applyAlignment="1">
      <alignment horizontal="right" vertical="center"/>
      <protection/>
    </xf>
    <xf numFmtId="3" fontId="55" fillId="0" borderId="45" xfId="106" applyNumberFormat="1" applyFont="1" applyFill="1" applyBorder="1" applyAlignment="1">
      <alignment vertical="center"/>
      <protection/>
    </xf>
    <xf numFmtId="3" fontId="56" fillId="0" borderId="45" xfId="106" applyNumberFormat="1" applyFont="1" applyBorder="1">
      <alignment/>
      <protection/>
    </xf>
    <xf numFmtId="3" fontId="42" fillId="0" borderId="45" xfId="106" applyNumberFormat="1" applyFont="1" applyBorder="1" applyAlignment="1">
      <alignment vertical="center"/>
      <protection/>
    </xf>
    <xf numFmtId="3" fontId="56" fillId="0" borderId="45" xfId="106" applyNumberFormat="1" applyFont="1" applyBorder="1" applyAlignment="1">
      <alignment vertical="center"/>
      <protection/>
    </xf>
    <xf numFmtId="3" fontId="35" fillId="0" borderId="45" xfId="106" applyNumberFormat="1" applyFont="1" applyBorder="1" applyAlignment="1">
      <alignment vertical="center"/>
      <protection/>
    </xf>
    <xf numFmtId="3" fontId="59" fillId="24" borderId="45" xfId="106" applyNumberFormat="1" applyFont="1" applyFill="1" applyBorder="1" applyAlignment="1">
      <alignment vertical="center"/>
      <protection/>
    </xf>
    <xf numFmtId="3" fontId="45" fillId="20" borderId="56" xfId="106" applyNumberFormat="1" applyFont="1" applyFill="1" applyBorder="1" applyAlignment="1">
      <alignment vertical="center"/>
      <protection/>
    </xf>
    <xf numFmtId="0" fontId="1" fillId="0" borderId="0" xfId="106" applyFont="1" applyBorder="1" applyAlignment="1">
      <alignment horizontal="center"/>
      <protection/>
    </xf>
    <xf numFmtId="0" fontId="36" fillId="0" borderId="0" xfId="106" applyFont="1" applyFill="1" applyBorder="1" applyAlignment="1">
      <alignment horizontal="left" vertical="center"/>
      <protection/>
    </xf>
    <xf numFmtId="0" fontId="36" fillId="0" borderId="57" xfId="106" applyFont="1" applyFill="1" applyBorder="1" applyAlignment="1">
      <alignment horizontal="left" vertical="center"/>
      <protection/>
    </xf>
    <xf numFmtId="180" fontId="53" fillId="0" borderId="39" xfId="104" applyNumberFormat="1" applyFont="1" applyFill="1" applyBorder="1" applyAlignment="1" applyProtection="1">
      <alignment horizontal="right" vertical="center" wrapText="1" indent="1"/>
      <protection/>
    </xf>
    <xf numFmtId="180" fontId="51" fillId="0" borderId="58" xfId="104" applyNumberFormat="1" applyFont="1" applyFill="1" applyBorder="1" applyAlignment="1" applyProtection="1">
      <alignment horizontal="center" vertical="center" wrapText="1"/>
      <protection/>
    </xf>
    <xf numFmtId="180" fontId="47" fillId="0" borderId="58" xfId="104" applyNumberFormat="1" applyFont="1" applyFill="1" applyBorder="1" applyAlignment="1" applyProtection="1">
      <alignment horizontal="center" vertical="center" wrapText="1"/>
      <protection/>
    </xf>
    <xf numFmtId="180" fontId="52" fillId="0" borderId="59" xfId="104" applyNumberFormat="1" applyFont="1" applyFill="1" applyBorder="1" applyAlignment="1" applyProtection="1">
      <alignment horizontal="left" vertical="center" wrapText="1" indent="1"/>
      <protection/>
    </xf>
    <xf numFmtId="180" fontId="69" fillId="0" borderId="51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51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51" xfId="104" applyNumberFormat="1" applyFont="1" applyFill="1" applyBorder="1" applyAlignment="1" applyProtection="1" quotePrefix="1">
      <alignment horizontal="left" vertical="center" wrapText="1" indent="6"/>
      <protection locked="0"/>
    </xf>
    <xf numFmtId="180" fontId="47" fillId="0" borderId="58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51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40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59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59" xfId="104" applyNumberFormat="1" applyFont="1" applyFill="1" applyBorder="1" applyAlignment="1" applyProtection="1">
      <alignment horizontal="left" vertical="center" wrapText="1" indent="1"/>
      <protection locked="0"/>
    </xf>
    <xf numFmtId="180" fontId="52" fillId="0" borderId="59" xfId="104" applyNumberFormat="1" applyFont="1" applyFill="1" applyBorder="1" applyAlignment="1" applyProtection="1">
      <alignment horizontal="left" vertical="center" wrapText="1" indent="1"/>
      <protection locked="0"/>
    </xf>
    <xf numFmtId="180" fontId="52" fillId="0" borderId="51" xfId="104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58" xfId="104" applyNumberFormat="1" applyFont="1" applyFill="1" applyBorder="1" applyAlignment="1" applyProtection="1">
      <alignment horizontal="left" vertical="center" wrapText="1" indent="1"/>
      <protection/>
    </xf>
    <xf numFmtId="180" fontId="51" fillId="0" borderId="35" xfId="104" applyNumberFormat="1" applyFont="1" applyFill="1" applyBorder="1" applyAlignment="1" applyProtection="1">
      <alignment horizontal="center" vertical="center" wrapText="1"/>
      <protection/>
    </xf>
    <xf numFmtId="180" fontId="47" fillId="0" borderId="35" xfId="104" applyNumberFormat="1" applyFont="1" applyFill="1" applyBorder="1" applyAlignment="1" applyProtection="1">
      <alignment horizontal="right" vertical="center" wrapText="1" indent="1"/>
      <protection/>
    </xf>
    <xf numFmtId="180" fontId="27" fillId="0" borderId="35" xfId="104" applyNumberFormat="1" applyFont="1" applyFill="1" applyBorder="1" applyAlignment="1" applyProtection="1">
      <alignment horizontal="right" vertical="center" wrapText="1" indent="1"/>
      <protection/>
    </xf>
    <xf numFmtId="180" fontId="52" fillId="0" borderId="10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1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60" xfId="104" applyNumberFormat="1" applyFont="1" applyFill="1" applyBorder="1" applyAlignment="1" applyProtection="1">
      <alignment horizontal="right" vertical="center" wrapText="1" indent="1"/>
      <protection locked="0"/>
    </xf>
    <xf numFmtId="180" fontId="69" fillId="0" borderId="12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2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8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9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44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0" xfId="104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1" xfId="104" applyNumberFormat="1" applyFont="1" applyFill="1" applyBorder="1" applyAlignment="1" applyProtection="1">
      <alignment horizontal="right" vertical="center" wrapText="1" indent="1"/>
      <protection/>
    </xf>
    <xf numFmtId="180" fontId="53" fillId="0" borderId="60" xfId="104" applyNumberFormat="1" applyFont="1" applyFill="1" applyBorder="1" applyAlignment="1" applyProtection="1">
      <alignment horizontal="right" vertical="center" wrapText="1" indent="1"/>
      <protection/>
    </xf>
    <xf numFmtId="180" fontId="52" fillId="0" borderId="12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8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9" xfId="104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0" xfId="104" applyNumberFormat="1" applyFont="1" applyFill="1" applyAlignment="1" applyProtection="1">
      <alignment horizontal="right" vertical="center"/>
      <protection/>
    </xf>
    <xf numFmtId="0" fontId="36" fillId="0" borderId="38" xfId="106" applyFont="1" applyFill="1" applyBorder="1" applyAlignment="1">
      <alignment horizontal="left" vertical="center"/>
      <protection/>
    </xf>
    <xf numFmtId="0" fontId="36" fillId="0" borderId="36" xfId="106" applyFont="1" applyFill="1" applyBorder="1" applyAlignment="1">
      <alignment horizontal="left" vertical="center"/>
      <protection/>
    </xf>
    <xf numFmtId="180" fontId="51" fillId="0" borderId="34" xfId="104" applyNumberFormat="1" applyFont="1" applyFill="1" applyBorder="1" applyAlignment="1" applyProtection="1">
      <alignment horizontal="center" vertical="center" wrapText="1"/>
      <protection/>
    </xf>
    <xf numFmtId="180" fontId="47" fillId="0" borderId="34" xfId="104" applyNumberFormat="1" applyFont="1" applyFill="1" applyBorder="1" applyAlignment="1" applyProtection="1">
      <alignment horizontal="center" vertical="center" wrapText="1"/>
      <protection/>
    </xf>
    <xf numFmtId="180" fontId="47" fillId="0" borderId="0" xfId="104" applyNumberFormat="1" applyFont="1" applyFill="1" applyAlignment="1" applyProtection="1">
      <alignment horizontal="center" vertical="center" wrapText="1"/>
      <protection/>
    </xf>
    <xf numFmtId="180" fontId="52" fillId="0" borderId="61" xfId="104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8" xfId="104" applyNumberFormat="1" applyFont="1" applyFill="1" applyBorder="1" applyAlignment="1" applyProtection="1">
      <alignment horizontal="left" vertical="center" wrapText="1" indent="1"/>
      <protection/>
    </xf>
    <xf numFmtId="180" fontId="47" fillId="0" borderId="34" xfId="104" applyNumberFormat="1" applyFont="1" applyFill="1" applyBorder="1" applyAlignment="1" applyProtection="1">
      <alignment horizontal="right" vertical="center" wrapText="1" indent="1"/>
      <protection/>
    </xf>
    <xf numFmtId="180" fontId="52" fillId="0" borderId="43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12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62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14" xfId="104" applyNumberFormat="1" applyFont="1" applyFill="1" applyBorder="1" applyAlignment="1" applyProtection="1">
      <alignment horizontal="left" vertical="center" wrapText="1" indent="1"/>
      <protection/>
    </xf>
    <xf numFmtId="180" fontId="52" fillId="0" borderId="18" xfId="104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20" xfId="104" applyNumberFormat="1" applyFont="1" applyFill="1" applyBorder="1" applyAlignment="1" applyProtection="1">
      <alignment horizontal="left" vertical="center" wrapText="1" indent="1"/>
      <protection/>
    </xf>
    <xf numFmtId="180" fontId="51" fillId="0" borderId="63" xfId="104" applyNumberFormat="1" applyFont="1" applyFill="1" applyBorder="1" applyAlignment="1" applyProtection="1">
      <alignment horizontal="centerContinuous" vertical="center" wrapText="1"/>
      <protection/>
    </xf>
    <xf numFmtId="180" fontId="52" fillId="0" borderId="14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1" xfId="104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42" xfId="104" applyNumberFormat="1" applyFont="1" applyFill="1" applyBorder="1" applyAlignment="1" applyProtection="1">
      <alignment horizontal="center" vertical="center" wrapText="1"/>
      <protection/>
    </xf>
    <xf numFmtId="180" fontId="47" fillId="0" borderId="42" xfId="104" applyNumberFormat="1" applyFont="1" applyFill="1" applyBorder="1" applyAlignment="1" applyProtection="1">
      <alignment horizontal="center" vertical="center" wrapText="1"/>
      <protection/>
    </xf>
    <xf numFmtId="180" fontId="52" fillId="0" borderId="17" xfId="104" applyNumberFormat="1" applyFont="1" applyFill="1" applyBorder="1" applyAlignment="1" applyProtection="1">
      <alignment horizontal="right" vertical="center" wrapText="1" indent="1"/>
      <protection locked="0"/>
    </xf>
    <xf numFmtId="180" fontId="47" fillId="0" borderId="64" xfId="104" applyNumberFormat="1" applyFont="1" applyFill="1" applyBorder="1" applyAlignment="1" applyProtection="1">
      <alignment horizontal="center" vertical="center" wrapText="1"/>
      <protection/>
    </xf>
    <xf numFmtId="180" fontId="47" fillId="0" borderId="65" xfId="104" applyNumberFormat="1" applyFont="1" applyFill="1" applyBorder="1" applyAlignment="1" applyProtection="1">
      <alignment horizontal="center" vertical="center" wrapText="1"/>
      <protection/>
    </xf>
    <xf numFmtId="180" fontId="47" fillId="0" borderId="66" xfId="104" applyNumberFormat="1" applyFont="1" applyFill="1" applyBorder="1" applyAlignment="1" applyProtection="1">
      <alignment horizontal="center" vertical="center" wrapText="1"/>
      <protection/>
    </xf>
    <xf numFmtId="180" fontId="27" fillId="0" borderId="0" xfId="104" applyNumberFormat="1" applyFont="1" applyFill="1" applyAlignment="1" applyProtection="1">
      <alignment horizontal="center" vertical="center"/>
      <protection/>
    </xf>
    <xf numFmtId="180" fontId="47" fillId="0" borderId="63" xfId="104" applyNumberFormat="1" applyFont="1" applyFill="1" applyBorder="1" applyAlignment="1" applyProtection="1">
      <alignment horizontal="right" vertical="center" wrapText="1" indent="1"/>
      <protection/>
    </xf>
    <xf numFmtId="180" fontId="47" fillId="0" borderId="67" xfId="104" applyNumberFormat="1" applyFont="1" applyFill="1" applyBorder="1" applyAlignment="1" applyProtection="1">
      <alignment horizontal="center" vertical="center" wrapText="1"/>
      <protection/>
    </xf>
    <xf numFmtId="180" fontId="47" fillId="0" borderId="68" xfId="104" applyNumberFormat="1" applyFont="1" applyFill="1" applyBorder="1" applyAlignment="1" applyProtection="1">
      <alignment horizontal="center" vertical="center" wrapText="1"/>
      <protection/>
    </xf>
    <xf numFmtId="180" fontId="52" fillId="0" borderId="69" xfId="104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52" xfId="104" applyNumberFormat="1" applyFont="1" applyFill="1" applyBorder="1" applyAlignment="1" applyProtection="1">
      <alignment horizontal="right" vertical="center" wrapText="1" indent="1"/>
      <protection/>
    </xf>
    <xf numFmtId="180" fontId="52" fillId="0" borderId="14" xfId="104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4" xfId="104" applyNumberFormat="1" applyFont="1" applyFill="1" applyBorder="1" applyAlignment="1" applyProtection="1">
      <alignment horizontal="right" vertical="center" wrapText="1" indent="1"/>
      <protection/>
    </xf>
    <xf numFmtId="180" fontId="27" fillId="0" borderId="63" xfId="104" applyNumberFormat="1" applyFont="1" applyFill="1" applyBorder="1" applyAlignment="1" applyProtection="1">
      <alignment horizontal="right" vertical="center" wrapText="1" indent="1"/>
      <protection/>
    </xf>
    <xf numFmtId="180" fontId="52" fillId="0" borderId="15" xfId="104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70" xfId="104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5" fillId="0" borderId="0" xfId="103" applyFont="1" applyAlignment="1">
      <alignment horizontal="center"/>
      <protection/>
    </xf>
    <xf numFmtId="0" fontId="46" fillId="0" borderId="0" xfId="103" applyFont="1" applyAlignment="1">
      <alignment horizontal="right"/>
      <protection/>
    </xf>
    <xf numFmtId="0" fontId="28" fillId="0" borderId="0" xfId="103" applyFont="1">
      <alignment/>
      <protection/>
    </xf>
    <xf numFmtId="0" fontId="25" fillId="0" borderId="12" xfId="103" applyFont="1" applyBorder="1" applyAlignment="1">
      <alignment horizontal="center"/>
      <protection/>
    </xf>
    <xf numFmtId="0" fontId="25" fillId="0" borderId="71" xfId="103" applyFont="1" applyBorder="1" applyAlignment="1">
      <alignment horizontal="left"/>
      <protection/>
    </xf>
    <xf numFmtId="0" fontId="28" fillId="0" borderId="13" xfId="103" applyFont="1" applyBorder="1" applyAlignment="1">
      <alignment horizontal="right"/>
      <protection/>
    </xf>
    <xf numFmtId="3" fontId="25" fillId="0" borderId="41" xfId="103" applyNumberFormat="1" applyFont="1" applyBorder="1" applyAlignment="1">
      <alignment horizontal="right"/>
      <protection/>
    </xf>
    <xf numFmtId="0" fontId="28" fillId="0" borderId="39" xfId="103" applyFont="1" applyBorder="1" applyAlignment="1">
      <alignment horizontal="center"/>
      <protection/>
    </xf>
    <xf numFmtId="0" fontId="74" fillId="0" borderId="0" xfId="103" applyFont="1">
      <alignment/>
      <protection/>
    </xf>
    <xf numFmtId="0" fontId="28" fillId="0" borderId="13" xfId="103" applyFont="1" applyBorder="1" applyAlignment="1">
      <alignment horizontal="center"/>
      <protection/>
    </xf>
    <xf numFmtId="0" fontId="75" fillId="0" borderId="13" xfId="103" applyFont="1" applyBorder="1" applyAlignment="1">
      <alignment horizontal="left" wrapText="1"/>
      <protection/>
    </xf>
    <xf numFmtId="0" fontId="75" fillId="0" borderId="13" xfId="103" applyFont="1" applyBorder="1" applyAlignment="1">
      <alignment horizontal="right"/>
      <protection/>
    </xf>
    <xf numFmtId="3" fontId="75" fillId="0" borderId="13" xfId="103" applyNumberFormat="1" applyFont="1" applyBorder="1" applyAlignment="1">
      <alignment horizontal="right"/>
      <protection/>
    </xf>
    <xf numFmtId="0" fontId="75" fillId="0" borderId="13" xfId="103" applyFont="1" applyBorder="1" applyAlignment="1">
      <alignment horizontal="center"/>
      <protection/>
    </xf>
    <xf numFmtId="0" fontId="75" fillId="0" borderId="13" xfId="103" applyFont="1" applyBorder="1" applyAlignment="1">
      <alignment horizontal="left"/>
      <protection/>
    </xf>
    <xf numFmtId="0" fontId="25" fillId="0" borderId="17" xfId="103" applyFont="1" applyBorder="1" applyAlignment="1">
      <alignment horizontal="left"/>
      <protection/>
    </xf>
    <xf numFmtId="0" fontId="25" fillId="0" borderId="15" xfId="103" applyFont="1" applyBorder="1" applyAlignment="1">
      <alignment horizontal="right"/>
      <protection/>
    </xf>
    <xf numFmtId="0" fontId="28" fillId="21" borderId="18" xfId="103" applyFont="1" applyFill="1" applyBorder="1" applyAlignment="1">
      <alignment horizontal="center"/>
      <protection/>
    </xf>
    <xf numFmtId="0" fontId="25" fillId="21" borderId="19" xfId="103" applyFont="1" applyFill="1" applyBorder="1" applyAlignment="1">
      <alignment horizontal="left"/>
      <protection/>
    </xf>
    <xf numFmtId="0" fontId="25" fillId="21" borderId="20" xfId="103" applyFont="1" applyFill="1" applyBorder="1" applyAlignment="1">
      <alignment horizontal="right"/>
      <protection/>
    </xf>
    <xf numFmtId="3" fontId="25" fillId="21" borderId="72" xfId="103" applyNumberFormat="1" applyFont="1" applyFill="1" applyBorder="1" applyAlignment="1">
      <alignment horizontal="right"/>
      <protection/>
    </xf>
    <xf numFmtId="0" fontId="28" fillId="21" borderId="44" xfId="103" applyFont="1" applyFill="1" applyBorder="1" applyAlignment="1">
      <alignment horizontal="center"/>
      <protection/>
    </xf>
    <xf numFmtId="0" fontId="35" fillId="0" borderId="0" xfId="103" applyFont="1">
      <alignment/>
      <protection/>
    </xf>
    <xf numFmtId="0" fontId="28" fillId="0" borderId="0" xfId="103" applyFont="1" applyAlignment="1">
      <alignment horizontal="right"/>
      <protection/>
    </xf>
    <xf numFmtId="0" fontId="29" fillId="0" borderId="24" xfId="0" applyFont="1" applyBorder="1" applyAlignment="1">
      <alignment wrapText="1"/>
    </xf>
    <xf numFmtId="0" fontId="29" fillId="0" borderId="25" xfId="0" applyFont="1" applyBorder="1" applyAlignment="1">
      <alignment wrapText="1"/>
    </xf>
    <xf numFmtId="0" fontId="56" fillId="0" borderId="51" xfId="106" applyFont="1" applyBorder="1" applyAlignment="1">
      <alignment horizontal="left" vertical="center" wrapText="1"/>
      <protection/>
    </xf>
    <xf numFmtId="0" fontId="56" fillId="0" borderId="14" xfId="106" applyFont="1" applyBorder="1" applyAlignment="1">
      <alignment horizontal="left" vertical="center" wrapText="1"/>
      <protection/>
    </xf>
    <xf numFmtId="0" fontId="56" fillId="0" borderId="45" xfId="106" applyFont="1" applyBorder="1" applyAlignment="1">
      <alignment horizontal="left" vertical="center"/>
      <protection/>
    </xf>
    <xf numFmtId="0" fontId="56" fillId="0" borderId="14" xfId="106" applyFont="1" applyBorder="1" applyAlignment="1">
      <alignment horizontal="left" vertical="center"/>
      <protection/>
    </xf>
    <xf numFmtId="0" fontId="58" fillId="24" borderId="51" xfId="106" applyFont="1" applyFill="1" applyBorder="1" applyAlignment="1">
      <alignment horizontal="left" vertical="center"/>
      <protection/>
    </xf>
    <xf numFmtId="0" fontId="58" fillId="24" borderId="14" xfId="106" applyFont="1" applyFill="1" applyBorder="1" applyAlignment="1">
      <alignment horizontal="left" vertical="center"/>
      <protection/>
    </xf>
    <xf numFmtId="0" fontId="58" fillId="24" borderId="45" xfId="106" applyFont="1" applyFill="1" applyBorder="1" applyAlignment="1">
      <alignment horizontal="left" vertical="center"/>
      <protection/>
    </xf>
    <xf numFmtId="0" fontId="45" fillId="20" borderId="18" xfId="106" applyFont="1" applyFill="1" applyBorder="1" applyAlignment="1">
      <alignment horizontal="left" vertical="center"/>
      <protection/>
    </xf>
    <xf numFmtId="0" fontId="45" fillId="20" borderId="19" xfId="106" applyFont="1" applyFill="1" applyBorder="1" applyAlignment="1">
      <alignment horizontal="left" vertical="center"/>
      <protection/>
    </xf>
    <xf numFmtId="0" fontId="36" fillId="0" borderId="12" xfId="106" applyFont="1" applyFill="1" applyBorder="1" applyAlignment="1">
      <alignment horizontal="left" vertical="center"/>
      <protection/>
    </xf>
    <xf numFmtId="0" fontId="36" fillId="0" borderId="13" xfId="106" applyFont="1" applyFill="1" applyBorder="1" applyAlignment="1">
      <alignment horizontal="left" vertical="center"/>
      <protection/>
    </xf>
    <xf numFmtId="0" fontId="36" fillId="0" borderId="14" xfId="106" applyFont="1" applyFill="1" applyBorder="1" applyAlignment="1">
      <alignment horizontal="left" vertical="center"/>
      <protection/>
    </xf>
    <xf numFmtId="0" fontId="43" fillId="0" borderId="51" xfId="106" applyFont="1" applyBorder="1" applyAlignment="1">
      <alignment horizontal="left" vertical="center" wrapText="1"/>
      <protection/>
    </xf>
    <xf numFmtId="0" fontId="43" fillId="0" borderId="14" xfId="106" applyFont="1" applyBorder="1" applyAlignment="1">
      <alignment horizontal="left" vertical="center" wrapText="1"/>
      <protection/>
    </xf>
    <xf numFmtId="0" fontId="43" fillId="0" borderId="14" xfId="106" applyFont="1" applyFill="1" applyBorder="1" applyAlignment="1">
      <alignment horizontal="left" vertical="center"/>
      <protection/>
    </xf>
    <xf numFmtId="0" fontId="43" fillId="0" borderId="13" xfId="106" applyFont="1" applyFill="1" applyBorder="1" applyAlignment="1">
      <alignment horizontal="left" vertical="center"/>
      <protection/>
    </xf>
    <xf numFmtId="0" fontId="36" fillId="0" borderId="51" xfId="106" applyFont="1" applyBorder="1" applyAlignment="1">
      <alignment horizontal="left" vertical="center" wrapText="1"/>
      <protection/>
    </xf>
    <xf numFmtId="0" fontId="36" fillId="0" borderId="45" xfId="106" applyFont="1" applyBorder="1" applyAlignment="1">
      <alignment horizontal="left" vertical="center" wrapText="1"/>
      <protection/>
    </xf>
    <xf numFmtId="0" fontId="36" fillId="0" borderId="54" xfId="106" applyFont="1" applyBorder="1" applyAlignment="1">
      <alignment horizontal="left" vertical="center" wrapText="1"/>
      <protection/>
    </xf>
    <xf numFmtId="0" fontId="36" fillId="0" borderId="45" xfId="106" applyFont="1" applyFill="1" applyBorder="1" applyAlignment="1">
      <alignment horizontal="left" vertical="center"/>
      <protection/>
    </xf>
    <xf numFmtId="0" fontId="56" fillId="0" borderId="51" xfId="106" applyFont="1" applyBorder="1" applyAlignment="1">
      <alignment horizontal="left" vertical="center"/>
      <protection/>
    </xf>
    <xf numFmtId="0" fontId="58" fillId="24" borderId="12" xfId="106" applyFont="1" applyFill="1" applyBorder="1" applyAlignment="1">
      <alignment horizontal="left" vertical="center"/>
      <protection/>
    </xf>
    <xf numFmtId="0" fontId="58" fillId="24" borderId="13" xfId="106" applyFont="1" applyFill="1" applyBorder="1" applyAlignment="1">
      <alignment horizontal="left" vertical="center"/>
      <protection/>
    </xf>
    <xf numFmtId="0" fontId="57" fillId="0" borderId="13" xfId="106" applyFont="1" applyFill="1" applyBorder="1" applyAlignment="1">
      <alignment horizontal="left" vertical="center"/>
      <protection/>
    </xf>
    <xf numFmtId="0" fontId="36" fillId="0" borderId="51" xfId="106" applyFont="1" applyFill="1" applyBorder="1" applyAlignment="1">
      <alignment horizontal="left" vertical="center"/>
      <protection/>
    </xf>
    <xf numFmtId="0" fontId="36" fillId="0" borderId="54" xfId="106" applyFont="1" applyFill="1" applyBorder="1" applyAlignment="1">
      <alignment horizontal="left" vertical="center"/>
      <protection/>
    </xf>
    <xf numFmtId="0" fontId="56" fillId="0" borderId="45" xfId="106" applyFont="1" applyBorder="1" applyAlignment="1">
      <alignment horizontal="left"/>
      <protection/>
    </xf>
    <xf numFmtId="0" fontId="56" fillId="0" borderId="14" xfId="106" applyFont="1" applyBorder="1" applyAlignment="1">
      <alignment horizontal="left"/>
      <protection/>
    </xf>
    <xf numFmtId="0" fontId="28" fillId="0" borderId="53" xfId="0" applyFont="1" applyBorder="1" applyAlignment="1">
      <alignment horizontal="left" wrapText="1"/>
    </xf>
    <xf numFmtId="0" fontId="45" fillId="0" borderId="0" xfId="106" applyFont="1" applyAlignment="1">
      <alignment horizontal="center"/>
      <protection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4" fillId="0" borderId="0" xfId="101" applyFont="1" applyAlignment="1">
      <alignment horizontal="center"/>
      <protection/>
    </xf>
    <xf numFmtId="180" fontId="50" fillId="0" borderId="0" xfId="104" applyNumberFormat="1" applyFont="1" applyFill="1" applyAlignment="1" applyProtection="1">
      <alignment horizontal="center" textRotation="180" wrapText="1"/>
      <protection/>
    </xf>
    <xf numFmtId="180" fontId="51" fillId="0" borderId="73" xfId="104" applyNumberFormat="1" applyFont="1" applyFill="1" applyBorder="1" applyAlignment="1" applyProtection="1">
      <alignment horizontal="center" vertical="center" wrapText="1"/>
      <protection/>
    </xf>
    <xf numFmtId="180" fontId="51" fillId="0" borderId="74" xfId="104" applyNumberFormat="1" applyFont="1" applyFill="1" applyBorder="1" applyAlignment="1" applyProtection="1">
      <alignment horizontal="center" vertical="center" wrapText="1"/>
      <protection/>
    </xf>
    <xf numFmtId="180" fontId="72" fillId="0" borderId="50" xfId="104" applyNumberFormat="1" applyFont="1" applyFill="1" applyBorder="1" applyAlignment="1" applyProtection="1">
      <alignment horizontal="center" vertical="center" wrapText="1"/>
      <protection/>
    </xf>
    <xf numFmtId="180" fontId="51" fillId="0" borderId="67" xfId="104" applyNumberFormat="1" applyFont="1" applyFill="1" applyBorder="1" applyAlignment="1" applyProtection="1">
      <alignment horizontal="center" vertical="center" wrapText="1"/>
      <protection/>
    </xf>
    <xf numFmtId="180" fontId="51" fillId="0" borderId="75" xfId="104" applyNumberFormat="1" applyFont="1" applyFill="1" applyBorder="1" applyAlignment="1" applyProtection="1">
      <alignment horizontal="center" vertical="center" wrapText="1"/>
      <protection/>
    </xf>
    <xf numFmtId="180" fontId="49" fillId="0" borderId="0" xfId="104" applyNumberFormat="1" applyFont="1" applyFill="1" applyAlignment="1" applyProtection="1">
      <alignment horizontal="center" vertical="center" wrapText="1"/>
      <protection/>
    </xf>
    <xf numFmtId="0" fontId="42" fillId="0" borderId="0" xfId="103" applyFont="1" applyAlignment="1">
      <alignment horizontal="center"/>
      <protection/>
    </xf>
    <xf numFmtId="0" fontId="73" fillId="0" borderId="35" xfId="103" applyFont="1" applyFill="1" applyBorder="1" applyAlignment="1">
      <alignment horizontal="center" vertical="center" wrapText="1"/>
      <protection/>
    </xf>
    <xf numFmtId="0" fontId="25" fillId="26" borderId="35" xfId="103" applyFont="1" applyFill="1" applyBorder="1" applyAlignment="1">
      <alignment horizontal="center" vertical="center" wrapText="1"/>
      <protection/>
    </xf>
    <xf numFmtId="0" fontId="25" fillId="26" borderId="73" xfId="103" applyFont="1" applyFill="1" applyBorder="1" applyAlignment="1">
      <alignment horizontal="center" vertical="center" wrapText="1"/>
      <protection/>
    </xf>
    <xf numFmtId="0" fontId="25" fillId="26" borderId="76" xfId="103" applyFont="1" applyFill="1" applyBorder="1" applyAlignment="1">
      <alignment horizontal="center" vertical="center" wrapText="1"/>
      <protection/>
    </xf>
    <xf numFmtId="0" fontId="25" fillId="26" borderId="74" xfId="103" applyFont="1" applyFill="1" applyBorder="1" applyAlignment="1">
      <alignment horizontal="center" vertical="center" wrapText="1"/>
      <protection/>
    </xf>
    <xf numFmtId="0" fontId="42" fillId="0" borderId="0" xfId="106" applyFont="1" applyAlignment="1">
      <alignment horizontal="center"/>
      <protection/>
    </xf>
    <xf numFmtId="0" fontId="1" fillId="0" borderId="77" xfId="106" applyFont="1" applyBorder="1" applyAlignment="1">
      <alignment horizontal="center"/>
      <protection/>
    </xf>
    <xf numFmtId="0" fontId="28" fillId="0" borderId="0" xfId="0" applyFont="1" applyBorder="1" applyAlignment="1">
      <alignment horizontal="left" wrapText="1"/>
    </xf>
    <xf numFmtId="180" fontId="52" fillId="0" borderId="53" xfId="104" applyNumberFormat="1" applyFont="1" applyFill="1" applyBorder="1" applyAlignment="1">
      <alignment horizontal="right" vertical="center" wrapText="1"/>
      <protection/>
    </xf>
    <xf numFmtId="0" fontId="67" fillId="0" borderId="0" xfId="104" applyFont="1" applyAlignment="1">
      <alignment horizontal="right" wrapText="1"/>
      <protection/>
    </xf>
    <xf numFmtId="180" fontId="50" fillId="0" borderId="40" xfId="104" applyNumberFormat="1" applyFont="1" applyFill="1" applyBorder="1" applyAlignment="1" applyProtection="1">
      <alignment horizontal="center" textRotation="180" wrapText="1"/>
      <protection/>
    </xf>
    <xf numFmtId="180" fontId="63" fillId="0" borderId="0" xfId="104" applyNumberFormat="1" applyFont="1" applyFill="1" applyAlignment="1" applyProtection="1">
      <alignment horizontal="center" vertical="center" wrapText="1"/>
      <protection/>
    </xf>
    <xf numFmtId="180" fontId="64" fillId="0" borderId="18" xfId="104" applyNumberFormat="1" applyFont="1" applyFill="1" applyBorder="1" applyAlignment="1" applyProtection="1">
      <alignment horizontal="left" vertical="center" wrapText="1" indent="2"/>
      <protection/>
    </xf>
    <xf numFmtId="180" fontId="64" fillId="0" borderId="19" xfId="104" applyNumberFormat="1" applyFont="1" applyFill="1" applyBorder="1" applyAlignment="1" applyProtection="1">
      <alignment horizontal="left" vertical="center" wrapText="1" indent="2"/>
      <protection/>
    </xf>
    <xf numFmtId="180" fontId="51" fillId="0" borderId="60" xfId="104" applyNumberFormat="1" applyFont="1" applyFill="1" applyBorder="1" applyAlignment="1" applyProtection="1">
      <alignment horizontal="center" vertical="center"/>
      <protection/>
    </xf>
    <xf numFmtId="180" fontId="51" fillId="0" borderId="39" xfId="104" applyNumberFormat="1" applyFont="1" applyFill="1" applyBorder="1" applyAlignment="1" applyProtection="1">
      <alignment horizontal="center" vertical="center"/>
      <protection/>
    </xf>
    <xf numFmtId="180" fontId="51" fillId="0" borderId="11" xfId="104" applyNumberFormat="1" applyFont="1" applyFill="1" applyBorder="1" applyAlignment="1" applyProtection="1">
      <alignment horizontal="center" vertical="center"/>
      <protection/>
    </xf>
    <xf numFmtId="180" fontId="51" fillId="0" borderId="10" xfId="104" applyNumberFormat="1" applyFont="1" applyFill="1" applyBorder="1" applyAlignment="1" applyProtection="1">
      <alignment horizontal="center" vertical="center" wrapText="1"/>
      <protection/>
    </xf>
    <xf numFmtId="180" fontId="51" fillId="0" borderId="12" xfId="104" applyNumberFormat="1" applyFont="1" applyFill="1" applyBorder="1" applyAlignment="1" applyProtection="1">
      <alignment horizontal="center" vertical="center" wrapText="1"/>
      <protection/>
    </xf>
    <xf numFmtId="180" fontId="51" fillId="0" borderId="13" xfId="104" applyNumberFormat="1" applyFont="1" applyFill="1" applyBorder="1" applyAlignment="1" applyProtection="1">
      <alignment horizontal="center" vertical="center"/>
      <protection/>
    </xf>
    <xf numFmtId="180" fontId="51" fillId="0" borderId="11" xfId="104" applyNumberFormat="1" applyFont="1" applyFill="1" applyBorder="1" applyAlignment="1" applyProtection="1">
      <alignment horizontal="center" vertical="center" wrapText="1"/>
      <protection/>
    </xf>
    <xf numFmtId="180" fontId="51" fillId="0" borderId="48" xfId="104" applyNumberFormat="1" applyFont="1" applyFill="1" applyBorder="1" applyAlignment="1" applyProtection="1">
      <alignment horizontal="center" vertical="center" wrapText="1"/>
      <protection/>
    </xf>
    <xf numFmtId="180" fontId="51" fillId="0" borderId="25" xfId="104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10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Ezres 4 2" xfId="79"/>
    <cellStyle name="Figyelmeztetés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ivatkozott cella" xfId="87"/>
    <cellStyle name="Input" xfId="88"/>
    <cellStyle name="Jegyzet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11szm" xfId="100"/>
    <cellStyle name="Normál_12.sz.mell.2013.évi fejlesztés" xfId="101"/>
    <cellStyle name="Normál_3aszm" xfId="102"/>
    <cellStyle name="Normál_7szm" xfId="103"/>
    <cellStyle name="Normál_Másolat eredetijeKVIREND" xfId="104"/>
    <cellStyle name="Normal_tanusitv" xfId="105"/>
    <cellStyle name="Normál_Zalakaros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Százalék 2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5.7109375" style="0" customWidth="1"/>
    <col min="2" max="2" width="40.57421875" style="0" customWidth="1"/>
    <col min="3" max="3" width="15.421875" style="0" customWidth="1"/>
    <col min="4" max="4" width="15.8515625" style="0" hidden="1" customWidth="1"/>
    <col min="5" max="5" width="16.28125" style="0" hidden="1" customWidth="1"/>
    <col min="6" max="6" width="15.8515625" style="0" hidden="1" customWidth="1"/>
    <col min="7" max="7" width="16.28125" style="0" customWidth="1"/>
    <col min="8" max="8" width="14.00390625" style="0" customWidth="1"/>
    <col min="9" max="9" width="16.28125" style="0" customWidth="1"/>
    <col min="10" max="10" width="3.28125" style="0" customWidth="1"/>
    <col min="11" max="11" width="5.57421875" style="0" customWidth="1"/>
    <col min="12" max="12" width="38.57421875" style="0" customWidth="1"/>
    <col min="13" max="13" width="16.7109375" style="0" customWidth="1"/>
    <col min="14" max="14" width="16.00390625" style="0" hidden="1" customWidth="1"/>
    <col min="15" max="15" width="15.421875" style="0" hidden="1" customWidth="1"/>
    <col min="16" max="16" width="16.00390625" style="0" hidden="1" customWidth="1"/>
    <col min="17" max="17" width="15.7109375" style="0" customWidth="1"/>
    <col min="18" max="18" width="15.140625" style="0" customWidth="1"/>
    <col min="19" max="19" width="15.8515625" style="0" customWidth="1"/>
  </cols>
  <sheetData>
    <row r="1" spans="1:19" ht="18.75">
      <c r="A1" s="425" t="s">
        <v>321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</row>
    <row r="2" spans="1:19" ht="18.75">
      <c r="A2" s="425" t="s">
        <v>363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</row>
    <row r="3" spans="1:19" ht="18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spans="1:19" ht="18.75">
      <c r="A4" s="460" t="s">
        <v>507</v>
      </c>
      <c r="B4" s="460"/>
      <c r="C4" s="461"/>
      <c r="D4" s="208"/>
      <c r="E4" s="208"/>
      <c r="F4" s="208"/>
      <c r="G4" s="208"/>
      <c r="H4" s="208"/>
      <c r="I4" s="208"/>
      <c r="J4" s="208"/>
      <c r="K4" s="208"/>
      <c r="L4" s="208"/>
      <c r="M4" s="207"/>
      <c r="N4" s="207"/>
      <c r="O4" s="207"/>
      <c r="P4" s="207"/>
      <c r="Q4" s="207"/>
      <c r="R4" s="207"/>
      <c r="S4" s="207"/>
    </row>
    <row r="5" spans="1:19" ht="15.75" thickBot="1">
      <c r="A5" s="424" t="s">
        <v>434</v>
      </c>
      <c r="B5" s="424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267"/>
      <c r="N5" s="298"/>
      <c r="O5" s="298"/>
      <c r="P5" s="298"/>
      <c r="Q5" s="298"/>
      <c r="R5" s="298"/>
      <c r="S5" s="298" t="s">
        <v>322</v>
      </c>
    </row>
    <row r="6" spans="1:19" ht="53.25" customHeight="1">
      <c r="A6" s="144"/>
      <c r="B6" s="145" t="s">
        <v>246</v>
      </c>
      <c r="C6" s="146" t="s">
        <v>358</v>
      </c>
      <c r="D6" s="146" t="s">
        <v>421</v>
      </c>
      <c r="E6" s="146" t="s">
        <v>417</v>
      </c>
      <c r="F6" s="146" t="s">
        <v>432</v>
      </c>
      <c r="G6" s="146" t="s">
        <v>428</v>
      </c>
      <c r="H6" s="146" t="s">
        <v>485</v>
      </c>
      <c r="I6" s="146" t="s">
        <v>481</v>
      </c>
      <c r="J6" s="284"/>
      <c r="K6" s="147"/>
      <c r="L6" s="145" t="s">
        <v>246</v>
      </c>
      <c r="M6" s="146" t="s">
        <v>358</v>
      </c>
      <c r="N6" s="146" t="s">
        <v>421</v>
      </c>
      <c r="O6" s="146" t="s">
        <v>417</v>
      </c>
      <c r="P6" s="146" t="s">
        <v>432</v>
      </c>
      <c r="Q6" s="146" t="s">
        <v>428</v>
      </c>
      <c r="R6" s="146" t="s">
        <v>485</v>
      </c>
      <c r="S6" s="146" t="s">
        <v>481</v>
      </c>
    </row>
    <row r="7" spans="1:19" ht="15" customHeight="1">
      <c r="A7" s="420" t="s">
        <v>247</v>
      </c>
      <c r="B7" s="415"/>
      <c r="C7" s="421"/>
      <c r="D7" s="108"/>
      <c r="E7" s="268"/>
      <c r="F7" s="334"/>
      <c r="G7" s="268"/>
      <c r="H7" s="334"/>
      <c r="I7" s="268"/>
      <c r="J7" s="108"/>
      <c r="K7" s="415" t="s">
        <v>248</v>
      </c>
      <c r="L7" s="415"/>
      <c r="M7" s="421"/>
      <c r="N7" s="299"/>
      <c r="O7" s="300"/>
      <c r="P7" s="335"/>
      <c r="Q7" s="300"/>
      <c r="R7" s="335"/>
      <c r="S7" s="300"/>
    </row>
    <row r="8" spans="1:19" ht="15" customHeight="1">
      <c r="A8" s="148" t="s">
        <v>93</v>
      </c>
      <c r="B8" s="110" t="s">
        <v>249</v>
      </c>
      <c r="C8" s="128"/>
      <c r="D8" s="128"/>
      <c r="E8" s="128"/>
      <c r="F8" s="128"/>
      <c r="G8" s="128"/>
      <c r="H8" s="128"/>
      <c r="I8" s="128"/>
      <c r="J8" s="285"/>
      <c r="K8" s="123" t="s">
        <v>93</v>
      </c>
      <c r="L8" s="111" t="s">
        <v>249</v>
      </c>
      <c r="M8" s="128"/>
      <c r="N8" s="128"/>
      <c r="O8" s="128"/>
      <c r="P8" s="128"/>
      <c r="Q8" s="128"/>
      <c r="R8" s="128"/>
      <c r="S8" s="128"/>
    </row>
    <row r="9" spans="1:19" ht="15" customHeight="1">
      <c r="A9" s="148"/>
      <c r="B9" s="115" t="s">
        <v>250</v>
      </c>
      <c r="C9" s="129">
        <v>160974547</v>
      </c>
      <c r="D9" s="129">
        <v>0</v>
      </c>
      <c r="E9" s="129">
        <v>160974547</v>
      </c>
      <c r="F9" s="129">
        <v>0</v>
      </c>
      <c r="G9" s="129">
        <v>160974547</v>
      </c>
      <c r="H9" s="129">
        <v>0</v>
      </c>
      <c r="I9" s="129">
        <v>160974547</v>
      </c>
      <c r="J9" s="286"/>
      <c r="K9" s="112"/>
      <c r="L9" s="115" t="s">
        <v>277</v>
      </c>
      <c r="M9" s="128">
        <v>47206036</v>
      </c>
      <c r="N9" s="128">
        <v>0</v>
      </c>
      <c r="O9" s="128">
        <v>47206036</v>
      </c>
      <c r="P9" s="128">
        <v>0</v>
      </c>
      <c r="Q9" s="128">
        <f>SUM(O9:P9)</f>
        <v>47206036</v>
      </c>
      <c r="R9" s="128">
        <v>810990</v>
      </c>
      <c r="S9" s="128">
        <f>SUM(Q9:R9)</f>
        <v>48017026</v>
      </c>
    </row>
    <row r="10" spans="1:19" ht="15" customHeight="1">
      <c r="A10" s="148"/>
      <c r="B10" s="119" t="s">
        <v>251</v>
      </c>
      <c r="C10" s="130">
        <v>82450000</v>
      </c>
      <c r="D10" s="130">
        <v>0</v>
      </c>
      <c r="E10" s="130">
        <v>82450000</v>
      </c>
      <c r="F10" s="130">
        <v>0</v>
      </c>
      <c r="G10" s="130">
        <v>82450000</v>
      </c>
      <c r="H10" s="130">
        <v>0</v>
      </c>
      <c r="I10" s="130">
        <v>82450000</v>
      </c>
      <c r="J10" s="287"/>
      <c r="K10" s="123"/>
      <c r="L10" s="140" t="s">
        <v>278</v>
      </c>
      <c r="M10" s="128">
        <v>11598180</v>
      </c>
      <c r="N10" s="128">
        <v>0</v>
      </c>
      <c r="O10" s="128">
        <v>11598180</v>
      </c>
      <c r="P10" s="128">
        <v>0</v>
      </c>
      <c r="Q10" s="128">
        <f>SUM(O10:P10)</f>
        <v>11598180</v>
      </c>
      <c r="R10" s="128">
        <v>142329</v>
      </c>
      <c r="S10" s="128">
        <f>SUM(Q10:R10)</f>
        <v>11740509</v>
      </c>
    </row>
    <row r="11" spans="1:19" ht="15" customHeight="1">
      <c r="A11" s="148"/>
      <c r="B11" s="115" t="s">
        <v>252</v>
      </c>
      <c r="C11" s="130">
        <v>11883000</v>
      </c>
      <c r="D11" s="130">
        <v>0</v>
      </c>
      <c r="E11" s="130">
        <v>11883000</v>
      </c>
      <c r="F11" s="130">
        <v>0</v>
      </c>
      <c r="G11" s="130">
        <v>11883000</v>
      </c>
      <c r="H11" s="130">
        <v>0</v>
      </c>
      <c r="I11" s="130">
        <v>11883000</v>
      </c>
      <c r="J11" s="287"/>
      <c r="K11" s="123"/>
      <c r="L11" s="115" t="s">
        <v>279</v>
      </c>
      <c r="M11" s="128">
        <v>42555558</v>
      </c>
      <c r="N11" s="128">
        <v>0</v>
      </c>
      <c r="O11" s="128">
        <v>42555558</v>
      </c>
      <c r="P11" s="128">
        <v>0</v>
      </c>
      <c r="Q11" s="128">
        <f>SUM(O11:P11)</f>
        <v>42555558</v>
      </c>
      <c r="R11" s="128">
        <v>-953319</v>
      </c>
      <c r="S11" s="128">
        <f>SUM(Q11:R11)</f>
        <v>41602239</v>
      </c>
    </row>
    <row r="12" spans="1:19" ht="15" customHeight="1">
      <c r="A12" s="148"/>
      <c r="B12" s="115" t="s">
        <v>253</v>
      </c>
      <c r="C12" s="130">
        <v>50000</v>
      </c>
      <c r="D12" s="130">
        <v>0</v>
      </c>
      <c r="E12" s="130">
        <v>50000</v>
      </c>
      <c r="F12" s="130">
        <v>0</v>
      </c>
      <c r="G12" s="130">
        <v>50000</v>
      </c>
      <c r="H12" s="130">
        <v>0</v>
      </c>
      <c r="I12" s="130">
        <v>50000</v>
      </c>
      <c r="J12" s="287"/>
      <c r="K12" s="123"/>
      <c r="L12" s="115" t="s">
        <v>280</v>
      </c>
      <c r="M12" s="128">
        <v>6315000</v>
      </c>
      <c r="N12" s="128">
        <v>0</v>
      </c>
      <c r="O12" s="128">
        <v>6315000</v>
      </c>
      <c r="P12" s="128">
        <v>0</v>
      </c>
      <c r="Q12" s="128">
        <f>SUM(O12:P12)</f>
        <v>6315000</v>
      </c>
      <c r="R12" s="128">
        <v>0</v>
      </c>
      <c r="S12" s="128">
        <f>SUM(Q12:R12)</f>
        <v>6315000</v>
      </c>
    </row>
    <row r="13" spans="1:19" ht="15" customHeight="1">
      <c r="A13" s="148"/>
      <c r="B13" s="120"/>
      <c r="C13" s="131"/>
      <c r="D13" s="131"/>
      <c r="E13" s="131"/>
      <c r="F13" s="131"/>
      <c r="G13" s="131"/>
      <c r="H13" s="131"/>
      <c r="I13" s="131"/>
      <c r="J13" s="288"/>
      <c r="K13" s="123"/>
      <c r="L13" s="115" t="s">
        <v>281</v>
      </c>
      <c r="M13" s="128">
        <v>52680225</v>
      </c>
      <c r="N13" s="128">
        <v>0</v>
      </c>
      <c r="O13" s="128">
        <v>52680225</v>
      </c>
      <c r="P13" s="128">
        <v>3717000</v>
      </c>
      <c r="Q13" s="128">
        <f>SUM(O13:P13)</f>
        <v>56397225</v>
      </c>
      <c r="R13" s="128">
        <v>3200000</v>
      </c>
      <c r="S13" s="128">
        <f>SUM(Q13:R13)</f>
        <v>59597225</v>
      </c>
    </row>
    <row r="14" spans="1:19" ht="15" customHeight="1">
      <c r="A14" s="148"/>
      <c r="B14" s="120" t="s">
        <v>254</v>
      </c>
      <c r="C14" s="131">
        <f aca="true" t="shared" si="0" ref="C14:I14">SUM(C9:C12)</f>
        <v>255357547</v>
      </c>
      <c r="D14" s="131">
        <f t="shared" si="0"/>
        <v>0</v>
      </c>
      <c r="E14" s="131">
        <f t="shared" si="0"/>
        <v>255357547</v>
      </c>
      <c r="F14" s="131">
        <f t="shared" si="0"/>
        <v>0</v>
      </c>
      <c r="G14" s="131">
        <f t="shared" si="0"/>
        <v>255357547</v>
      </c>
      <c r="H14" s="131">
        <f t="shared" si="0"/>
        <v>0</v>
      </c>
      <c r="I14" s="131">
        <f t="shared" si="0"/>
        <v>255357547</v>
      </c>
      <c r="J14" s="288"/>
      <c r="K14" s="123"/>
      <c r="L14" s="122" t="s">
        <v>254</v>
      </c>
      <c r="M14" s="135">
        <f aca="true" t="shared" si="1" ref="M14:S14">SUM(M9:M13)</f>
        <v>160354999</v>
      </c>
      <c r="N14" s="135">
        <f t="shared" si="1"/>
        <v>0</v>
      </c>
      <c r="O14" s="135">
        <f t="shared" si="1"/>
        <v>160354999</v>
      </c>
      <c r="P14" s="135">
        <f t="shared" si="1"/>
        <v>3717000</v>
      </c>
      <c r="Q14" s="135">
        <f t="shared" si="1"/>
        <v>164071999</v>
      </c>
      <c r="R14" s="135">
        <f t="shared" si="1"/>
        <v>3200000</v>
      </c>
      <c r="S14" s="135">
        <f t="shared" si="1"/>
        <v>167271999</v>
      </c>
    </row>
    <row r="15" spans="1:19" ht="15" customHeight="1">
      <c r="A15" s="148"/>
      <c r="B15" s="120"/>
      <c r="C15" s="131"/>
      <c r="D15" s="131"/>
      <c r="E15" s="131"/>
      <c r="F15" s="131"/>
      <c r="G15" s="131"/>
      <c r="H15" s="131"/>
      <c r="I15" s="131"/>
      <c r="J15" s="288"/>
      <c r="K15" s="123"/>
      <c r="L15" s="122"/>
      <c r="M15" s="135"/>
      <c r="N15" s="135"/>
      <c r="O15" s="135"/>
      <c r="P15" s="135"/>
      <c r="Q15" s="135"/>
      <c r="R15" s="135"/>
      <c r="S15" s="135"/>
    </row>
    <row r="16" spans="1:19" ht="15" customHeight="1">
      <c r="A16" s="148" t="s">
        <v>94</v>
      </c>
      <c r="B16" s="114" t="s">
        <v>255</v>
      </c>
      <c r="C16" s="130"/>
      <c r="D16" s="130"/>
      <c r="E16" s="130"/>
      <c r="F16" s="130"/>
      <c r="G16" s="130"/>
      <c r="H16" s="130"/>
      <c r="I16" s="130"/>
      <c r="J16" s="287"/>
      <c r="K16" s="123" t="s">
        <v>94</v>
      </c>
      <c r="L16" s="110" t="s">
        <v>255</v>
      </c>
      <c r="M16" s="128"/>
      <c r="N16" s="128"/>
      <c r="O16" s="128"/>
      <c r="P16" s="128"/>
      <c r="Q16" s="128"/>
      <c r="R16" s="128"/>
      <c r="S16" s="128"/>
    </row>
    <row r="17" spans="1:19" ht="15" customHeight="1">
      <c r="A17" s="148"/>
      <c r="B17" s="115" t="s">
        <v>345</v>
      </c>
      <c r="C17" s="129">
        <v>12066452</v>
      </c>
      <c r="D17" s="129">
        <v>0</v>
      </c>
      <c r="E17" s="129">
        <v>12066452</v>
      </c>
      <c r="F17" s="129">
        <v>3873194</v>
      </c>
      <c r="G17" s="129">
        <f>E17+F17</f>
        <v>15939646</v>
      </c>
      <c r="H17" s="129">
        <v>0</v>
      </c>
      <c r="I17" s="129">
        <f>G17+H17</f>
        <v>15939646</v>
      </c>
      <c r="J17" s="286"/>
      <c r="K17" s="112"/>
      <c r="L17" s="115" t="s">
        <v>282</v>
      </c>
      <c r="M17" s="128">
        <v>56933600</v>
      </c>
      <c r="N17" s="128">
        <v>0</v>
      </c>
      <c r="O17" s="128">
        <v>56933600</v>
      </c>
      <c r="P17" s="128">
        <v>2803646</v>
      </c>
      <c r="Q17" s="128">
        <f>O17+P17</f>
        <v>59737246</v>
      </c>
      <c r="R17" s="128">
        <v>0</v>
      </c>
      <c r="S17" s="128">
        <f>Q17+R17</f>
        <v>59737246</v>
      </c>
    </row>
    <row r="18" spans="1:19" ht="15" customHeight="1">
      <c r="A18" s="148"/>
      <c r="B18" s="115" t="s">
        <v>346</v>
      </c>
      <c r="C18" s="130">
        <v>16023000</v>
      </c>
      <c r="D18" s="130">
        <v>0</v>
      </c>
      <c r="E18" s="130">
        <v>16023000</v>
      </c>
      <c r="F18" s="130">
        <v>0</v>
      </c>
      <c r="G18" s="130">
        <v>16023000</v>
      </c>
      <c r="H18" s="130">
        <v>0</v>
      </c>
      <c r="I18" s="130">
        <v>16023000</v>
      </c>
      <c r="J18" s="287"/>
      <c r="K18" s="123"/>
      <c r="L18" s="140" t="s">
        <v>283</v>
      </c>
      <c r="M18" s="128">
        <v>11858308</v>
      </c>
      <c r="N18" s="128">
        <v>0</v>
      </c>
      <c r="O18" s="128">
        <v>11858308</v>
      </c>
      <c r="P18" s="128">
        <v>566196</v>
      </c>
      <c r="Q18" s="128">
        <f>O18+P18</f>
        <v>12424504</v>
      </c>
      <c r="R18" s="128">
        <v>0</v>
      </c>
      <c r="S18" s="128">
        <f>Q18+R18</f>
        <v>12424504</v>
      </c>
    </row>
    <row r="19" spans="1:19" ht="15" customHeight="1">
      <c r="A19" s="148"/>
      <c r="B19" s="120"/>
      <c r="C19" s="131"/>
      <c r="D19" s="131"/>
      <c r="E19" s="131"/>
      <c r="F19" s="131"/>
      <c r="G19" s="131"/>
      <c r="H19" s="131"/>
      <c r="I19" s="131"/>
      <c r="J19" s="288"/>
      <c r="K19" s="123"/>
      <c r="L19" s="115" t="s">
        <v>284</v>
      </c>
      <c r="M19" s="128">
        <v>34520000</v>
      </c>
      <c r="N19" s="128">
        <v>0</v>
      </c>
      <c r="O19" s="128">
        <v>34520000</v>
      </c>
      <c r="P19" s="128">
        <v>428286</v>
      </c>
      <c r="Q19" s="128">
        <f>O19+P19</f>
        <v>34948286</v>
      </c>
      <c r="R19" s="128">
        <v>0</v>
      </c>
      <c r="S19" s="128">
        <f>Q19+R19</f>
        <v>34948286</v>
      </c>
    </row>
    <row r="20" spans="1:19" ht="15" customHeight="1">
      <c r="A20" s="148"/>
      <c r="B20" s="120"/>
      <c r="C20" s="131"/>
      <c r="D20" s="131"/>
      <c r="E20" s="131"/>
      <c r="F20" s="131"/>
      <c r="G20" s="131"/>
      <c r="H20" s="131"/>
      <c r="I20" s="131"/>
      <c r="J20" s="288"/>
      <c r="K20" s="123"/>
      <c r="L20" s="115" t="s">
        <v>433</v>
      </c>
      <c r="M20" s="128">
        <v>0</v>
      </c>
      <c r="N20" s="128">
        <v>0</v>
      </c>
      <c r="O20" s="128">
        <v>0</v>
      </c>
      <c r="P20" s="128">
        <v>75066</v>
      </c>
      <c r="Q20" s="128">
        <f>O20+P20</f>
        <v>75066</v>
      </c>
      <c r="R20" s="128">
        <v>0</v>
      </c>
      <c r="S20" s="128">
        <f>Q20+R20</f>
        <v>75066</v>
      </c>
    </row>
    <row r="21" spans="1:19" ht="15" customHeight="1">
      <c r="A21" s="148"/>
      <c r="B21" s="120" t="s">
        <v>256</v>
      </c>
      <c r="C21" s="131">
        <f aca="true" t="shared" si="2" ref="C21:I21">SUM(C17:C19)</f>
        <v>28089452</v>
      </c>
      <c r="D21" s="131">
        <f t="shared" si="2"/>
        <v>0</v>
      </c>
      <c r="E21" s="131">
        <f t="shared" si="2"/>
        <v>28089452</v>
      </c>
      <c r="F21" s="131">
        <f t="shared" si="2"/>
        <v>3873194</v>
      </c>
      <c r="G21" s="131">
        <f t="shared" si="2"/>
        <v>31962646</v>
      </c>
      <c r="H21" s="131">
        <f t="shared" si="2"/>
        <v>0</v>
      </c>
      <c r="I21" s="131">
        <f t="shared" si="2"/>
        <v>31962646</v>
      </c>
      <c r="J21" s="288"/>
      <c r="K21" s="123"/>
      <c r="L21" s="122" t="s">
        <v>256</v>
      </c>
      <c r="M21" s="135">
        <f>SUM(M16:M19)</f>
        <v>103311908</v>
      </c>
      <c r="N21" s="135">
        <f>SUM(N16:N19)</f>
        <v>0</v>
      </c>
      <c r="O21" s="135">
        <f>SUM(O16:O20)</f>
        <v>103311908</v>
      </c>
      <c r="P21" s="135">
        <f>SUM(P16:P20)</f>
        <v>3873194</v>
      </c>
      <c r="Q21" s="135">
        <f>SUM(Q16:Q20)</f>
        <v>107185102</v>
      </c>
      <c r="R21" s="135">
        <f>SUM(R16:R20)</f>
        <v>0</v>
      </c>
      <c r="S21" s="135">
        <f>SUM(S16:S20)</f>
        <v>107185102</v>
      </c>
    </row>
    <row r="22" spans="1:19" ht="15" customHeight="1">
      <c r="A22" s="149"/>
      <c r="B22" s="116"/>
      <c r="C22" s="132"/>
      <c r="D22" s="132"/>
      <c r="E22" s="132"/>
      <c r="F22" s="132"/>
      <c r="G22" s="132"/>
      <c r="H22" s="132"/>
      <c r="I22" s="132"/>
      <c r="J22" s="289"/>
      <c r="K22" s="143"/>
      <c r="L22" s="120"/>
      <c r="M22" s="135"/>
      <c r="N22" s="135"/>
      <c r="O22" s="135"/>
      <c r="P22" s="135"/>
      <c r="Q22" s="135"/>
      <c r="R22" s="135"/>
      <c r="S22" s="135"/>
    </row>
    <row r="23" spans="1:19" ht="15" customHeight="1">
      <c r="A23" s="416" t="s">
        <v>257</v>
      </c>
      <c r="B23" s="399"/>
      <c r="C23" s="131">
        <f aca="true" t="shared" si="3" ref="C23:I23">C14+C21</f>
        <v>283446999</v>
      </c>
      <c r="D23" s="131">
        <f t="shared" si="3"/>
        <v>0</v>
      </c>
      <c r="E23" s="131">
        <f t="shared" si="3"/>
        <v>283446999</v>
      </c>
      <c r="F23" s="131">
        <f t="shared" si="3"/>
        <v>3873194</v>
      </c>
      <c r="G23" s="131">
        <f t="shared" si="3"/>
        <v>287320193</v>
      </c>
      <c r="H23" s="131">
        <f t="shared" si="3"/>
        <v>0</v>
      </c>
      <c r="I23" s="131">
        <f t="shared" si="3"/>
        <v>287320193</v>
      </c>
      <c r="J23" s="288"/>
      <c r="K23" s="422" t="s">
        <v>258</v>
      </c>
      <c r="L23" s="423"/>
      <c r="M23" s="135">
        <f aca="true" t="shared" si="4" ref="M23:S23">M14+M21</f>
        <v>263666907</v>
      </c>
      <c r="N23" s="135">
        <f t="shared" si="4"/>
        <v>0</v>
      </c>
      <c r="O23" s="135">
        <f t="shared" si="4"/>
        <v>263666907</v>
      </c>
      <c r="P23" s="135">
        <f t="shared" si="4"/>
        <v>7590194</v>
      </c>
      <c r="Q23" s="135">
        <f t="shared" si="4"/>
        <v>271257101</v>
      </c>
      <c r="R23" s="135">
        <f t="shared" si="4"/>
        <v>3200000</v>
      </c>
      <c r="S23" s="135">
        <f t="shared" si="4"/>
        <v>274457101</v>
      </c>
    </row>
    <row r="24" spans="1:19" ht="15" customHeight="1">
      <c r="A24" s="149"/>
      <c r="B24" s="116"/>
      <c r="C24" s="132"/>
      <c r="D24" s="132"/>
      <c r="E24" s="132"/>
      <c r="F24" s="132"/>
      <c r="G24" s="132"/>
      <c r="H24" s="132"/>
      <c r="I24" s="132"/>
      <c r="J24" s="289"/>
      <c r="K24" s="124"/>
      <c r="L24" s="121"/>
      <c r="M24" s="134"/>
      <c r="N24" s="134"/>
      <c r="O24" s="134"/>
      <c r="P24" s="134"/>
      <c r="Q24" s="134"/>
      <c r="R24" s="134"/>
      <c r="S24" s="134"/>
    </row>
    <row r="25" spans="1:19" ht="15" customHeight="1">
      <c r="A25" s="416" t="s">
        <v>274</v>
      </c>
      <c r="B25" s="399"/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288"/>
      <c r="K25" s="398" t="s">
        <v>276</v>
      </c>
      <c r="L25" s="399"/>
      <c r="M25" s="135">
        <v>4276181</v>
      </c>
      <c r="N25" s="135">
        <v>0</v>
      </c>
      <c r="O25" s="135">
        <v>4276181</v>
      </c>
      <c r="P25" s="135">
        <v>0</v>
      </c>
      <c r="Q25" s="135">
        <v>4276181</v>
      </c>
      <c r="R25" s="135">
        <v>0</v>
      </c>
      <c r="S25" s="135">
        <v>4276181</v>
      </c>
    </row>
    <row r="26" spans="1:19" ht="15" customHeight="1">
      <c r="A26" s="150"/>
      <c r="B26" s="114"/>
      <c r="C26" s="130"/>
      <c r="D26" s="130"/>
      <c r="E26" s="130"/>
      <c r="F26" s="130"/>
      <c r="G26" s="130"/>
      <c r="H26" s="130"/>
      <c r="I26" s="130"/>
      <c r="J26" s="287"/>
      <c r="K26" s="125"/>
      <c r="L26" s="114"/>
      <c r="M26" s="134"/>
      <c r="N26" s="134"/>
      <c r="O26" s="134"/>
      <c r="P26" s="134"/>
      <c r="Q26" s="134"/>
      <c r="R26" s="134"/>
      <c r="S26" s="134"/>
    </row>
    <row r="27" spans="1:19" ht="15" customHeight="1">
      <c r="A27" s="417" t="s">
        <v>259</v>
      </c>
      <c r="B27" s="418"/>
      <c r="C27" s="257">
        <f aca="true" t="shared" si="5" ref="C27:I27">C23+C25</f>
        <v>283446999</v>
      </c>
      <c r="D27" s="257">
        <f t="shared" si="5"/>
        <v>0</v>
      </c>
      <c r="E27" s="257">
        <f t="shared" si="5"/>
        <v>283446999</v>
      </c>
      <c r="F27" s="257">
        <f t="shared" si="5"/>
        <v>3873194</v>
      </c>
      <c r="G27" s="257">
        <f t="shared" si="5"/>
        <v>287320193</v>
      </c>
      <c r="H27" s="257">
        <f t="shared" si="5"/>
        <v>0</v>
      </c>
      <c r="I27" s="257">
        <f t="shared" si="5"/>
        <v>287320193</v>
      </c>
      <c r="J27" s="290"/>
      <c r="K27" s="401" t="s">
        <v>260</v>
      </c>
      <c r="L27" s="418" t="s">
        <v>260</v>
      </c>
      <c r="M27" s="151">
        <f aca="true" t="shared" si="6" ref="M27:S27">M23+M25</f>
        <v>267943088</v>
      </c>
      <c r="N27" s="151">
        <f t="shared" si="6"/>
        <v>0</v>
      </c>
      <c r="O27" s="151">
        <f t="shared" si="6"/>
        <v>267943088</v>
      </c>
      <c r="P27" s="151">
        <f t="shared" si="6"/>
        <v>7590194</v>
      </c>
      <c r="Q27" s="151">
        <f t="shared" si="6"/>
        <v>275533282</v>
      </c>
      <c r="R27" s="151">
        <f t="shared" si="6"/>
        <v>3200000</v>
      </c>
      <c r="S27" s="151">
        <f t="shared" si="6"/>
        <v>278733282</v>
      </c>
    </row>
    <row r="28" spans="1:19" ht="15" customHeight="1">
      <c r="A28" s="181"/>
      <c r="B28" s="182"/>
      <c r="C28" s="257"/>
      <c r="D28" s="257"/>
      <c r="E28" s="257"/>
      <c r="F28" s="257"/>
      <c r="G28" s="257"/>
      <c r="H28" s="257"/>
      <c r="I28" s="257"/>
      <c r="J28" s="290"/>
      <c r="K28" s="180"/>
      <c r="L28" s="182"/>
      <c r="M28" s="151"/>
      <c r="N28" s="151"/>
      <c r="O28" s="151"/>
      <c r="P28" s="151"/>
      <c r="Q28" s="151"/>
      <c r="R28" s="151"/>
      <c r="S28" s="151"/>
    </row>
    <row r="29" spans="1:19" ht="15" customHeight="1">
      <c r="A29" s="405" t="s">
        <v>261</v>
      </c>
      <c r="B29" s="419"/>
      <c r="C29" s="133"/>
      <c r="D29" s="133"/>
      <c r="E29" s="133"/>
      <c r="F29" s="133"/>
      <c r="G29" s="133"/>
      <c r="H29" s="133"/>
      <c r="I29" s="133"/>
      <c r="J29" s="291"/>
      <c r="K29" s="407" t="s">
        <v>273</v>
      </c>
      <c r="L29" s="419"/>
      <c r="M29" s="152"/>
      <c r="N29" s="152"/>
      <c r="O29" s="152"/>
      <c r="P29" s="152"/>
      <c r="Q29" s="152"/>
      <c r="R29" s="152"/>
      <c r="S29" s="152"/>
    </row>
    <row r="30" spans="1:19" ht="15" customHeight="1">
      <c r="A30" s="405" t="s">
        <v>262</v>
      </c>
      <c r="B30" s="406"/>
      <c r="C30" s="133"/>
      <c r="D30" s="133"/>
      <c r="E30" s="133"/>
      <c r="F30" s="133"/>
      <c r="G30" s="133"/>
      <c r="H30" s="133"/>
      <c r="I30" s="133"/>
      <c r="J30" s="291"/>
      <c r="K30" s="407" t="s">
        <v>263</v>
      </c>
      <c r="L30" s="406"/>
      <c r="M30" s="152"/>
      <c r="N30" s="152"/>
      <c r="O30" s="152"/>
      <c r="P30" s="152"/>
      <c r="Q30" s="152"/>
      <c r="R30" s="152"/>
      <c r="S30" s="152"/>
    </row>
    <row r="31" spans="1:19" ht="15" customHeight="1">
      <c r="A31" s="148" t="s">
        <v>93</v>
      </c>
      <c r="B31" s="117" t="s">
        <v>249</v>
      </c>
      <c r="C31" s="128"/>
      <c r="D31" s="128"/>
      <c r="E31" s="128"/>
      <c r="F31" s="128"/>
      <c r="G31" s="128"/>
      <c r="H31" s="128"/>
      <c r="I31" s="128"/>
      <c r="J31" s="285"/>
      <c r="K31" s="126" t="s">
        <v>93</v>
      </c>
      <c r="L31" s="111" t="s">
        <v>249</v>
      </c>
      <c r="M31" s="128"/>
      <c r="N31" s="128"/>
      <c r="O31" s="128"/>
      <c r="P31" s="128"/>
      <c r="Q31" s="128"/>
      <c r="R31" s="128"/>
      <c r="S31" s="128"/>
    </row>
    <row r="32" spans="1:19" ht="15" customHeight="1">
      <c r="A32" s="153"/>
      <c r="B32" s="113" t="s">
        <v>264</v>
      </c>
      <c r="C32" s="128">
        <v>86185955</v>
      </c>
      <c r="D32" s="128">
        <v>3706875</v>
      </c>
      <c r="E32" s="128">
        <f>C32+D32</f>
        <v>89892830</v>
      </c>
      <c r="F32" s="128">
        <v>0</v>
      </c>
      <c r="G32" s="128">
        <f>E32+F32</f>
        <v>89892830</v>
      </c>
      <c r="H32" s="128">
        <v>0</v>
      </c>
      <c r="I32" s="128">
        <f>G32+H32</f>
        <v>89892830</v>
      </c>
      <c r="J32" s="285"/>
      <c r="K32" s="126"/>
      <c r="L32" s="115" t="s">
        <v>348</v>
      </c>
      <c r="M32" s="128">
        <v>38100000</v>
      </c>
      <c r="N32" s="128">
        <v>4206875</v>
      </c>
      <c r="O32" s="128">
        <f>SUM(M32:N32)</f>
        <v>42306875</v>
      </c>
      <c r="P32" s="128">
        <v>0</v>
      </c>
      <c r="Q32" s="128">
        <f>SUM(O32:P32)</f>
        <v>42306875</v>
      </c>
      <c r="R32" s="128">
        <v>-18850000</v>
      </c>
      <c r="S32" s="128">
        <f>SUM(Q32:R32)</f>
        <v>23456875</v>
      </c>
    </row>
    <row r="33" spans="1:19" ht="15" customHeight="1">
      <c r="A33" s="153"/>
      <c r="B33" s="113" t="s">
        <v>265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285"/>
      <c r="K33" s="126"/>
      <c r="L33" s="118" t="s">
        <v>349</v>
      </c>
      <c r="M33" s="128">
        <v>95154097</v>
      </c>
      <c r="N33" s="128">
        <v>0</v>
      </c>
      <c r="O33" s="128">
        <f>SUM(M33:N33)</f>
        <v>95154097</v>
      </c>
      <c r="P33" s="128">
        <v>-3717000</v>
      </c>
      <c r="Q33" s="128">
        <f>SUM(O33:P33)</f>
        <v>91437097</v>
      </c>
      <c r="R33" s="128">
        <v>-1410000</v>
      </c>
      <c r="S33" s="128">
        <f>SUM(Q33:R33)</f>
        <v>90027097</v>
      </c>
    </row>
    <row r="34" spans="1:19" ht="15" customHeight="1">
      <c r="A34" s="153"/>
      <c r="B34" s="113" t="s">
        <v>364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285"/>
      <c r="K34" s="126"/>
      <c r="L34" s="118" t="s">
        <v>350</v>
      </c>
      <c r="M34" s="128">
        <v>550000</v>
      </c>
      <c r="N34" s="128">
        <v>0</v>
      </c>
      <c r="O34" s="128">
        <f>SUM(M34:N34)</f>
        <v>550000</v>
      </c>
      <c r="P34" s="128">
        <v>0</v>
      </c>
      <c r="Q34" s="128">
        <f>SUM(O34:P34)</f>
        <v>550000</v>
      </c>
      <c r="R34" s="128">
        <v>38170301</v>
      </c>
      <c r="S34" s="128">
        <f>SUM(Q34:R34)</f>
        <v>38720301</v>
      </c>
    </row>
    <row r="35" spans="1:19" ht="15" customHeight="1">
      <c r="A35" s="153"/>
      <c r="B35" s="122"/>
      <c r="C35" s="138"/>
      <c r="D35" s="138"/>
      <c r="E35" s="138"/>
      <c r="F35" s="138"/>
      <c r="G35" s="138"/>
      <c r="H35" s="138"/>
      <c r="I35" s="138"/>
      <c r="J35" s="292"/>
      <c r="K35" s="126"/>
      <c r="L35" s="115" t="s">
        <v>351</v>
      </c>
      <c r="M35" s="128">
        <v>57879594</v>
      </c>
      <c r="N35" s="128">
        <v>-500000</v>
      </c>
      <c r="O35" s="128">
        <f>SUM(M35:N35)</f>
        <v>57379594</v>
      </c>
      <c r="P35" s="128">
        <v>0</v>
      </c>
      <c r="Q35" s="128">
        <f>SUM(O35:P35)</f>
        <v>57379594</v>
      </c>
      <c r="R35" s="128">
        <v>-21110301</v>
      </c>
      <c r="S35" s="128">
        <f>SUM(Q35:R35)</f>
        <v>36269293</v>
      </c>
    </row>
    <row r="36" spans="1:19" ht="15" customHeight="1">
      <c r="A36" s="153"/>
      <c r="B36" s="122" t="s">
        <v>254</v>
      </c>
      <c r="C36" s="138">
        <f aca="true" t="shared" si="7" ref="C36:I36">SUM(C32:C34)</f>
        <v>86185955</v>
      </c>
      <c r="D36" s="138">
        <f t="shared" si="7"/>
        <v>3706875</v>
      </c>
      <c r="E36" s="138">
        <f t="shared" si="7"/>
        <v>89892830</v>
      </c>
      <c r="F36" s="138">
        <f t="shared" si="7"/>
        <v>0</v>
      </c>
      <c r="G36" s="138">
        <f t="shared" si="7"/>
        <v>89892830</v>
      </c>
      <c r="H36" s="138">
        <f t="shared" si="7"/>
        <v>0</v>
      </c>
      <c r="I36" s="138">
        <f t="shared" si="7"/>
        <v>89892830</v>
      </c>
      <c r="J36" s="292"/>
      <c r="K36" s="127"/>
      <c r="L36" s="122" t="s">
        <v>254</v>
      </c>
      <c r="M36" s="154">
        <f aca="true" t="shared" si="8" ref="M36:S36">SUM(M32:M35)</f>
        <v>191683691</v>
      </c>
      <c r="N36" s="154">
        <f t="shared" si="8"/>
        <v>3706875</v>
      </c>
      <c r="O36" s="154">
        <f t="shared" si="8"/>
        <v>195390566</v>
      </c>
      <c r="P36" s="154">
        <f t="shared" si="8"/>
        <v>-3717000</v>
      </c>
      <c r="Q36" s="154">
        <f t="shared" si="8"/>
        <v>191673566</v>
      </c>
      <c r="R36" s="154">
        <f t="shared" si="8"/>
        <v>-3200000</v>
      </c>
      <c r="S36" s="154">
        <f t="shared" si="8"/>
        <v>188473566</v>
      </c>
    </row>
    <row r="37" spans="1:19" ht="15" customHeight="1">
      <c r="A37" s="153"/>
      <c r="B37" s="122"/>
      <c r="C37" s="138"/>
      <c r="D37" s="138"/>
      <c r="E37" s="138"/>
      <c r="F37" s="138"/>
      <c r="G37" s="138"/>
      <c r="H37" s="138"/>
      <c r="I37" s="138"/>
      <c r="J37" s="292"/>
      <c r="K37" s="127"/>
      <c r="L37" s="122"/>
      <c r="M37" s="154"/>
      <c r="N37" s="154"/>
      <c r="O37" s="154"/>
      <c r="P37" s="154"/>
      <c r="Q37" s="154"/>
      <c r="R37" s="154"/>
      <c r="S37" s="154"/>
    </row>
    <row r="38" spans="1:19" ht="15" customHeight="1">
      <c r="A38" s="233" t="s">
        <v>94</v>
      </c>
      <c r="B38" s="234" t="s">
        <v>255</v>
      </c>
      <c r="C38" s="134"/>
      <c r="D38" s="134"/>
      <c r="E38" s="134"/>
      <c r="F38" s="134"/>
      <c r="G38" s="134"/>
      <c r="H38" s="134"/>
      <c r="I38" s="134"/>
      <c r="J38" s="293"/>
      <c r="K38" s="126" t="s">
        <v>94</v>
      </c>
      <c r="L38" s="110" t="s">
        <v>255</v>
      </c>
      <c r="M38" s="128"/>
      <c r="N38" s="128"/>
      <c r="O38" s="128"/>
      <c r="P38" s="128"/>
      <c r="Q38" s="128"/>
      <c r="R38" s="128"/>
      <c r="S38" s="128"/>
    </row>
    <row r="39" spans="1:19" ht="15" customHeight="1">
      <c r="A39" s="235"/>
      <c r="B39" s="236" t="s">
        <v>347</v>
      </c>
      <c r="C39" s="128">
        <v>15000</v>
      </c>
      <c r="D39" s="128">
        <v>0</v>
      </c>
      <c r="E39" s="128">
        <v>15000</v>
      </c>
      <c r="F39" s="128">
        <v>0</v>
      </c>
      <c r="G39" s="128">
        <v>15000</v>
      </c>
      <c r="H39" s="128">
        <v>0</v>
      </c>
      <c r="I39" s="128">
        <v>15000</v>
      </c>
      <c r="J39" s="285"/>
      <c r="K39" s="126"/>
      <c r="L39" s="118" t="s">
        <v>435</v>
      </c>
      <c r="M39" s="128">
        <v>254000</v>
      </c>
      <c r="N39" s="128">
        <v>0</v>
      </c>
      <c r="O39" s="128">
        <v>254000</v>
      </c>
      <c r="P39" s="128">
        <v>0</v>
      </c>
      <c r="Q39" s="128">
        <v>254000</v>
      </c>
      <c r="R39" s="128">
        <v>0</v>
      </c>
      <c r="S39" s="128">
        <v>254000</v>
      </c>
    </row>
    <row r="40" spans="1:19" ht="15" customHeight="1">
      <c r="A40" s="235"/>
      <c r="B40" s="237" t="s">
        <v>256</v>
      </c>
      <c r="C40" s="135">
        <f aca="true" t="shared" si="9" ref="C40:I40">C39</f>
        <v>15000</v>
      </c>
      <c r="D40" s="135">
        <f t="shared" si="9"/>
        <v>0</v>
      </c>
      <c r="E40" s="135">
        <f t="shared" si="9"/>
        <v>15000</v>
      </c>
      <c r="F40" s="135">
        <f t="shared" si="9"/>
        <v>0</v>
      </c>
      <c r="G40" s="135">
        <f t="shared" si="9"/>
        <v>15000</v>
      </c>
      <c r="H40" s="135">
        <f t="shared" si="9"/>
        <v>0</v>
      </c>
      <c r="I40" s="135">
        <f t="shared" si="9"/>
        <v>15000</v>
      </c>
      <c r="J40" s="294"/>
      <c r="K40" s="126"/>
      <c r="L40" s="139" t="s">
        <v>286</v>
      </c>
      <c r="M40" s="135">
        <f aca="true" t="shared" si="10" ref="M40:S40">SUM(M39)</f>
        <v>254000</v>
      </c>
      <c r="N40" s="135">
        <f t="shared" si="10"/>
        <v>0</v>
      </c>
      <c r="O40" s="135">
        <f t="shared" si="10"/>
        <v>254000</v>
      </c>
      <c r="P40" s="135">
        <f t="shared" si="10"/>
        <v>0</v>
      </c>
      <c r="Q40" s="135">
        <f t="shared" si="10"/>
        <v>254000</v>
      </c>
      <c r="R40" s="135">
        <f t="shared" si="10"/>
        <v>0</v>
      </c>
      <c r="S40" s="135">
        <f t="shared" si="10"/>
        <v>254000</v>
      </c>
    </row>
    <row r="41" spans="1:19" ht="15" customHeight="1">
      <c r="A41" s="238"/>
      <c r="B41" s="237"/>
      <c r="C41" s="135"/>
      <c r="D41" s="135"/>
      <c r="E41" s="135"/>
      <c r="F41" s="135"/>
      <c r="G41" s="135"/>
      <c r="H41" s="135"/>
      <c r="I41" s="135"/>
      <c r="J41" s="294"/>
      <c r="K41" s="126"/>
      <c r="L41" s="139"/>
      <c r="M41" s="135"/>
      <c r="N41" s="135"/>
      <c r="O41" s="135"/>
      <c r="P41" s="135"/>
      <c r="Q41" s="135"/>
      <c r="R41" s="135"/>
      <c r="S41" s="135"/>
    </row>
    <row r="42" spans="1:19" ht="15" customHeight="1">
      <c r="A42" s="408" t="s">
        <v>266</v>
      </c>
      <c r="B42" s="409"/>
      <c r="C42" s="131">
        <f aca="true" t="shared" si="11" ref="C42:I42">C36+C40</f>
        <v>86200955</v>
      </c>
      <c r="D42" s="131">
        <f t="shared" si="11"/>
        <v>3706875</v>
      </c>
      <c r="E42" s="131">
        <f t="shared" si="11"/>
        <v>89907830</v>
      </c>
      <c r="F42" s="131">
        <f t="shared" si="11"/>
        <v>0</v>
      </c>
      <c r="G42" s="131">
        <f t="shared" si="11"/>
        <v>89907830</v>
      </c>
      <c r="H42" s="131">
        <f t="shared" si="11"/>
        <v>0</v>
      </c>
      <c r="I42" s="131">
        <f t="shared" si="11"/>
        <v>89907830</v>
      </c>
      <c r="J42" s="288"/>
      <c r="K42" s="410" t="s">
        <v>267</v>
      </c>
      <c r="L42" s="411"/>
      <c r="M42" s="135">
        <f aca="true" t="shared" si="12" ref="M42:S42">M36+M40</f>
        <v>191937691</v>
      </c>
      <c r="N42" s="135">
        <f t="shared" si="12"/>
        <v>3706875</v>
      </c>
      <c r="O42" s="135">
        <f t="shared" si="12"/>
        <v>195644566</v>
      </c>
      <c r="P42" s="135">
        <f t="shared" si="12"/>
        <v>-3717000</v>
      </c>
      <c r="Q42" s="135">
        <f t="shared" si="12"/>
        <v>191927566</v>
      </c>
      <c r="R42" s="135">
        <f t="shared" si="12"/>
        <v>-3200000</v>
      </c>
      <c r="S42" s="135">
        <f t="shared" si="12"/>
        <v>188727566</v>
      </c>
    </row>
    <row r="43" spans="1:19" ht="15" customHeight="1">
      <c r="A43" s="239"/>
      <c r="B43" s="240"/>
      <c r="C43" s="132"/>
      <c r="D43" s="132"/>
      <c r="E43" s="132"/>
      <c r="F43" s="132"/>
      <c r="G43" s="132"/>
      <c r="H43" s="132"/>
      <c r="I43" s="132"/>
      <c r="J43" s="289"/>
      <c r="K43" s="108"/>
      <c r="L43" s="109"/>
      <c r="M43" s="134"/>
      <c r="N43" s="134"/>
      <c r="O43" s="134"/>
      <c r="P43" s="134"/>
      <c r="Q43" s="134"/>
      <c r="R43" s="134"/>
      <c r="S43" s="134"/>
    </row>
    <row r="44" spans="1:19" ht="15" customHeight="1">
      <c r="A44" s="412" t="s">
        <v>365</v>
      </c>
      <c r="B44" s="413"/>
      <c r="C44" s="414"/>
      <c r="D44" s="266"/>
      <c r="E44" s="266"/>
      <c r="F44" s="266"/>
      <c r="G44" s="266"/>
      <c r="H44" s="266"/>
      <c r="I44" s="266"/>
      <c r="J44" s="266"/>
      <c r="K44" s="415" t="s">
        <v>268</v>
      </c>
      <c r="L44" s="407"/>
      <c r="M44" s="134"/>
      <c r="N44" s="134"/>
      <c r="O44" s="134"/>
      <c r="P44" s="134"/>
      <c r="Q44" s="134"/>
      <c r="R44" s="134"/>
      <c r="S44" s="134"/>
    </row>
    <row r="45" spans="1:19" ht="15" customHeight="1">
      <c r="A45" s="233" t="s">
        <v>93</v>
      </c>
      <c r="B45" s="241" t="s">
        <v>249</v>
      </c>
      <c r="C45" s="132"/>
      <c r="D45" s="132"/>
      <c r="E45" s="132"/>
      <c r="F45" s="132"/>
      <c r="G45" s="132"/>
      <c r="H45" s="132"/>
      <c r="I45" s="132"/>
      <c r="J45" s="289"/>
      <c r="K45" s="126" t="s">
        <v>93</v>
      </c>
      <c r="L45" s="117" t="s">
        <v>249</v>
      </c>
      <c r="M45" s="134">
        <f aca="true" t="shared" si="13" ref="M45:S45">SUM(M46:M46)</f>
        <v>0</v>
      </c>
      <c r="N45" s="134">
        <f t="shared" si="13"/>
        <v>0</v>
      </c>
      <c r="O45" s="134">
        <f t="shared" si="13"/>
        <v>0</v>
      </c>
      <c r="P45" s="134">
        <f t="shared" si="13"/>
        <v>0</v>
      </c>
      <c r="Q45" s="134">
        <f t="shared" si="13"/>
        <v>0</v>
      </c>
      <c r="R45" s="134">
        <f t="shared" si="13"/>
        <v>0</v>
      </c>
      <c r="S45" s="134">
        <f t="shared" si="13"/>
        <v>0</v>
      </c>
    </row>
    <row r="46" spans="1:19" ht="28.5" customHeight="1">
      <c r="A46" s="235"/>
      <c r="B46" s="231" t="s">
        <v>352</v>
      </c>
      <c r="C46" s="136">
        <v>88071346</v>
      </c>
      <c r="D46" s="136">
        <v>0</v>
      </c>
      <c r="E46" s="136">
        <v>88071346</v>
      </c>
      <c r="F46" s="136">
        <v>0</v>
      </c>
      <c r="G46" s="136">
        <v>88071346</v>
      </c>
      <c r="H46" s="136">
        <v>0</v>
      </c>
      <c r="I46" s="136">
        <v>88071346</v>
      </c>
      <c r="J46" s="295"/>
      <c r="K46" s="126"/>
      <c r="L46" s="232"/>
      <c r="M46" s="128"/>
      <c r="N46" s="128"/>
      <c r="O46" s="128"/>
      <c r="P46" s="128"/>
      <c r="Q46" s="128"/>
      <c r="R46" s="128"/>
      <c r="S46" s="128"/>
    </row>
    <row r="47" spans="1:19" ht="15" customHeight="1">
      <c r="A47" s="233" t="s">
        <v>94</v>
      </c>
      <c r="B47" s="242" t="s">
        <v>255</v>
      </c>
      <c r="C47" s="134"/>
      <c r="D47" s="134"/>
      <c r="E47" s="134"/>
      <c r="F47" s="134"/>
      <c r="G47" s="134"/>
      <c r="H47" s="134"/>
      <c r="I47" s="134"/>
      <c r="J47" s="293"/>
      <c r="K47" s="126" t="s">
        <v>94</v>
      </c>
      <c r="L47" s="114" t="s">
        <v>255</v>
      </c>
      <c r="M47" s="134"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v>0</v>
      </c>
      <c r="S47" s="134">
        <v>0</v>
      </c>
    </row>
    <row r="48" spans="1:19" ht="31.5" customHeight="1">
      <c r="A48" s="235"/>
      <c r="B48" s="243" t="s">
        <v>353</v>
      </c>
      <c r="C48" s="130">
        <v>2161479</v>
      </c>
      <c r="D48" s="130">
        <v>0</v>
      </c>
      <c r="E48" s="130">
        <v>2161479</v>
      </c>
      <c r="F48" s="130">
        <v>0</v>
      </c>
      <c r="G48" s="130">
        <v>2161479</v>
      </c>
      <c r="H48" s="130">
        <v>0</v>
      </c>
      <c r="I48" s="130">
        <v>2161479</v>
      </c>
      <c r="J48" s="287"/>
      <c r="K48" s="126"/>
      <c r="L48" s="114"/>
      <c r="M48" s="128"/>
      <c r="N48" s="128"/>
      <c r="O48" s="128"/>
      <c r="P48" s="128"/>
      <c r="Q48" s="128"/>
      <c r="R48" s="128"/>
      <c r="S48" s="128"/>
    </row>
    <row r="49" spans="1:19" ht="15" customHeight="1">
      <c r="A49" s="396" t="s">
        <v>269</v>
      </c>
      <c r="B49" s="397"/>
      <c r="C49" s="131">
        <f aca="true" t="shared" si="14" ref="C49:I49">SUM(C46:C48)</f>
        <v>90232825</v>
      </c>
      <c r="D49" s="131">
        <f t="shared" si="14"/>
        <v>0</v>
      </c>
      <c r="E49" s="131">
        <f t="shared" si="14"/>
        <v>90232825</v>
      </c>
      <c r="F49" s="131">
        <f t="shared" si="14"/>
        <v>0</v>
      </c>
      <c r="G49" s="131">
        <f t="shared" si="14"/>
        <v>90232825</v>
      </c>
      <c r="H49" s="131">
        <f t="shared" si="14"/>
        <v>0</v>
      </c>
      <c r="I49" s="131">
        <f t="shared" si="14"/>
        <v>90232825</v>
      </c>
      <c r="J49" s="288"/>
      <c r="K49" s="398" t="s">
        <v>268</v>
      </c>
      <c r="L49" s="399"/>
      <c r="M49" s="135">
        <f aca="true" t="shared" si="15" ref="M49:S49">M45+M47</f>
        <v>0</v>
      </c>
      <c r="N49" s="135">
        <f t="shared" si="15"/>
        <v>0</v>
      </c>
      <c r="O49" s="135">
        <f t="shared" si="15"/>
        <v>0</v>
      </c>
      <c r="P49" s="135">
        <f t="shared" si="15"/>
        <v>0</v>
      </c>
      <c r="Q49" s="135">
        <f t="shared" si="15"/>
        <v>0</v>
      </c>
      <c r="R49" s="135">
        <f t="shared" si="15"/>
        <v>0</v>
      </c>
      <c r="S49" s="135">
        <f t="shared" si="15"/>
        <v>0</v>
      </c>
    </row>
    <row r="50" spans="1:19" ht="15" customHeight="1">
      <c r="A50" s="244"/>
      <c r="B50" s="245"/>
      <c r="C50" s="132"/>
      <c r="D50" s="132"/>
      <c r="E50" s="132"/>
      <c r="F50" s="132"/>
      <c r="G50" s="132"/>
      <c r="H50" s="132"/>
      <c r="I50" s="132"/>
      <c r="J50" s="289"/>
      <c r="K50" s="137"/>
      <c r="L50" s="137"/>
      <c r="M50" s="134"/>
      <c r="N50" s="134"/>
      <c r="O50" s="134"/>
      <c r="P50" s="134"/>
      <c r="Q50" s="134"/>
      <c r="R50" s="134"/>
      <c r="S50" s="134"/>
    </row>
    <row r="51" spans="1:19" ht="15" customHeight="1">
      <c r="A51" s="400" t="s">
        <v>270</v>
      </c>
      <c r="B51" s="401"/>
      <c r="C51" s="258">
        <f aca="true" t="shared" si="16" ref="C51:I51">C42+C49</f>
        <v>176433780</v>
      </c>
      <c r="D51" s="258">
        <f t="shared" si="16"/>
        <v>3706875</v>
      </c>
      <c r="E51" s="258">
        <f t="shared" si="16"/>
        <v>180140655</v>
      </c>
      <c r="F51" s="258">
        <f t="shared" si="16"/>
        <v>0</v>
      </c>
      <c r="G51" s="258">
        <f t="shared" si="16"/>
        <v>180140655</v>
      </c>
      <c r="H51" s="258">
        <f t="shared" si="16"/>
        <v>0</v>
      </c>
      <c r="I51" s="258">
        <f t="shared" si="16"/>
        <v>180140655</v>
      </c>
      <c r="J51" s="296"/>
      <c r="K51" s="402" t="s">
        <v>275</v>
      </c>
      <c r="L51" s="401"/>
      <c r="M51" s="151">
        <f aca="true" t="shared" si="17" ref="M51:S51">M42+M49</f>
        <v>191937691</v>
      </c>
      <c r="N51" s="151">
        <f t="shared" si="17"/>
        <v>3706875</v>
      </c>
      <c r="O51" s="151">
        <f t="shared" si="17"/>
        <v>195644566</v>
      </c>
      <c r="P51" s="151">
        <f t="shared" si="17"/>
        <v>-3717000</v>
      </c>
      <c r="Q51" s="151">
        <f t="shared" si="17"/>
        <v>191927566</v>
      </c>
      <c r="R51" s="151">
        <f t="shared" si="17"/>
        <v>-3200000</v>
      </c>
      <c r="S51" s="151">
        <f t="shared" si="17"/>
        <v>188727566</v>
      </c>
    </row>
    <row r="52" spans="1:19" ht="15" customHeight="1">
      <c r="A52" s="155"/>
      <c r="B52" s="126"/>
      <c r="C52" s="132"/>
      <c r="D52" s="132"/>
      <c r="E52" s="132"/>
      <c r="F52" s="132"/>
      <c r="G52" s="132"/>
      <c r="H52" s="132"/>
      <c r="I52" s="132"/>
      <c r="J52" s="289"/>
      <c r="K52" s="137"/>
      <c r="L52" s="137"/>
      <c r="M52" s="134"/>
      <c r="N52" s="134"/>
      <c r="O52" s="134"/>
      <c r="P52" s="134"/>
      <c r="Q52" s="134"/>
      <c r="R52" s="134"/>
      <c r="S52" s="134"/>
    </row>
    <row r="53" spans="1:19" ht="15" customHeight="1" thickBot="1">
      <c r="A53" s="403" t="s">
        <v>271</v>
      </c>
      <c r="B53" s="404"/>
      <c r="C53" s="259">
        <f aca="true" t="shared" si="18" ref="C53:I53">C27+C51</f>
        <v>459880779</v>
      </c>
      <c r="D53" s="259">
        <f t="shared" si="18"/>
        <v>3706875</v>
      </c>
      <c r="E53" s="259">
        <f t="shared" si="18"/>
        <v>463587654</v>
      </c>
      <c r="F53" s="259">
        <f t="shared" si="18"/>
        <v>3873194</v>
      </c>
      <c r="G53" s="259">
        <f t="shared" si="18"/>
        <v>467460848</v>
      </c>
      <c r="H53" s="259">
        <f t="shared" si="18"/>
        <v>0</v>
      </c>
      <c r="I53" s="259">
        <f t="shared" si="18"/>
        <v>467460848</v>
      </c>
      <c r="J53" s="297"/>
      <c r="K53" s="157"/>
      <c r="L53" s="156" t="s">
        <v>272</v>
      </c>
      <c r="M53" s="259">
        <f aca="true" t="shared" si="19" ref="M53:S53">M27+M51</f>
        <v>459880779</v>
      </c>
      <c r="N53" s="259">
        <f t="shared" si="19"/>
        <v>3706875</v>
      </c>
      <c r="O53" s="259">
        <f t="shared" si="19"/>
        <v>463587654</v>
      </c>
      <c r="P53" s="259">
        <f t="shared" si="19"/>
        <v>3873194</v>
      </c>
      <c r="Q53" s="259">
        <f t="shared" si="19"/>
        <v>467460848</v>
      </c>
      <c r="R53" s="259">
        <f t="shared" si="19"/>
        <v>0</v>
      </c>
      <c r="S53" s="259">
        <f t="shared" si="19"/>
        <v>467460848</v>
      </c>
    </row>
    <row r="54" spans="1:19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1:19" ht="12.75">
      <c r="A55" s="141"/>
      <c r="B55" s="142" t="s">
        <v>422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</sheetData>
  <sheetProtection/>
  <mergeCells count="25">
    <mergeCell ref="A7:C7"/>
    <mergeCell ref="K7:M7"/>
    <mergeCell ref="A23:B23"/>
    <mergeCell ref="K23:L23"/>
    <mergeCell ref="A5:B5"/>
    <mergeCell ref="A1:S1"/>
    <mergeCell ref="A2:S2"/>
    <mergeCell ref="A4:C4"/>
    <mergeCell ref="K44:L44"/>
    <mergeCell ref="A25:B25"/>
    <mergeCell ref="K25:L25"/>
    <mergeCell ref="A27:B27"/>
    <mergeCell ref="K27:L27"/>
    <mergeCell ref="A29:B29"/>
    <mergeCell ref="K29:L29"/>
    <mergeCell ref="A49:B49"/>
    <mergeCell ref="K49:L49"/>
    <mergeCell ref="A51:B51"/>
    <mergeCell ref="K51:L51"/>
    <mergeCell ref="A53:B53"/>
    <mergeCell ref="A30:B30"/>
    <mergeCell ref="K30:L30"/>
    <mergeCell ref="A42:B42"/>
    <mergeCell ref="K42:L42"/>
    <mergeCell ref="A44:C4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"/>
  <sheetViews>
    <sheetView view="pageBreakPreview" zoomScaleSheetLayoutView="100" zoomScalePageLayoutView="0" workbookViewId="0" topLeftCell="A30">
      <selection activeCell="F18" sqref="F18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6.7109375" style="0" customWidth="1"/>
    <col min="4" max="4" width="16.7109375" style="0" hidden="1" customWidth="1"/>
    <col min="5" max="7" width="16.7109375" style="0" customWidth="1"/>
  </cols>
  <sheetData>
    <row r="1" spans="1:7" ht="30" customHeight="1">
      <c r="A1" s="426" t="s">
        <v>184</v>
      </c>
      <c r="B1" s="426"/>
      <c r="C1" s="426"/>
      <c r="D1" s="426"/>
      <c r="E1" s="426"/>
      <c r="F1" s="272"/>
      <c r="G1" s="272"/>
    </row>
    <row r="2" spans="1:7" ht="18" customHeight="1">
      <c r="A2" s="427" t="s">
        <v>337</v>
      </c>
      <c r="B2" s="427"/>
      <c r="C2" s="427"/>
      <c r="D2" s="427"/>
      <c r="E2" s="427"/>
      <c r="F2" s="273"/>
      <c r="G2" s="273"/>
    </row>
    <row r="3" spans="1:7" ht="17.25" customHeight="1">
      <c r="A3" s="19"/>
      <c r="B3" s="17"/>
      <c r="C3" s="269"/>
      <c r="D3" s="269"/>
      <c r="E3" s="269"/>
      <c r="F3" s="269"/>
      <c r="G3" s="269"/>
    </row>
    <row r="4" spans="1:7" ht="13.5" thickBot="1">
      <c r="A4" s="18"/>
      <c r="B4" s="18"/>
      <c r="C4" s="270"/>
      <c r="D4" s="277"/>
      <c r="E4" s="277"/>
      <c r="F4" s="277"/>
      <c r="G4" s="277"/>
    </row>
    <row r="5" spans="1:7" ht="44.25" customHeight="1" thickBot="1" thickTop="1">
      <c r="A5" s="54" t="s">
        <v>0</v>
      </c>
      <c r="B5" s="37" t="s">
        <v>1</v>
      </c>
      <c r="C5" s="38" t="s">
        <v>358</v>
      </c>
      <c r="D5" s="38" t="s">
        <v>416</v>
      </c>
      <c r="E5" s="38" t="s">
        <v>417</v>
      </c>
      <c r="F5" s="38" t="s">
        <v>427</v>
      </c>
      <c r="G5" s="38" t="s">
        <v>428</v>
      </c>
    </row>
    <row r="6" spans="1:7" ht="12.75" customHeight="1" thickTop="1">
      <c r="A6" s="59" t="s">
        <v>93</v>
      </c>
      <c r="B6" s="60" t="s">
        <v>94</v>
      </c>
      <c r="C6" s="60" t="s">
        <v>95</v>
      </c>
      <c r="D6" s="60" t="s">
        <v>96</v>
      </c>
      <c r="E6" s="60" t="s">
        <v>96</v>
      </c>
      <c r="F6" s="60" t="s">
        <v>96</v>
      </c>
      <c r="G6" s="60" t="s">
        <v>306</v>
      </c>
    </row>
    <row r="7" spans="1:7" ht="21.75" customHeight="1">
      <c r="A7" s="35" t="s">
        <v>2</v>
      </c>
      <c r="B7" s="36" t="s">
        <v>3</v>
      </c>
      <c r="C7" s="52">
        <f>C8+C14</f>
        <v>160974547</v>
      </c>
      <c r="D7" s="52">
        <f>D8+D14</f>
        <v>0</v>
      </c>
      <c r="E7" s="52">
        <f>E8+E14</f>
        <v>160974547</v>
      </c>
      <c r="F7" s="52">
        <f>F8+F14</f>
        <v>0</v>
      </c>
      <c r="G7" s="52">
        <f>G8+G14</f>
        <v>160974547</v>
      </c>
    </row>
    <row r="8" spans="1:7" ht="21.75" customHeight="1">
      <c r="A8" s="24" t="s">
        <v>4</v>
      </c>
      <c r="B8" s="25" t="s">
        <v>5</v>
      </c>
      <c r="C8" s="46">
        <f>SUM(C9:C13)</f>
        <v>123425683</v>
      </c>
      <c r="D8" s="46">
        <f>SUM(D9:D13)</f>
        <v>0</v>
      </c>
      <c r="E8" s="46">
        <f>SUM(E9:E13)</f>
        <v>123425683</v>
      </c>
      <c r="F8" s="46">
        <f>SUM(F9:F13)</f>
        <v>0</v>
      </c>
      <c r="G8" s="46">
        <f>SUM(G9:G13)</f>
        <v>123425683</v>
      </c>
    </row>
    <row r="9" spans="1:7" ht="21.75" customHeight="1">
      <c r="A9" s="26" t="s">
        <v>130</v>
      </c>
      <c r="B9" s="27" t="s">
        <v>6</v>
      </c>
      <c r="C9" s="47">
        <v>44635962</v>
      </c>
      <c r="D9" s="47">
        <v>0</v>
      </c>
      <c r="E9" s="47">
        <v>44635962</v>
      </c>
      <c r="F9" s="47">
        <v>0</v>
      </c>
      <c r="G9" s="47">
        <v>44635962</v>
      </c>
    </row>
    <row r="10" spans="1:7" ht="21.75" customHeight="1">
      <c r="A10" s="26" t="s">
        <v>131</v>
      </c>
      <c r="B10" s="27" t="s">
        <v>7</v>
      </c>
      <c r="C10" s="47">
        <v>42304768</v>
      </c>
      <c r="D10" s="47">
        <v>0</v>
      </c>
      <c r="E10" s="47">
        <v>42304768</v>
      </c>
      <c r="F10" s="47">
        <v>0</v>
      </c>
      <c r="G10" s="47">
        <v>42304768</v>
      </c>
    </row>
    <row r="11" spans="1:7" ht="21.75" customHeight="1">
      <c r="A11" s="26" t="s">
        <v>132</v>
      </c>
      <c r="B11" s="27" t="s">
        <v>8</v>
      </c>
      <c r="C11" s="47">
        <v>32891974</v>
      </c>
      <c r="D11" s="47">
        <v>0</v>
      </c>
      <c r="E11" s="47">
        <v>32891974</v>
      </c>
      <c r="F11" s="47">
        <v>0</v>
      </c>
      <c r="G11" s="47">
        <v>32891974</v>
      </c>
    </row>
    <row r="12" spans="1:7" ht="21.75" customHeight="1">
      <c r="A12" s="26" t="s">
        <v>133</v>
      </c>
      <c r="B12" s="27" t="s">
        <v>9</v>
      </c>
      <c r="C12" s="47">
        <v>1800000</v>
      </c>
      <c r="D12" s="47">
        <v>0</v>
      </c>
      <c r="E12" s="47">
        <v>1800000</v>
      </c>
      <c r="F12" s="47">
        <v>0</v>
      </c>
      <c r="G12" s="47">
        <v>1800000</v>
      </c>
    </row>
    <row r="13" spans="1:7" ht="21.75" customHeight="1">
      <c r="A13" s="26" t="s">
        <v>134</v>
      </c>
      <c r="B13" s="48" t="s">
        <v>323</v>
      </c>
      <c r="C13" s="49">
        <v>1792979</v>
      </c>
      <c r="D13" s="49">
        <v>0</v>
      </c>
      <c r="E13" s="49">
        <v>1792979</v>
      </c>
      <c r="F13" s="49">
        <v>0</v>
      </c>
      <c r="G13" s="49">
        <v>1792979</v>
      </c>
    </row>
    <row r="14" spans="1:7" ht="21.75" customHeight="1">
      <c r="A14" s="24" t="s">
        <v>10</v>
      </c>
      <c r="B14" s="25" t="s">
        <v>11</v>
      </c>
      <c r="C14" s="46">
        <v>37548864</v>
      </c>
      <c r="D14" s="46">
        <v>0</v>
      </c>
      <c r="E14" s="46">
        <v>37548864</v>
      </c>
      <c r="F14" s="46">
        <v>0</v>
      </c>
      <c r="G14" s="46">
        <v>37548864</v>
      </c>
    </row>
    <row r="15" spans="1:7" ht="21.75" customHeight="1">
      <c r="A15" s="28" t="s">
        <v>12</v>
      </c>
      <c r="B15" s="29" t="s">
        <v>13</v>
      </c>
      <c r="C15" s="224">
        <f>C16+C17</f>
        <v>86185955</v>
      </c>
      <c r="D15" s="224">
        <f>D16+D17</f>
        <v>3706875</v>
      </c>
      <c r="E15" s="224">
        <f>E16+E17</f>
        <v>89892830</v>
      </c>
      <c r="F15" s="224">
        <f>F16+F17</f>
        <v>0</v>
      </c>
      <c r="G15" s="224">
        <f>G16+G17</f>
        <v>89892830</v>
      </c>
    </row>
    <row r="16" spans="1:7" ht="21.75" customHeight="1">
      <c r="A16" s="26" t="s">
        <v>163</v>
      </c>
      <c r="B16" s="48" t="s">
        <v>237</v>
      </c>
      <c r="C16" s="49">
        <v>0</v>
      </c>
      <c r="D16" s="49">
        <v>3706875</v>
      </c>
      <c r="E16" s="49">
        <f>C16+D16</f>
        <v>3706875</v>
      </c>
      <c r="F16" s="49">
        <v>0</v>
      </c>
      <c r="G16" s="49">
        <f>E16+F16</f>
        <v>3706875</v>
      </c>
    </row>
    <row r="17" spans="1:7" ht="21.75" customHeight="1">
      <c r="A17" s="26" t="s">
        <v>359</v>
      </c>
      <c r="B17" s="48" t="s">
        <v>360</v>
      </c>
      <c r="C17" s="49">
        <v>86185955</v>
      </c>
      <c r="D17" s="49">
        <v>0</v>
      </c>
      <c r="E17" s="49">
        <v>86185955</v>
      </c>
      <c r="F17" s="49">
        <v>0</v>
      </c>
      <c r="G17" s="49">
        <v>86185955</v>
      </c>
    </row>
    <row r="18" spans="1:7" ht="21.75" customHeight="1">
      <c r="A18" s="28" t="s">
        <v>14</v>
      </c>
      <c r="B18" s="29" t="s">
        <v>15</v>
      </c>
      <c r="C18" s="45">
        <f>C19+C23</f>
        <v>82450000</v>
      </c>
      <c r="D18" s="45">
        <f>D19+D23</f>
        <v>0</v>
      </c>
      <c r="E18" s="45">
        <f>E19+E23</f>
        <v>82450000</v>
      </c>
      <c r="F18" s="45">
        <f>F19+F23</f>
        <v>0</v>
      </c>
      <c r="G18" s="45">
        <f>G19+G23</f>
        <v>82450000</v>
      </c>
    </row>
    <row r="19" spans="1:7" s="58" customFormat="1" ht="23.25" customHeight="1">
      <c r="A19" s="26" t="s">
        <v>16</v>
      </c>
      <c r="B19" s="27" t="s">
        <v>17</v>
      </c>
      <c r="C19" s="223">
        <f>SUM(C20:C22)</f>
        <v>82300000</v>
      </c>
      <c r="D19" s="223">
        <f>SUM(D20:D22)</f>
        <v>0</v>
      </c>
      <c r="E19" s="223">
        <f>SUM(E20:E22)</f>
        <v>82300000</v>
      </c>
      <c r="F19" s="223">
        <f>SUM(F20:F22)</f>
        <v>0</v>
      </c>
      <c r="G19" s="223">
        <f>SUM(G20:G22)</f>
        <v>82300000</v>
      </c>
    </row>
    <row r="20" spans="1:7" s="230" customFormat="1" ht="21.75" customHeight="1">
      <c r="A20" s="227" t="s">
        <v>18</v>
      </c>
      <c r="B20" s="228" t="s">
        <v>413</v>
      </c>
      <c r="C20" s="229">
        <v>80000000</v>
      </c>
      <c r="D20" s="229">
        <v>0</v>
      </c>
      <c r="E20" s="229">
        <v>80000000</v>
      </c>
      <c r="F20" s="229">
        <v>0</v>
      </c>
      <c r="G20" s="229">
        <v>80000000</v>
      </c>
    </row>
    <row r="21" spans="1:7" s="230" customFormat="1" ht="21.75" customHeight="1">
      <c r="A21" s="227" t="s">
        <v>19</v>
      </c>
      <c r="B21" s="228" t="s">
        <v>20</v>
      </c>
      <c r="C21" s="229">
        <v>2300000</v>
      </c>
      <c r="D21" s="229">
        <v>0</v>
      </c>
      <c r="E21" s="229">
        <v>2300000</v>
      </c>
      <c r="F21" s="229">
        <v>0</v>
      </c>
      <c r="G21" s="229">
        <v>2300000</v>
      </c>
    </row>
    <row r="22" spans="1:7" s="230" customFormat="1" ht="21.75" customHeight="1">
      <c r="A22" s="227" t="s">
        <v>21</v>
      </c>
      <c r="B22" s="228" t="s">
        <v>22</v>
      </c>
      <c r="C22" s="229">
        <v>0</v>
      </c>
      <c r="D22" s="229">
        <v>0</v>
      </c>
      <c r="E22" s="229">
        <v>0</v>
      </c>
      <c r="F22" s="229">
        <v>0</v>
      </c>
      <c r="G22" s="229">
        <v>0</v>
      </c>
    </row>
    <row r="23" spans="1:7" s="58" customFormat="1" ht="21.75" customHeight="1">
      <c r="A23" s="26" t="s">
        <v>23</v>
      </c>
      <c r="B23" s="27" t="s">
        <v>24</v>
      </c>
      <c r="C23" s="47">
        <v>150000</v>
      </c>
      <c r="D23" s="47">
        <v>0</v>
      </c>
      <c r="E23" s="47">
        <v>150000</v>
      </c>
      <c r="F23" s="47">
        <v>0</v>
      </c>
      <c r="G23" s="47">
        <v>150000</v>
      </c>
    </row>
    <row r="24" spans="1:7" ht="21.75" customHeight="1">
      <c r="A24" s="28" t="s">
        <v>25</v>
      </c>
      <c r="B24" s="29" t="s">
        <v>26</v>
      </c>
      <c r="C24" s="45">
        <f>SUM(C25:C32)</f>
        <v>11883000</v>
      </c>
      <c r="D24" s="45">
        <f>SUM(D25:D32)</f>
        <v>0</v>
      </c>
      <c r="E24" s="45">
        <f>SUM(E25:E32)</f>
        <v>11883000</v>
      </c>
      <c r="F24" s="45">
        <f>SUM(F25:F32)</f>
        <v>0</v>
      </c>
      <c r="G24" s="45">
        <f>SUM(G25:G32)</f>
        <v>11883000</v>
      </c>
    </row>
    <row r="25" spans="1:7" ht="21.75" customHeight="1">
      <c r="A25" s="26" t="s">
        <v>27</v>
      </c>
      <c r="B25" s="27" t="s">
        <v>127</v>
      </c>
      <c r="C25" s="47">
        <v>3760000</v>
      </c>
      <c r="D25" s="47">
        <v>0</v>
      </c>
      <c r="E25" s="47">
        <v>3760000</v>
      </c>
      <c r="F25" s="47">
        <v>0</v>
      </c>
      <c r="G25" s="47">
        <v>3760000</v>
      </c>
    </row>
    <row r="26" spans="1:7" ht="21.75" customHeight="1">
      <c r="A26" s="26" t="s">
        <v>238</v>
      </c>
      <c r="B26" s="27" t="s">
        <v>239</v>
      </c>
      <c r="C26" s="47">
        <v>637500</v>
      </c>
      <c r="D26" s="47">
        <v>0</v>
      </c>
      <c r="E26" s="47">
        <v>637500</v>
      </c>
      <c r="F26" s="47">
        <v>0</v>
      </c>
      <c r="G26" s="47">
        <v>637500</v>
      </c>
    </row>
    <row r="27" spans="1:7" ht="21.75" customHeight="1">
      <c r="A27" s="26" t="s">
        <v>28</v>
      </c>
      <c r="B27" s="27" t="s">
        <v>29</v>
      </c>
      <c r="C27" s="47">
        <v>6000000</v>
      </c>
      <c r="D27" s="47">
        <v>0</v>
      </c>
      <c r="E27" s="47">
        <v>6000000</v>
      </c>
      <c r="F27" s="47">
        <v>0</v>
      </c>
      <c r="G27" s="47">
        <v>6000000</v>
      </c>
    </row>
    <row r="28" spans="1:7" ht="18.75" customHeight="1">
      <c r="A28" s="26" t="s">
        <v>30</v>
      </c>
      <c r="B28" s="27" t="s">
        <v>31</v>
      </c>
      <c r="C28" s="47">
        <v>150000</v>
      </c>
      <c r="D28" s="47">
        <v>0</v>
      </c>
      <c r="E28" s="47">
        <v>150000</v>
      </c>
      <c r="F28" s="47">
        <v>0</v>
      </c>
      <c r="G28" s="47">
        <v>150000</v>
      </c>
    </row>
    <row r="29" spans="1:7" ht="24.75" customHeight="1">
      <c r="A29" s="26" t="s">
        <v>32</v>
      </c>
      <c r="B29" s="27" t="s">
        <v>33</v>
      </c>
      <c r="C29" s="47">
        <v>1265500</v>
      </c>
      <c r="D29" s="47">
        <v>0</v>
      </c>
      <c r="E29" s="47">
        <v>1265500</v>
      </c>
      <c r="F29" s="47">
        <v>0</v>
      </c>
      <c r="G29" s="47">
        <v>1265500</v>
      </c>
    </row>
    <row r="30" spans="1:7" ht="21.75" customHeight="1">
      <c r="A30" s="26" t="s">
        <v>34</v>
      </c>
      <c r="B30" s="27" t="s">
        <v>35</v>
      </c>
      <c r="C30" s="53">
        <v>10000</v>
      </c>
      <c r="D30" s="53">
        <v>0</v>
      </c>
      <c r="E30" s="53">
        <v>10000</v>
      </c>
      <c r="F30" s="53">
        <v>0</v>
      </c>
      <c r="G30" s="53">
        <v>10000</v>
      </c>
    </row>
    <row r="31" spans="1:7" ht="21.75" customHeight="1">
      <c r="A31" s="26" t="s">
        <v>36</v>
      </c>
      <c r="B31" s="27" t="s">
        <v>324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</row>
    <row r="32" spans="1:7" ht="21.75" customHeight="1">
      <c r="A32" s="26" t="s">
        <v>357</v>
      </c>
      <c r="B32" s="27" t="s">
        <v>37</v>
      </c>
      <c r="C32" s="53">
        <v>60000</v>
      </c>
      <c r="D32" s="53">
        <v>0</v>
      </c>
      <c r="E32" s="53">
        <v>60000</v>
      </c>
      <c r="F32" s="53">
        <v>0</v>
      </c>
      <c r="G32" s="53">
        <v>60000</v>
      </c>
    </row>
    <row r="33" spans="1:7" ht="21.75" customHeight="1">
      <c r="A33" s="28" t="s">
        <v>38</v>
      </c>
      <c r="B33" s="29" t="s">
        <v>39</v>
      </c>
      <c r="C33" s="225">
        <f>SUM(C34:C34)</f>
        <v>0</v>
      </c>
      <c r="D33" s="225">
        <f>SUM(D34:D34)</f>
        <v>0</v>
      </c>
      <c r="E33" s="225">
        <f>SUM(E34:E34)</f>
        <v>0</v>
      </c>
      <c r="F33" s="225">
        <f>SUM(F34:F34)</f>
        <v>0</v>
      </c>
      <c r="G33" s="225">
        <f>SUM(G34:G34)</f>
        <v>0</v>
      </c>
    </row>
    <row r="34" spans="1:7" ht="21.75" customHeight="1">
      <c r="A34" s="26" t="s">
        <v>240</v>
      </c>
      <c r="B34" s="27" t="s">
        <v>241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21.75" customHeight="1">
      <c r="A35" s="28" t="s">
        <v>40</v>
      </c>
      <c r="B35" s="29" t="s">
        <v>41</v>
      </c>
      <c r="C35" s="45">
        <f>SUM(C36:C36)</f>
        <v>50000</v>
      </c>
      <c r="D35" s="45">
        <f>SUM(D36:D36)</f>
        <v>0</v>
      </c>
      <c r="E35" s="45">
        <f>SUM(E36:E36)</f>
        <v>50000</v>
      </c>
      <c r="F35" s="45">
        <f>SUM(F36:F36)</f>
        <v>0</v>
      </c>
      <c r="G35" s="45">
        <f>SUM(G36:G36)</f>
        <v>50000</v>
      </c>
    </row>
    <row r="36" spans="1:7" ht="21.75" customHeight="1">
      <c r="A36" s="26" t="s">
        <v>128</v>
      </c>
      <c r="B36" s="27" t="s">
        <v>42</v>
      </c>
      <c r="C36" s="47">
        <v>50000</v>
      </c>
      <c r="D36" s="47">
        <v>0</v>
      </c>
      <c r="E36" s="47">
        <v>50000</v>
      </c>
      <c r="F36" s="47">
        <v>0</v>
      </c>
      <c r="G36" s="47">
        <v>50000</v>
      </c>
    </row>
    <row r="37" spans="1:7" ht="21.75" customHeight="1">
      <c r="A37" s="28" t="s">
        <v>43</v>
      </c>
      <c r="B37" s="29" t="s">
        <v>186</v>
      </c>
      <c r="C37" s="253">
        <f>C38</f>
        <v>0</v>
      </c>
      <c r="D37" s="253">
        <f>D38</f>
        <v>0</v>
      </c>
      <c r="E37" s="253">
        <f>E38</f>
        <v>0</v>
      </c>
      <c r="F37" s="253">
        <f>F38</f>
        <v>0</v>
      </c>
      <c r="G37" s="253">
        <f>G38</f>
        <v>0</v>
      </c>
    </row>
    <row r="38" spans="1:7" ht="21.75" customHeight="1">
      <c r="A38" s="26" t="s">
        <v>361</v>
      </c>
      <c r="B38" s="27" t="s">
        <v>362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30" customHeight="1">
      <c r="A39" s="31" t="s">
        <v>181</v>
      </c>
      <c r="B39" s="32" t="s">
        <v>44</v>
      </c>
      <c r="C39" s="50">
        <f>C7+C15+C18+C24+C33+C35+C37</f>
        <v>341543502</v>
      </c>
      <c r="D39" s="50">
        <f>D7+D15+D18+D24+D33+D35+D37</f>
        <v>3706875</v>
      </c>
      <c r="E39" s="50">
        <f>E7+E15+E18+E24+E33+E35+E37</f>
        <v>345250377</v>
      </c>
      <c r="F39" s="50">
        <f>F7+F15+F18+F24+F33+F35+F37</f>
        <v>0</v>
      </c>
      <c r="G39" s="50">
        <f>G7+G15+G18+G24+G33+G35+G37</f>
        <v>345250377</v>
      </c>
    </row>
    <row r="40" spans="1:7" ht="21.75" customHeight="1">
      <c r="A40" s="28" t="s">
        <v>45</v>
      </c>
      <c r="B40" s="29" t="s">
        <v>46</v>
      </c>
      <c r="C40" s="224">
        <f>SUM(C41:C42)</f>
        <v>88071346</v>
      </c>
      <c r="D40" s="224">
        <f>SUM(D41:D42)</f>
        <v>0</v>
      </c>
      <c r="E40" s="224">
        <f>SUM(E41:E42)</f>
        <v>88071346</v>
      </c>
      <c r="F40" s="224">
        <f>SUM(F41:F42)</f>
        <v>0</v>
      </c>
      <c r="G40" s="224">
        <f>SUM(G41:G42)</f>
        <v>88071346</v>
      </c>
    </row>
    <row r="41" spans="1:7" ht="21.75" customHeight="1">
      <c r="A41" s="26" t="s">
        <v>47</v>
      </c>
      <c r="B41" s="27" t="s">
        <v>48</v>
      </c>
      <c r="C41" s="47">
        <v>88071346</v>
      </c>
      <c r="D41" s="47">
        <v>0</v>
      </c>
      <c r="E41" s="47">
        <v>88071346</v>
      </c>
      <c r="F41" s="47">
        <v>0</v>
      </c>
      <c r="G41" s="47">
        <v>88071346</v>
      </c>
    </row>
    <row r="42" spans="1:7" ht="21.75" customHeight="1">
      <c r="A42" s="26" t="s">
        <v>242</v>
      </c>
      <c r="B42" s="27" t="s">
        <v>243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</row>
    <row r="43" spans="1:7" s="20" customFormat="1" ht="37.5" customHeight="1" thickBot="1">
      <c r="A43" s="33" t="s">
        <v>129</v>
      </c>
      <c r="B43" s="34" t="s">
        <v>49</v>
      </c>
      <c r="C43" s="51">
        <f>C39+C40</f>
        <v>429614848</v>
      </c>
      <c r="D43" s="51">
        <f>D39+D40</f>
        <v>3706875</v>
      </c>
      <c r="E43" s="51">
        <f>E39+E40</f>
        <v>433321723</v>
      </c>
      <c r="F43" s="51">
        <f>F39+F40</f>
        <v>0</v>
      </c>
      <c r="G43" s="51">
        <f>G39+G40</f>
        <v>433321723</v>
      </c>
    </row>
    <row r="44" spans="1:7" ht="15.75" thickTop="1">
      <c r="A44" s="2"/>
      <c r="B44" s="2"/>
      <c r="C44" s="2"/>
      <c r="D44" s="2"/>
      <c r="E44" s="2"/>
      <c r="F44" s="2"/>
      <c r="G44" s="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140625" style="0" hidden="1" customWidth="1"/>
    <col min="5" max="5" width="16.28125" style="0" hidden="1" customWidth="1"/>
    <col min="6" max="6" width="16.140625" style="0" hidden="1" customWidth="1"/>
    <col min="7" max="7" width="16.28125" style="0" customWidth="1"/>
    <col min="8" max="8" width="16.140625" style="0" customWidth="1"/>
    <col min="9" max="9" width="16.28125" style="0" customWidth="1"/>
  </cols>
  <sheetData>
    <row r="1" spans="1:9" ht="30" customHeight="1">
      <c r="A1" s="426" t="s">
        <v>185</v>
      </c>
      <c r="B1" s="426"/>
      <c r="C1" s="426"/>
      <c r="D1" s="426"/>
      <c r="E1" s="426"/>
      <c r="F1" s="426"/>
      <c r="G1" s="426"/>
      <c r="H1" s="426"/>
      <c r="I1" s="426"/>
    </row>
    <row r="2" spans="1:9" ht="18" customHeight="1">
      <c r="A2" s="427" t="s">
        <v>337</v>
      </c>
      <c r="B2" s="427"/>
      <c r="C2" s="427"/>
      <c r="D2" s="427"/>
      <c r="E2" s="427"/>
      <c r="F2" s="427"/>
      <c r="G2" s="427"/>
      <c r="H2" s="427"/>
      <c r="I2" s="427"/>
    </row>
    <row r="3" spans="1:9" ht="18" customHeight="1">
      <c r="A3" s="273"/>
      <c r="B3" s="273"/>
      <c r="C3" s="273"/>
      <c r="D3" s="273"/>
      <c r="E3" s="273"/>
      <c r="F3" s="273"/>
      <c r="G3" s="273"/>
      <c r="H3" s="273"/>
      <c r="I3" s="273"/>
    </row>
    <row r="4" spans="1:9" ht="19.5" customHeight="1">
      <c r="A4" s="460" t="s">
        <v>508</v>
      </c>
      <c r="B4" s="460"/>
      <c r="C4" s="461"/>
      <c r="D4" s="269"/>
      <c r="E4" s="269"/>
      <c r="F4" s="269"/>
      <c r="G4" s="209"/>
      <c r="H4" s="269"/>
      <c r="I4" s="209"/>
    </row>
    <row r="5" spans="1:9" ht="24" customHeight="1" thickBot="1">
      <c r="A5" s="424" t="s">
        <v>430</v>
      </c>
      <c r="B5" s="424"/>
      <c r="C5" s="271"/>
      <c r="D5" s="278"/>
      <c r="E5" s="278"/>
      <c r="F5" s="278"/>
      <c r="G5" s="40"/>
      <c r="H5" s="278"/>
      <c r="I5" s="40" t="s">
        <v>328</v>
      </c>
    </row>
    <row r="6" spans="1:9" ht="38.25" customHeight="1" thickBot="1" thickTop="1">
      <c r="A6" s="56" t="s">
        <v>0</v>
      </c>
      <c r="B6" s="57" t="s">
        <v>1</v>
      </c>
      <c r="C6" s="38" t="s">
        <v>358</v>
      </c>
      <c r="D6" s="38" t="s">
        <v>418</v>
      </c>
      <c r="E6" s="38" t="s">
        <v>417</v>
      </c>
      <c r="F6" s="38" t="s">
        <v>429</v>
      </c>
      <c r="G6" s="38" t="s">
        <v>428</v>
      </c>
      <c r="H6" s="38" t="s">
        <v>482</v>
      </c>
      <c r="I6" s="38" t="s">
        <v>481</v>
      </c>
    </row>
    <row r="7" spans="1:9" ht="12.75" customHeight="1" thickTop="1">
      <c r="A7" s="59" t="s">
        <v>93</v>
      </c>
      <c r="B7" s="60" t="s">
        <v>94</v>
      </c>
      <c r="C7" s="60" t="s">
        <v>95</v>
      </c>
      <c r="D7" s="60" t="s">
        <v>96</v>
      </c>
      <c r="E7" s="60" t="s">
        <v>96</v>
      </c>
      <c r="F7" s="60" t="s">
        <v>97</v>
      </c>
      <c r="G7" s="60" t="s">
        <v>96</v>
      </c>
      <c r="H7" s="60" t="s">
        <v>97</v>
      </c>
      <c r="I7" s="60" t="s">
        <v>306</v>
      </c>
    </row>
    <row r="8" spans="1:9" s="22" customFormat="1" ht="21.75" customHeight="1">
      <c r="A8" s="35" t="s">
        <v>50</v>
      </c>
      <c r="B8" s="36" t="s">
        <v>51</v>
      </c>
      <c r="C8" s="52">
        <f aca="true" t="shared" si="0" ref="C8:H8">C9+C16</f>
        <v>47206036</v>
      </c>
      <c r="D8" s="52">
        <f t="shared" si="0"/>
        <v>0</v>
      </c>
      <c r="E8" s="52">
        <f t="shared" si="0"/>
        <v>47206036</v>
      </c>
      <c r="F8" s="52">
        <f t="shared" si="0"/>
        <v>0</v>
      </c>
      <c r="G8" s="52">
        <f t="shared" si="0"/>
        <v>47206036</v>
      </c>
      <c r="H8" s="52">
        <f t="shared" si="0"/>
        <v>810990</v>
      </c>
      <c r="I8" s="52">
        <f>G8+H8</f>
        <v>48017026</v>
      </c>
    </row>
    <row r="9" spans="1:9" s="21" customFormat="1" ht="21.75" customHeight="1">
      <c r="A9" s="26" t="s">
        <v>52</v>
      </c>
      <c r="B9" s="27" t="s">
        <v>53</v>
      </c>
      <c r="C9" s="47">
        <f aca="true" t="shared" si="1" ref="C9:I9">SUM(C10:C15)</f>
        <v>36766036</v>
      </c>
      <c r="D9" s="47">
        <f t="shared" si="1"/>
        <v>0</v>
      </c>
      <c r="E9" s="47">
        <f t="shared" si="1"/>
        <v>36766036</v>
      </c>
      <c r="F9" s="47">
        <f t="shared" si="1"/>
        <v>0</v>
      </c>
      <c r="G9" s="47">
        <f t="shared" si="1"/>
        <v>36766036</v>
      </c>
      <c r="H9" s="47">
        <f t="shared" si="1"/>
        <v>0</v>
      </c>
      <c r="I9" s="47">
        <f t="shared" si="1"/>
        <v>36766036</v>
      </c>
    </row>
    <row r="10" spans="1:9" s="21" customFormat="1" ht="22.5" customHeight="1" hidden="1">
      <c r="A10" s="26" t="s">
        <v>135</v>
      </c>
      <c r="B10" s="27" t="s">
        <v>54</v>
      </c>
      <c r="C10" s="47">
        <v>33575000</v>
      </c>
      <c r="D10" s="47">
        <v>0</v>
      </c>
      <c r="E10" s="47">
        <v>33575000</v>
      </c>
      <c r="F10" s="47">
        <v>-30000</v>
      </c>
      <c r="G10" s="47">
        <f>E10+F10</f>
        <v>33545000</v>
      </c>
      <c r="H10" s="47">
        <v>0</v>
      </c>
      <c r="I10" s="47">
        <f aca="true" t="shared" si="2" ref="I10:I15">G10+H10</f>
        <v>33545000</v>
      </c>
    </row>
    <row r="11" spans="1:9" s="21" customFormat="1" ht="22.5" customHeight="1" hidden="1">
      <c r="A11" s="26" t="s">
        <v>188</v>
      </c>
      <c r="B11" s="27" t="s">
        <v>189</v>
      </c>
      <c r="C11" s="47">
        <v>0</v>
      </c>
      <c r="D11" s="47">
        <v>0</v>
      </c>
      <c r="E11" s="47">
        <v>0</v>
      </c>
      <c r="F11" s="47">
        <v>30000</v>
      </c>
      <c r="G11" s="47">
        <f>F11</f>
        <v>30000</v>
      </c>
      <c r="H11" s="47">
        <v>0</v>
      </c>
      <c r="I11" s="47">
        <f t="shared" si="2"/>
        <v>30000</v>
      </c>
    </row>
    <row r="12" spans="1:9" s="21" customFormat="1" ht="21.75" customHeight="1" hidden="1">
      <c r="A12" s="26" t="s">
        <v>136</v>
      </c>
      <c r="B12" s="27" t="s">
        <v>55</v>
      </c>
      <c r="C12" s="47">
        <v>2095036</v>
      </c>
      <c r="D12" s="47">
        <v>0</v>
      </c>
      <c r="E12" s="47">
        <v>2095036</v>
      </c>
      <c r="F12" s="47">
        <v>0</v>
      </c>
      <c r="G12" s="47">
        <v>2095036</v>
      </c>
      <c r="H12" s="47">
        <v>0</v>
      </c>
      <c r="I12" s="47">
        <f t="shared" si="2"/>
        <v>2095036</v>
      </c>
    </row>
    <row r="13" spans="1:9" s="21" customFormat="1" ht="21.75" customHeight="1" hidden="1">
      <c r="A13" s="26" t="s">
        <v>137</v>
      </c>
      <c r="B13" s="27" t="s">
        <v>56</v>
      </c>
      <c r="C13" s="47">
        <v>36000</v>
      </c>
      <c r="D13" s="47">
        <v>0</v>
      </c>
      <c r="E13" s="47">
        <v>36000</v>
      </c>
      <c r="F13" s="47">
        <v>0</v>
      </c>
      <c r="G13" s="47">
        <v>36000</v>
      </c>
      <c r="H13" s="47">
        <v>0</v>
      </c>
      <c r="I13" s="47">
        <f t="shared" si="2"/>
        <v>36000</v>
      </c>
    </row>
    <row r="14" spans="1:9" s="21" customFormat="1" ht="21.75" customHeight="1" hidden="1">
      <c r="A14" s="26" t="s">
        <v>138</v>
      </c>
      <c r="B14" s="27" t="s">
        <v>57</v>
      </c>
      <c r="C14" s="47">
        <v>510000</v>
      </c>
      <c r="D14" s="47">
        <v>0</v>
      </c>
      <c r="E14" s="47">
        <v>510000</v>
      </c>
      <c r="F14" s="47">
        <v>0</v>
      </c>
      <c r="G14" s="47">
        <v>510000</v>
      </c>
      <c r="H14" s="47">
        <v>0</v>
      </c>
      <c r="I14" s="47">
        <f t="shared" si="2"/>
        <v>510000</v>
      </c>
    </row>
    <row r="15" spans="1:9" s="21" customFormat="1" ht="21.75" customHeight="1" hidden="1">
      <c r="A15" s="26" t="s">
        <v>139</v>
      </c>
      <c r="B15" s="27" t="s">
        <v>58</v>
      </c>
      <c r="C15" s="47">
        <v>550000</v>
      </c>
      <c r="D15" s="47">
        <v>0</v>
      </c>
      <c r="E15" s="47">
        <v>550000</v>
      </c>
      <c r="F15" s="47">
        <v>0</v>
      </c>
      <c r="G15" s="47">
        <v>550000</v>
      </c>
      <c r="H15" s="47">
        <v>0</v>
      </c>
      <c r="I15" s="47">
        <f t="shared" si="2"/>
        <v>550000</v>
      </c>
    </row>
    <row r="16" spans="1:9" s="21" customFormat="1" ht="21.75" customHeight="1">
      <c r="A16" s="26" t="s">
        <v>59</v>
      </c>
      <c r="B16" s="27" t="s">
        <v>60</v>
      </c>
      <c r="C16" s="47">
        <f aca="true" t="shared" si="3" ref="C16:I16">SUM(C17:C19)</f>
        <v>10440000</v>
      </c>
      <c r="D16" s="47">
        <f t="shared" si="3"/>
        <v>0</v>
      </c>
      <c r="E16" s="47">
        <f t="shared" si="3"/>
        <v>10440000</v>
      </c>
      <c r="F16" s="47">
        <f t="shared" si="3"/>
        <v>0</v>
      </c>
      <c r="G16" s="47">
        <f t="shared" si="3"/>
        <v>10440000</v>
      </c>
      <c r="H16" s="47">
        <f t="shared" si="3"/>
        <v>810990</v>
      </c>
      <c r="I16" s="47">
        <f t="shared" si="3"/>
        <v>11250990</v>
      </c>
    </row>
    <row r="17" spans="1:9" s="21" customFormat="1" ht="21.75" customHeight="1" hidden="1">
      <c r="A17" s="26" t="s">
        <v>140</v>
      </c>
      <c r="B17" s="27" t="s">
        <v>61</v>
      </c>
      <c r="C17" s="47">
        <v>7800000</v>
      </c>
      <c r="D17" s="47">
        <v>0</v>
      </c>
      <c r="E17" s="47">
        <v>7800000</v>
      </c>
      <c r="F17" s="47">
        <v>0</v>
      </c>
      <c r="G17" s="47">
        <v>7800000</v>
      </c>
      <c r="H17" s="47">
        <v>0</v>
      </c>
      <c r="I17" s="47">
        <f>G17+H17</f>
        <v>7800000</v>
      </c>
    </row>
    <row r="18" spans="1:9" s="21" customFormat="1" ht="28.5" customHeight="1" hidden="1">
      <c r="A18" s="26" t="s">
        <v>141</v>
      </c>
      <c r="B18" s="27" t="s">
        <v>62</v>
      </c>
      <c r="C18" s="47">
        <v>2140000</v>
      </c>
      <c r="D18" s="47">
        <v>0</v>
      </c>
      <c r="E18" s="47">
        <v>2140000</v>
      </c>
      <c r="F18" s="47">
        <v>0</v>
      </c>
      <c r="G18" s="47">
        <v>2140000</v>
      </c>
      <c r="H18" s="47">
        <v>810990</v>
      </c>
      <c r="I18" s="47">
        <f>G18+H18</f>
        <v>2950990</v>
      </c>
    </row>
    <row r="19" spans="1:9" s="21" customFormat="1" ht="21.75" customHeight="1" hidden="1">
      <c r="A19" s="26" t="s">
        <v>142</v>
      </c>
      <c r="B19" s="27" t="s">
        <v>63</v>
      </c>
      <c r="C19" s="47">
        <v>500000</v>
      </c>
      <c r="D19" s="47">
        <v>0</v>
      </c>
      <c r="E19" s="47">
        <v>500000</v>
      </c>
      <c r="F19" s="47">
        <v>0</v>
      </c>
      <c r="G19" s="47">
        <v>500000</v>
      </c>
      <c r="H19" s="47">
        <v>0</v>
      </c>
      <c r="I19" s="47">
        <f>G19+H19</f>
        <v>500000</v>
      </c>
    </row>
    <row r="20" spans="1:9" s="22" customFormat="1" ht="34.5" customHeight="1">
      <c r="A20" s="28" t="s">
        <v>64</v>
      </c>
      <c r="B20" s="30" t="s">
        <v>161</v>
      </c>
      <c r="C20" s="45">
        <v>11598180</v>
      </c>
      <c r="D20" s="45">
        <v>0</v>
      </c>
      <c r="E20" s="45">
        <v>11598180</v>
      </c>
      <c r="F20" s="45">
        <v>0</v>
      </c>
      <c r="G20" s="45">
        <v>11598180</v>
      </c>
      <c r="H20" s="45">
        <v>142329</v>
      </c>
      <c r="I20" s="45">
        <f>G20+H20</f>
        <v>11740509</v>
      </c>
    </row>
    <row r="21" spans="1:9" s="22" customFormat="1" ht="21.75" customHeight="1">
      <c r="A21" s="28" t="s">
        <v>65</v>
      </c>
      <c r="B21" s="29" t="s">
        <v>66</v>
      </c>
      <c r="C21" s="50">
        <f aca="true" t="shared" si="4" ref="C21:I21">C22+C25+C28+C35+C36</f>
        <v>42555558</v>
      </c>
      <c r="D21" s="50">
        <f t="shared" si="4"/>
        <v>0</v>
      </c>
      <c r="E21" s="50">
        <f t="shared" si="4"/>
        <v>42555558</v>
      </c>
      <c r="F21" s="50">
        <f t="shared" si="4"/>
        <v>0</v>
      </c>
      <c r="G21" s="50">
        <f t="shared" si="4"/>
        <v>42555558</v>
      </c>
      <c r="H21" s="50">
        <f t="shared" si="4"/>
        <v>-953319</v>
      </c>
      <c r="I21" s="50">
        <f t="shared" si="4"/>
        <v>41602239</v>
      </c>
    </row>
    <row r="22" spans="1:9" s="21" customFormat="1" ht="21.75" customHeight="1">
      <c r="A22" s="26" t="s">
        <v>67</v>
      </c>
      <c r="B22" s="27" t="s">
        <v>68</v>
      </c>
      <c r="C22" s="47">
        <f aca="true" t="shared" si="5" ref="C22:I22">SUM(C23:C24)</f>
        <v>5516627</v>
      </c>
      <c r="D22" s="47">
        <f t="shared" si="5"/>
        <v>0</v>
      </c>
      <c r="E22" s="47">
        <f t="shared" si="5"/>
        <v>5516627</v>
      </c>
      <c r="F22" s="47">
        <f t="shared" si="5"/>
        <v>0</v>
      </c>
      <c r="G22" s="47">
        <f t="shared" si="5"/>
        <v>5516627</v>
      </c>
      <c r="H22" s="47">
        <f t="shared" si="5"/>
        <v>0</v>
      </c>
      <c r="I22" s="47">
        <f t="shared" si="5"/>
        <v>5516627</v>
      </c>
    </row>
    <row r="23" spans="1:9" s="21" customFormat="1" ht="21.75" customHeight="1" hidden="1">
      <c r="A23" s="26" t="s">
        <v>147</v>
      </c>
      <c r="B23" s="27" t="s">
        <v>149</v>
      </c>
      <c r="C23" s="47">
        <v>900000</v>
      </c>
      <c r="D23" s="47">
        <v>0</v>
      </c>
      <c r="E23" s="47">
        <v>900000</v>
      </c>
      <c r="F23" s="47">
        <v>0</v>
      </c>
      <c r="G23" s="47">
        <v>900000</v>
      </c>
      <c r="H23" s="47">
        <v>0</v>
      </c>
      <c r="I23" s="47">
        <v>900000</v>
      </c>
    </row>
    <row r="24" spans="1:9" s="21" customFormat="1" ht="21.75" customHeight="1" hidden="1">
      <c r="A24" s="26" t="s">
        <v>148</v>
      </c>
      <c r="B24" s="27" t="s">
        <v>150</v>
      </c>
      <c r="C24" s="47">
        <v>4616627</v>
      </c>
      <c r="D24" s="47">
        <v>0</v>
      </c>
      <c r="E24" s="47">
        <v>4616627</v>
      </c>
      <c r="F24" s="47">
        <v>0</v>
      </c>
      <c r="G24" s="47">
        <v>4616627</v>
      </c>
      <c r="H24" s="47">
        <v>0</v>
      </c>
      <c r="I24" s="47">
        <v>4616627</v>
      </c>
    </row>
    <row r="25" spans="1:9" s="21" customFormat="1" ht="21.75" customHeight="1">
      <c r="A25" s="26" t="s">
        <v>69</v>
      </c>
      <c r="B25" s="27" t="s">
        <v>70</v>
      </c>
      <c r="C25" s="47">
        <f aca="true" t="shared" si="6" ref="C25:I25">SUM(C26:C27)</f>
        <v>605000</v>
      </c>
      <c r="D25" s="47">
        <f t="shared" si="6"/>
        <v>0</v>
      </c>
      <c r="E25" s="47">
        <f t="shared" si="6"/>
        <v>605000</v>
      </c>
      <c r="F25" s="47">
        <f t="shared" si="6"/>
        <v>0</v>
      </c>
      <c r="G25" s="47">
        <f t="shared" si="6"/>
        <v>605000</v>
      </c>
      <c r="H25" s="47">
        <f t="shared" si="6"/>
        <v>0</v>
      </c>
      <c r="I25" s="47">
        <f t="shared" si="6"/>
        <v>605000</v>
      </c>
    </row>
    <row r="26" spans="1:9" s="21" customFormat="1" ht="21.75" customHeight="1" hidden="1">
      <c r="A26" s="26" t="s">
        <v>143</v>
      </c>
      <c r="B26" s="27" t="s">
        <v>145</v>
      </c>
      <c r="C26" s="47">
        <v>140000</v>
      </c>
      <c r="D26" s="47">
        <v>0</v>
      </c>
      <c r="E26" s="47">
        <v>140000</v>
      </c>
      <c r="F26" s="47">
        <v>0</v>
      </c>
      <c r="G26" s="47">
        <v>140000</v>
      </c>
      <c r="H26" s="47">
        <v>0</v>
      </c>
      <c r="I26" s="47">
        <v>140000</v>
      </c>
    </row>
    <row r="27" spans="1:9" s="21" customFormat="1" ht="21.75" customHeight="1" hidden="1">
      <c r="A27" s="26" t="s">
        <v>144</v>
      </c>
      <c r="B27" s="27" t="s">
        <v>146</v>
      </c>
      <c r="C27" s="47">
        <v>465000</v>
      </c>
      <c r="D27" s="47">
        <v>0</v>
      </c>
      <c r="E27" s="47">
        <v>465000</v>
      </c>
      <c r="F27" s="47">
        <v>0</v>
      </c>
      <c r="G27" s="47">
        <v>465000</v>
      </c>
      <c r="H27" s="47">
        <v>0</v>
      </c>
      <c r="I27" s="47">
        <v>465000</v>
      </c>
    </row>
    <row r="28" spans="1:9" s="21" customFormat="1" ht="21.75" customHeight="1">
      <c r="A28" s="26" t="s">
        <v>71</v>
      </c>
      <c r="B28" s="27" t="s">
        <v>72</v>
      </c>
      <c r="C28" s="47">
        <f aca="true" t="shared" si="7" ref="C28:I28">SUM(C29:C34)</f>
        <v>26230331</v>
      </c>
      <c r="D28" s="47">
        <f t="shared" si="7"/>
        <v>0</v>
      </c>
      <c r="E28" s="47">
        <f t="shared" si="7"/>
        <v>26230331</v>
      </c>
      <c r="F28" s="47">
        <f t="shared" si="7"/>
        <v>0</v>
      </c>
      <c r="G28" s="47">
        <f t="shared" si="7"/>
        <v>26230331</v>
      </c>
      <c r="H28" s="47">
        <f t="shared" si="7"/>
        <v>-750645</v>
      </c>
      <c r="I28" s="47">
        <f t="shared" si="7"/>
        <v>25479686</v>
      </c>
    </row>
    <row r="29" spans="1:9" s="21" customFormat="1" ht="21.75" customHeight="1" hidden="1">
      <c r="A29" s="26" t="s">
        <v>151</v>
      </c>
      <c r="B29" s="48" t="s">
        <v>73</v>
      </c>
      <c r="C29" s="47">
        <v>7575000</v>
      </c>
      <c r="D29" s="47">
        <v>0</v>
      </c>
      <c r="E29" s="47">
        <v>7575000</v>
      </c>
      <c r="F29" s="47">
        <v>0</v>
      </c>
      <c r="G29" s="47">
        <v>7575000</v>
      </c>
      <c r="H29" s="47">
        <v>0</v>
      </c>
      <c r="I29" s="47">
        <v>7575000</v>
      </c>
    </row>
    <row r="30" spans="1:9" s="21" customFormat="1" ht="21.75" customHeight="1" hidden="1">
      <c r="A30" s="26" t="s">
        <v>152</v>
      </c>
      <c r="B30" s="48" t="s">
        <v>153</v>
      </c>
      <c r="C30" s="47">
        <v>430000</v>
      </c>
      <c r="D30" s="47">
        <v>0</v>
      </c>
      <c r="E30" s="47">
        <v>430000</v>
      </c>
      <c r="F30" s="47">
        <v>0</v>
      </c>
      <c r="G30" s="47">
        <v>430000</v>
      </c>
      <c r="H30" s="47">
        <v>0</v>
      </c>
      <c r="I30" s="47">
        <v>430000</v>
      </c>
    </row>
    <row r="31" spans="1:9" s="21" customFormat="1" ht="21.75" customHeight="1" hidden="1">
      <c r="A31" s="26" t="s">
        <v>154</v>
      </c>
      <c r="B31" s="27" t="s">
        <v>155</v>
      </c>
      <c r="C31" s="47">
        <v>1760000</v>
      </c>
      <c r="D31" s="47">
        <v>0</v>
      </c>
      <c r="E31" s="47">
        <v>1760000</v>
      </c>
      <c r="F31" s="47">
        <v>0</v>
      </c>
      <c r="G31" s="47">
        <v>1760000</v>
      </c>
      <c r="H31" s="47">
        <v>0</v>
      </c>
      <c r="I31" s="47">
        <v>1760000</v>
      </c>
    </row>
    <row r="32" spans="1:9" s="21" customFormat="1" ht="21.75" customHeight="1" hidden="1">
      <c r="A32" s="26" t="s">
        <v>325</v>
      </c>
      <c r="B32" s="27" t="s">
        <v>326</v>
      </c>
      <c r="C32" s="47">
        <v>705000</v>
      </c>
      <c r="D32" s="47">
        <v>0</v>
      </c>
      <c r="E32" s="47">
        <v>705000</v>
      </c>
      <c r="F32" s="47">
        <v>0</v>
      </c>
      <c r="G32" s="47">
        <v>705000</v>
      </c>
      <c r="H32" s="47">
        <v>0</v>
      </c>
      <c r="I32" s="47">
        <v>705000</v>
      </c>
    </row>
    <row r="33" spans="1:9" s="21" customFormat="1" ht="21.75" customHeight="1" hidden="1">
      <c r="A33" s="26" t="s">
        <v>156</v>
      </c>
      <c r="B33" s="27" t="s">
        <v>158</v>
      </c>
      <c r="C33" s="47">
        <v>10020331</v>
      </c>
      <c r="D33" s="47">
        <v>0</v>
      </c>
      <c r="E33" s="47">
        <v>10020331</v>
      </c>
      <c r="F33" s="47">
        <v>0</v>
      </c>
      <c r="G33" s="47">
        <v>10020331</v>
      </c>
      <c r="H33" s="47">
        <v>-750645</v>
      </c>
      <c r="I33" s="47">
        <f>G33+H33</f>
        <v>9269686</v>
      </c>
    </row>
    <row r="34" spans="1:9" s="21" customFormat="1" ht="21.75" customHeight="1" hidden="1">
      <c r="A34" s="26" t="s">
        <v>157</v>
      </c>
      <c r="B34" s="27" t="s">
        <v>74</v>
      </c>
      <c r="C34" s="47">
        <v>5740000</v>
      </c>
      <c r="D34" s="47">
        <v>0</v>
      </c>
      <c r="E34" s="47">
        <v>5740000</v>
      </c>
      <c r="F34" s="47">
        <v>0</v>
      </c>
      <c r="G34" s="47">
        <v>5740000</v>
      </c>
      <c r="H34" s="47">
        <v>0</v>
      </c>
      <c r="I34" s="47">
        <f>G34+H34</f>
        <v>5740000</v>
      </c>
    </row>
    <row r="35" spans="1:9" s="21" customFormat="1" ht="21.75" customHeight="1">
      <c r="A35" s="394" t="s">
        <v>75</v>
      </c>
      <c r="B35" s="395" t="s">
        <v>76</v>
      </c>
      <c r="C35" s="53">
        <v>500000</v>
      </c>
      <c r="D35" s="53">
        <v>0</v>
      </c>
      <c r="E35" s="53">
        <v>500000</v>
      </c>
      <c r="F35" s="53">
        <v>0</v>
      </c>
      <c r="G35" s="53">
        <v>500000</v>
      </c>
      <c r="H35" s="53">
        <v>0</v>
      </c>
      <c r="I35" s="53">
        <v>500000</v>
      </c>
    </row>
    <row r="36" spans="1:9" s="21" customFormat="1" ht="21.75" customHeight="1">
      <c r="A36" s="26" t="s">
        <v>77</v>
      </c>
      <c r="B36" s="27" t="s">
        <v>78</v>
      </c>
      <c r="C36" s="47">
        <f aca="true" t="shared" si="8" ref="C36:I36">SUM(C37:C39)</f>
        <v>9703600</v>
      </c>
      <c r="D36" s="47">
        <f t="shared" si="8"/>
        <v>0</v>
      </c>
      <c r="E36" s="47">
        <f t="shared" si="8"/>
        <v>9703600</v>
      </c>
      <c r="F36" s="47">
        <f t="shared" si="8"/>
        <v>0</v>
      </c>
      <c r="G36" s="47">
        <f t="shared" si="8"/>
        <v>9703600</v>
      </c>
      <c r="H36" s="47">
        <f t="shared" si="8"/>
        <v>-202674</v>
      </c>
      <c r="I36" s="47">
        <f t="shared" si="8"/>
        <v>9500926</v>
      </c>
    </row>
    <row r="37" spans="1:9" s="21" customFormat="1" ht="21.75" customHeight="1" hidden="1">
      <c r="A37" s="26" t="s">
        <v>159</v>
      </c>
      <c r="B37" s="27" t="s">
        <v>329</v>
      </c>
      <c r="C37" s="217">
        <v>7553600</v>
      </c>
      <c r="D37" s="47">
        <v>-200000</v>
      </c>
      <c r="E37" s="217">
        <f>C37+D37</f>
        <v>7353600</v>
      </c>
      <c r="F37" s="47">
        <v>0</v>
      </c>
      <c r="G37" s="217">
        <f>E37+F37</f>
        <v>7353600</v>
      </c>
      <c r="H37" s="47">
        <v>-202674</v>
      </c>
      <c r="I37" s="217">
        <f>G37+H37</f>
        <v>7150926</v>
      </c>
    </row>
    <row r="38" spans="1:9" s="21" customFormat="1" ht="21.75" customHeight="1" hidden="1">
      <c r="A38" s="26" t="s">
        <v>343</v>
      </c>
      <c r="B38" s="27" t="s">
        <v>344</v>
      </c>
      <c r="C38" s="223">
        <v>100000</v>
      </c>
      <c r="D38" s="223">
        <v>200000</v>
      </c>
      <c r="E38" s="217">
        <f>C38+D38</f>
        <v>300000</v>
      </c>
      <c r="F38" s="223">
        <v>0</v>
      </c>
      <c r="G38" s="217">
        <f>E38+F38</f>
        <v>300000</v>
      </c>
      <c r="H38" s="223">
        <v>0</v>
      </c>
      <c r="I38" s="217">
        <f>G38+H38</f>
        <v>300000</v>
      </c>
    </row>
    <row r="39" spans="1:9" s="21" customFormat="1" ht="21.75" customHeight="1" hidden="1">
      <c r="A39" s="26" t="s">
        <v>160</v>
      </c>
      <c r="B39" s="27" t="s">
        <v>79</v>
      </c>
      <c r="C39" s="217">
        <v>2050000</v>
      </c>
      <c r="D39" s="47">
        <v>0</v>
      </c>
      <c r="E39" s="217">
        <f>C39+D39</f>
        <v>2050000</v>
      </c>
      <c r="F39" s="47">
        <v>0</v>
      </c>
      <c r="G39" s="217">
        <f>E39+F39</f>
        <v>2050000</v>
      </c>
      <c r="H39" s="47">
        <v>0</v>
      </c>
      <c r="I39" s="217">
        <f>G39+H39</f>
        <v>2050000</v>
      </c>
    </row>
    <row r="40" spans="1:9" s="22" customFormat="1" ht="21" customHeight="1">
      <c r="A40" s="28" t="s">
        <v>80</v>
      </c>
      <c r="B40" s="29" t="s">
        <v>81</v>
      </c>
      <c r="C40" s="45">
        <f aca="true" t="shared" si="9" ref="C40:I40">SUM(C41:C42)</f>
        <v>6315000</v>
      </c>
      <c r="D40" s="45">
        <f t="shared" si="9"/>
        <v>0</v>
      </c>
      <c r="E40" s="45">
        <f t="shared" si="9"/>
        <v>6315000</v>
      </c>
      <c r="F40" s="45">
        <f t="shared" si="9"/>
        <v>0</v>
      </c>
      <c r="G40" s="45">
        <f t="shared" si="9"/>
        <v>6315000</v>
      </c>
      <c r="H40" s="45">
        <f t="shared" si="9"/>
        <v>0</v>
      </c>
      <c r="I40" s="45">
        <f t="shared" si="9"/>
        <v>6315000</v>
      </c>
    </row>
    <row r="41" spans="1:9" s="22" customFormat="1" ht="21.75" customHeight="1">
      <c r="A41" s="26" t="s">
        <v>162</v>
      </c>
      <c r="B41" s="27" t="s">
        <v>124</v>
      </c>
      <c r="C41" s="47">
        <v>315000</v>
      </c>
      <c r="D41" s="47">
        <v>0</v>
      </c>
      <c r="E41" s="47">
        <v>315000</v>
      </c>
      <c r="F41" s="47">
        <v>0</v>
      </c>
      <c r="G41" s="47">
        <v>315000</v>
      </c>
      <c r="H41" s="47">
        <v>0</v>
      </c>
      <c r="I41" s="47">
        <v>315000</v>
      </c>
    </row>
    <row r="42" spans="1:9" s="22" customFormat="1" ht="24" customHeight="1">
      <c r="A42" s="26" t="s">
        <v>164</v>
      </c>
      <c r="B42" s="27" t="s">
        <v>125</v>
      </c>
      <c r="C42" s="47">
        <v>6000000</v>
      </c>
      <c r="D42" s="47">
        <v>0</v>
      </c>
      <c r="E42" s="47">
        <v>6000000</v>
      </c>
      <c r="F42" s="47">
        <v>0</v>
      </c>
      <c r="G42" s="47">
        <v>6000000</v>
      </c>
      <c r="H42" s="47">
        <v>0</v>
      </c>
      <c r="I42" s="47">
        <v>6000000</v>
      </c>
    </row>
    <row r="43" spans="1:9" s="22" customFormat="1" ht="21.75" customHeight="1">
      <c r="A43" s="28" t="s">
        <v>82</v>
      </c>
      <c r="B43" s="29" t="s">
        <v>126</v>
      </c>
      <c r="C43" s="50">
        <f aca="true" t="shared" si="10" ref="C43:H43">SUM(C44:C48)</f>
        <v>110559819</v>
      </c>
      <c r="D43" s="50">
        <f t="shared" si="10"/>
        <v>-500000</v>
      </c>
      <c r="E43" s="50">
        <f t="shared" si="10"/>
        <v>110059819</v>
      </c>
      <c r="F43" s="50">
        <f t="shared" si="10"/>
        <v>3717000</v>
      </c>
      <c r="G43" s="50">
        <f t="shared" si="10"/>
        <v>113776819</v>
      </c>
      <c r="H43" s="50">
        <f t="shared" si="10"/>
        <v>-17910301</v>
      </c>
      <c r="I43" s="50">
        <f>G43+H43</f>
        <v>95866518</v>
      </c>
    </row>
    <row r="44" spans="1:9" s="22" customFormat="1" ht="26.25" customHeight="1">
      <c r="A44" s="26" t="s">
        <v>341</v>
      </c>
      <c r="B44" s="27" t="s">
        <v>342</v>
      </c>
      <c r="C44" s="47">
        <v>433401</v>
      </c>
      <c r="D44" s="47">
        <v>0</v>
      </c>
      <c r="E44" s="47">
        <v>433401</v>
      </c>
      <c r="F44" s="47">
        <v>0</v>
      </c>
      <c r="G44" s="47">
        <v>433401</v>
      </c>
      <c r="H44" s="47">
        <v>0</v>
      </c>
      <c r="I44" s="47">
        <v>433401</v>
      </c>
    </row>
    <row r="45" spans="1:9" s="22" customFormat="1" ht="21.75" customHeight="1">
      <c r="A45" s="26" t="s">
        <v>165</v>
      </c>
      <c r="B45" s="27" t="s">
        <v>190</v>
      </c>
      <c r="C45" s="47">
        <v>47503395</v>
      </c>
      <c r="D45" s="47">
        <v>0</v>
      </c>
      <c r="E45" s="47">
        <v>47503395</v>
      </c>
      <c r="F45" s="47">
        <v>0</v>
      </c>
      <c r="G45" s="47">
        <v>47503395</v>
      </c>
      <c r="H45" s="47">
        <v>3200000</v>
      </c>
      <c r="I45" s="47">
        <f>G45+H45</f>
        <v>50703395</v>
      </c>
    </row>
    <row r="46" spans="1:9" s="22" customFormat="1" ht="30.75" customHeight="1">
      <c r="A46" s="26" t="s">
        <v>166</v>
      </c>
      <c r="B46" s="27" t="s">
        <v>167</v>
      </c>
      <c r="C46" s="47">
        <v>50000</v>
      </c>
      <c r="D46" s="47">
        <v>0</v>
      </c>
      <c r="E46" s="47">
        <v>50000</v>
      </c>
      <c r="F46" s="47">
        <v>0</v>
      </c>
      <c r="G46" s="47">
        <v>50000</v>
      </c>
      <c r="H46" s="47">
        <v>0</v>
      </c>
      <c r="I46" s="47">
        <v>50000</v>
      </c>
    </row>
    <row r="47" spans="1:9" s="22" customFormat="1" ht="21.75" customHeight="1">
      <c r="A47" s="26" t="s">
        <v>327</v>
      </c>
      <c r="B47" s="27" t="s">
        <v>168</v>
      </c>
      <c r="C47" s="47">
        <v>4693429</v>
      </c>
      <c r="D47" s="47">
        <v>0</v>
      </c>
      <c r="E47" s="47">
        <v>4693429</v>
      </c>
      <c r="F47" s="47">
        <v>3717000</v>
      </c>
      <c r="G47" s="47">
        <f>E47+F47</f>
        <v>8410429</v>
      </c>
      <c r="H47" s="47">
        <v>0</v>
      </c>
      <c r="I47" s="47">
        <f>G47+H47</f>
        <v>8410429</v>
      </c>
    </row>
    <row r="48" spans="1:9" s="22" customFormat="1" ht="21.75" customHeight="1">
      <c r="A48" s="26" t="s">
        <v>235</v>
      </c>
      <c r="B48" s="27" t="s">
        <v>236</v>
      </c>
      <c r="C48" s="47">
        <v>57879594</v>
      </c>
      <c r="D48" s="47">
        <v>-500000</v>
      </c>
      <c r="E48" s="47">
        <f>C48+D48</f>
        <v>57379594</v>
      </c>
      <c r="F48" s="47">
        <v>0</v>
      </c>
      <c r="G48" s="47">
        <f>E48+F48</f>
        <v>57379594</v>
      </c>
      <c r="H48" s="47">
        <v>-21110301</v>
      </c>
      <c r="I48" s="47">
        <f>G48+H48</f>
        <v>36269293</v>
      </c>
    </row>
    <row r="49" spans="1:9" s="22" customFormat="1" ht="21.75" customHeight="1">
      <c r="A49" s="28" t="s">
        <v>83</v>
      </c>
      <c r="B49" s="29" t="s">
        <v>84</v>
      </c>
      <c r="C49" s="226">
        <f>SUM(C50:C53)</f>
        <v>38100000</v>
      </c>
      <c r="D49" s="226">
        <f>SUM(D50:D54)-D54-D52</f>
        <v>4206875</v>
      </c>
      <c r="E49" s="226">
        <f>E50+E51+E53</f>
        <v>42306875</v>
      </c>
      <c r="F49" s="226">
        <f>SUM(F50:F54)-F54-F52</f>
        <v>0</v>
      </c>
      <c r="G49" s="226">
        <f>G50+G51+G53</f>
        <v>42306875</v>
      </c>
      <c r="H49" s="226">
        <f>SUM(H50:H54)-H54-H52</f>
        <v>-18850000</v>
      </c>
      <c r="I49" s="226">
        <f>I50+I51+I53</f>
        <v>23456875</v>
      </c>
    </row>
    <row r="50" spans="1:9" s="22" customFormat="1" ht="21.75" customHeight="1" hidden="1">
      <c r="A50" s="26" t="s">
        <v>169</v>
      </c>
      <c r="B50" s="27" t="s">
        <v>172</v>
      </c>
      <c r="C50" s="47">
        <v>27559055</v>
      </c>
      <c r="D50" s="47">
        <v>0</v>
      </c>
      <c r="E50" s="47">
        <v>27559055</v>
      </c>
      <c r="F50" s="47">
        <v>0</v>
      </c>
      <c r="G50" s="47">
        <v>27559055</v>
      </c>
      <c r="H50" s="47">
        <v>-15118111</v>
      </c>
      <c r="I50" s="47">
        <f>G50+H50</f>
        <v>12440944</v>
      </c>
    </row>
    <row r="51" spans="1:9" s="21" customFormat="1" ht="21.75" customHeight="1" hidden="1">
      <c r="A51" s="26" t="s">
        <v>170</v>
      </c>
      <c r="B51" s="27" t="s">
        <v>504</v>
      </c>
      <c r="C51" s="53">
        <v>2441180</v>
      </c>
      <c r="D51" s="53">
        <v>3312500</v>
      </c>
      <c r="E51" s="53">
        <f>C51+D51</f>
        <v>5753680</v>
      </c>
      <c r="F51" s="53">
        <v>0</v>
      </c>
      <c r="G51" s="53">
        <f>E51+F51</f>
        <v>5753680</v>
      </c>
      <c r="H51" s="53">
        <v>275590</v>
      </c>
      <c r="I51" s="53">
        <f>G51+H51</f>
        <v>6029270</v>
      </c>
    </row>
    <row r="52" spans="1:9" s="282" customFormat="1" ht="21.75" customHeight="1">
      <c r="A52" s="279"/>
      <c r="B52" s="280" t="s">
        <v>419</v>
      </c>
      <c r="C52" s="281">
        <v>0</v>
      </c>
      <c r="D52" s="281">
        <v>3312500</v>
      </c>
      <c r="E52" s="281">
        <f>D52</f>
        <v>3312500</v>
      </c>
      <c r="F52" s="281">
        <v>0</v>
      </c>
      <c r="G52" s="281">
        <v>3312500</v>
      </c>
      <c r="H52" s="281">
        <v>0</v>
      </c>
      <c r="I52" s="281">
        <f>G52</f>
        <v>3312500</v>
      </c>
    </row>
    <row r="53" spans="1:9" s="22" customFormat="1" ht="21.75" customHeight="1" hidden="1">
      <c r="A53" s="26" t="s">
        <v>171</v>
      </c>
      <c r="B53" s="27" t="s">
        <v>173</v>
      </c>
      <c r="C53" s="47">
        <v>8099765</v>
      </c>
      <c r="D53" s="47">
        <v>894375</v>
      </c>
      <c r="E53" s="47">
        <f>C53+D53</f>
        <v>8994140</v>
      </c>
      <c r="F53" s="47">
        <v>0</v>
      </c>
      <c r="G53" s="47">
        <f>E53+F53</f>
        <v>8994140</v>
      </c>
      <c r="H53" s="47">
        <v>-4007479</v>
      </c>
      <c r="I53" s="47">
        <f>G53+H53</f>
        <v>4986661</v>
      </c>
    </row>
    <row r="54" spans="1:9" s="282" customFormat="1" ht="21.75" customHeight="1">
      <c r="A54" s="279"/>
      <c r="B54" s="280" t="s">
        <v>420</v>
      </c>
      <c r="C54" s="283">
        <v>0</v>
      </c>
      <c r="D54" s="283">
        <v>894375</v>
      </c>
      <c r="E54" s="283">
        <f>D54</f>
        <v>894375</v>
      </c>
      <c r="F54" s="283">
        <v>0</v>
      </c>
      <c r="G54" s="283">
        <v>894375</v>
      </c>
      <c r="H54" s="283">
        <v>0</v>
      </c>
      <c r="I54" s="283">
        <f>G54</f>
        <v>894375</v>
      </c>
    </row>
    <row r="55" spans="1:9" s="22" customFormat="1" ht="21.75" customHeight="1">
      <c r="A55" s="28" t="s">
        <v>85</v>
      </c>
      <c r="B55" s="29" t="s">
        <v>86</v>
      </c>
      <c r="C55" s="50">
        <f aca="true" t="shared" si="11" ref="C55:I55">SUM(C56:C57)</f>
        <v>95154097</v>
      </c>
      <c r="D55" s="50">
        <f t="shared" si="11"/>
        <v>0</v>
      </c>
      <c r="E55" s="50">
        <f t="shared" si="11"/>
        <v>95154097</v>
      </c>
      <c r="F55" s="50">
        <f t="shared" si="11"/>
        <v>-3717000</v>
      </c>
      <c r="G55" s="50">
        <f t="shared" si="11"/>
        <v>91437097</v>
      </c>
      <c r="H55" s="50">
        <f t="shared" si="11"/>
        <v>-1410000</v>
      </c>
      <c r="I55" s="50">
        <f t="shared" si="11"/>
        <v>90027097</v>
      </c>
    </row>
    <row r="56" spans="1:9" s="22" customFormat="1" ht="21.75" customHeight="1" hidden="1">
      <c r="A56" s="26" t="s">
        <v>174</v>
      </c>
      <c r="B56" s="27" t="s">
        <v>176</v>
      </c>
      <c r="C56" s="47">
        <v>74924194</v>
      </c>
      <c r="D56" s="47">
        <v>0</v>
      </c>
      <c r="E56" s="47">
        <v>74924194</v>
      </c>
      <c r="F56" s="47">
        <v>-2926772</v>
      </c>
      <c r="G56" s="47">
        <v>71997422</v>
      </c>
      <c r="H56" s="47">
        <v>-1110236</v>
      </c>
      <c r="I56" s="47">
        <f>G56+H56</f>
        <v>70887186</v>
      </c>
    </row>
    <row r="57" spans="1:9" s="22" customFormat="1" ht="21.75" customHeight="1" hidden="1">
      <c r="A57" s="26" t="s">
        <v>175</v>
      </c>
      <c r="B57" s="27" t="s">
        <v>177</v>
      </c>
      <c r="C57" s="47">
        <v>20229903</v>
      </c>
      <c r="D57" s="47">
        <v>0</v>
      </c>
      <c r="E57" s="47">
        <v>20229903</v>
      </c>
      <c r="F57" s="47">
        <v>-790228</v>
      </c>
      <c r="G57" s="47">
        <v>19439675</v>
      </c>
      <c r="H57" s="47">
        <v>-299764</v>
      </c>
      <c r="I57" s="47">
        <f>G57+H57</f>
        <v>19139911</v>
      </c>
    </row>
    <row r="58" spans="1:9" s="22" customFormat="1" ht="21.75" customHeight="1">
      <c r="A58" s="28" t="s">
        <v>87</v>
      </c>
      <c r="B58" s="29" t="s">
        <v>179</v>
      </c>
      <c r="C58" s="45">
        <f>SUM(C59:C60)</f>
        <v>550000</v>
      </c>
      <c r="D58" s="45">
        <f aca="true" t="shared" si="12" ref="D58:I58">SUM(D59:D60)</f>
        <v>0</v>
      </c>
      <c r="E58" s="45">
        <f t="shared" si="12"/>
        <v>1100000</v>
      </c>
      <c r="F58" s="45">
        <f t="shared" si="12"/>
        <v>0</v>
      </c>
      <c r="G58" s="45">
        <f t="shared" si="12"/>
        <v>550000</v>
      </c>
      <c r="H58" s="45">
        <f t="shared" si="12"/>
        <v>38170301</v>
      </c>
      <c r="I58" s="45">
        <f t="shared" si="12"/>
        <v>38720301</v>
      </c>
    </row>
    <row r="59" spans="1:9" s="22" customFormat="1" ht="21.75" customHeight="1">
      <c r="A59" s="26" t="s">
        <v>483</v>
      </c>
      <c r="B59" s="27" t="s">
        <v>484</v>
      </c>
      <c r="C59" s="47">
        <v>0</v>
      </c>
      <c r="D59" s="47">
        <v>0</v>
      </c>
      <c r="E59" s="47">
        <v>550000</v>
      </c>
      <c r="F59" s="47">
        <v>0</v>
      </c>
      <c r="G59" s="47">
        <v>0</v>
      </c>
      <c r="H59" s="47">
        <v>37910301</v>
      </c>
      <c r="I59" s="47">
        <f>H59</f>
        <v>37910301</v>
      </c>
    </row>
    <row r="60" spans="1:9" s="22" customFormat="1" ht="21.75" customHeight="1">
      <c r="A60" s="26" t="s">
        <v>339</v>
      </c>
      <c r="B60" s="27" t="s">
        <v>340</v>
      </c>
      <c r="C60" s="47">
        <v>550000</v>
      </c>
      <c r="D60" s="47">
        <v>0</v>
      </c>
      <c r="E60" s="47">
        <v>550000</v>
      </c>
      <c r="F60" s="47">
        <v>0</v>
      </c>
      <c r="G60" s="47">
        <v>550000</v>
      </c>
      <c r="H60" s="47">
        <v>260000</v>
      </c>
      <c r="I60" s="47">
        <f>G60+H60</f>
        <v>810000</v>
      </c>
    </row>
    <row r="61" spans="1:9" s="23" customFormat="1" ht="36" customHeight="1">
      <c r="A61" s="254" t="s">
        <v>180</v>
      </c>
      <c r="B61" s="55" t="s">
        <v>88</v>
      </c>
      <c r="C61" s="103">
        <f aca="true" t="shared" si="13" ref="C61:I61">C8+C20+C21+C40+C43+C49+C55+C58</f>
        <v>352038690</v>
      </c>
      <c r="D61" s="103">
        <f t="shared" si="13"/>
        <v>3706875</v>
      </c>
      <c r="E61" s="103">
        <f t="shared" si="13"/>
        <v>356295565</v>
      </c>
      <c r="F61" s="103">
        <f t="shared" si="13"/>
        <v>0</v>
      </c>
      <c r="G61" s="103">
        <f t="shared" si="13"/>
        <v>355745565</v>
      </c>
      <c r="H61" s="103">
        <f>H8+H20+H21+H40+H43+H49+H55+H58</f>
        <v>0</v>
      </c>
      <c r="I61" s="103">
        <f t="shared" si="13"/>
        <v>355745565</v>
      </c>
    </row>
    <row r="62" spans="1:9" s="21" customFormat="1" ht="21.75" customHeight="1">
      <c r="A62" s="254" t="s">
        <v>89</v>
      </c>
      <c r="B62" s="55" t="s">
        <v>90</v>
      </c>
      <c r="C62" s="50">
        <f aca="true" t="shared" si="14" ref="C62:I62">SUM(C63:C64)</f>
        <v>77576158</v>
      </c>
      <c r="D62" s="50">
        <f t="shared" si="14"/>
        <v>0</v>
      </c>
      <c r="E62" s="50">
        <f t="shared" si="14"/>
        <v>77576158</v>
      </c>
      <c r="F62" s="50">
        <f t="shared" si="14"/>
        <v>0</v>
      </c>
      <c r="G62" s="50">
        <f t="shared" si="14"/>
        <v>77576158</v>
      </c>
      <c r="H62" s="50">
        <f t="shared" si="14"/>
        <v>0</v>
      </c>
      <c r="I62" s="50">
        <f t="shared" si="14"/>
        <v>77576158</v>
      </c>
    </row>
    <row r="63" spans="1:9" s="21" customFormat="1" ht="21.75" customHeight="1">
      <c r="A63" s="26" t="s">
        <v>191</v>
      </c>
      <c r="B63" s="27" t="s">
        <v>192</v>
      </c>
      <c r="C63" s="47">
        <v>4276181</v>
      </c>
      <c r="D63" s="47">
        <v>0</v>
      </c>
      <c r="E63" s="47">
        <v>4276181</v>
      </c>
      <c r="F63" s="47">
        <v>0</v>
      </c>
      <c r="G63" s="47">
        <v>4276181</v>
      </c>
      <c r="H63" s="47">
        <v>0</v>
      </c>
      <c r="I63" s="47">
        <v>4276181</v>
      </c>
    </row>
    <row r="64" spans="1:9" s="23" customFormat="1" ht="30.75" customHeight="1">
      <c r="A64" s="26" t="s">
        <v>178</v>
      </c>
      <c r="B64" s="27" t="s">
        <v>91</v>
      </c>
      <c r="C64" s="47">
        <v>73299977</v>
      </c>
      <c r="D64" s="47">
        <v>0</v>
      </c>
      <c r="E64" s="47">
        <v>73299977</v>
      </c>
      <c r="F64" s="47">
        <v>0</v>
      </c>
      <c r="G64" s="47">
        <v>73299977</v>
      </c>
      <c r="H64" s="47">
        <v>0</v>
      </c>
      <c r="I64" s="47">
        <v>73299977</v>
      </c>
    </row>
    <row r="65" spans="1:9" ht="30" thickBot="1">
      <c r="A65" s="255" t="s">
        <v>182</v>
      </c>
      <c r="B65" s="256" t="s">
        <v>92</v>
      </c>
      <c r="C65" s="104">
        <f aca="true" t="shared" si="15" ref="C65:I65">C61+C62</f>
        <v>429614848</v>
      </c>
      <c r="D65" s="104">
        <f t="shared" si="15"/>
        <v>3706875</v>
      </c>
      <c r="E65" s="104">
        <f t="shared" si="15"/>
        <v>433871723</v>
      </c>
      <c r="F65" s="104">
        <f t="shared" si="15"/>
        <v>0</v>
      </c>
      <c r="G65" s="104">
        <f t="shared" si="15"/>
        <v>433321723</v>
      </c>
      <c r="H65" s="104">
        <f t="shared" si="15"/>
        <v>0</v>
      </c>
      <c r="I65" s="104">
        <f t="shared" si="15"/>
        <v>433321723</v>
      </c>
    </row>
    <row r="66" spans="1:2" ht="13.5" thickTop="1">
      <c r="A66" s="1"/>
      <c r="B66" s="1"/>
    </row>
  </sheetData>
  <sheetProtection/>
  <mergeCells count="4">
    <mergeCell ref="A5:B5"/>
    <mergeCell ref="A1:I1"/>
    <mergeCell ref="A2:I2"/>
    <mergeCell ref="A4:C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C1">
      <selection activeCell="C6" sqref="C6:D6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2.7109375" style="3" customWidth="1"/>
    <col min="4" max="4" width="13.57421875" style="3" customWidth="1"/>
    <col min="5" max="7" width="13.57421875" style="3" hidden="1" customWidth="1"/>
    <col min="8" max="10" width="13.57421875" style="3" customWidth="1"/>
    <col min="11" max="11" width="45.421875" style="3" customWidth="1"/>
    <col min="12" max="12" width="12.7109375" style="3" customWidth="1"/>
    <col min="13" max="15" width="13.57421875" style="3" hidden="1" customWidth="1"/>
    <col min="16" max="18" width="13.57421875" style="3" customWidth="1"/>
    <col min="19" max="19" width="8.7109375" style="3" bestFit="1" customWidth="1"/>
    <col min="20" max="20" width="8.00390625" style="3" customWidth="1"/>
    <col min="21" max="21" width="9.57421875" style="3" bestFit="1" customWidth="1"/>
    <col min="22" max="16384" width="8.00390625" style="3" customWidth="1"/>
  </cols>
  <sheetData>
    <row r="1" spans="3:18" ht="30" customHeight="1">
      <c r="C1" s="428" t="s">
        <v>183</v>
      </c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3:18" ht="30" customHeight="1">
      <c r="C2" s="428" t="s">
        <v>391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</row>
    <row r="3" spans="3:18" ht="17.25" customHeight="1">
      <c r="C3" s="428" t="s">
        <v>337</v>
      </c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</row>
    <row r="4" spans="3:18" ht="17.25" customHeight="1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8" ht="17.25" customHeight="1">
      <c r="C5" s="460" t="s">
        <v>514</v>
      </c>
      <c r="D5" s="460"/>
      <c r="E5" s="461"/>
      <c r="F5" s="39"/>
      <c r="G5" s="39"/>
      <c r="H5" s="39"/>
      <c r="I5" s="39"/>
      <c r="J5" s="39"/>
      <c r="K5" s="39"/>
      <c r="L5" s="209"/>
      <c r="M5" s="39"/>
      <c r="N5" s="209"/>
      <c r="O5" s="39"/>
      <c r="P5" s="209"/>
      <c r="Q5" s="39"/>
      <c r="R5" s="209"/>
    </row>
    <row r="6" spans="3:18" ht="19.5" customHeight="1" thickBot="1">
      <c r="C6" s="424" t="s">
        <v>470</v>
      </c>
      <c r="D6" s="424"/>
      <c r="K6" s="4"/>
      <c r="L6" s="40"/>
      <c r="N6" s="40"/>
      <c r="P6" s="40"/>
      <c r="R6" s="40" t="s">
        <v>328</v>
      </c>
    </row>
    <row r="7" spans="1:18" ht="42" customHeight="1">
      <c r="A7" s="5" t="s">
        <v>100</v>
      </c>
      <c r="B7" s="6" t="s">
        <v>101</v>
      </c>
      <c r="C7" s="6" t="s">
        <v>333</v>
      </c>
      <c r="D7" s="6" t="s">
        <v>358</v>
      </c>
      <c r="E7" s="6" t="s">
        <v>416</v>
      </c>
      <c r="F7" s="6" t="s">
        <v>417</v>
      </c>
      <c r="G7" s="6" t="s">
        <v>427</v>
      </c>
      <c r="H7" s="6" t="s">
        <v>428</v>
      </c>
      <c r="I7" s="6" t="s">
        <v>486</v>
      </c>
      <c r="J7" s="6" t="s">
        <v>481</v>
      </c>
      <c r="K7" s="222" t="s">
        <v>332</v>
      </c>
      <c r="L7" s="6" t="s">
        <v>358</v>
      </c>
      <c r="M7" s="6" t="s">
        <v>416</v>
      </c>
      <c r="N7" s="6" t="s">
        <v>417</v>
      </c>
      <c r="O7" s="6" t="s">
        <v>427</v>
      </c>
      <c r="P7" s="6" t="s">
        <v>428</v>
      </c>
      <c r="Q7" s="6" t="s">
        <v>486</v>
      </c>
      <c r="R7" s="6" t="s">
        <v>481</v>
      </c>
    </row>
    <row r="8" spans="1:18" s="64" customFormat="1" ht="10.5">
      <c r="A8" s="61">
        <v>1</v>
      </c>
      <c r="B8" s="62">
        <v>2</v>
      </c>
      <c r="C8" s="62" t="s">
        <v>93</v>
      </c>
      <c r="D8" s="62" t="s">
        <v>94</v>
      </c>
      <c r="E8" s="62" t="s">
        <v>95</v>
      </c>
      <c r="F8" s="62" t="s">
        <v>96</v>
      </c>
      <c r="G8" s="62" t="s">
        <v>95</v>
      </c>
      <c r="H8" s="62" t="s">
        <v>95</v>
      </c>
      <c r="I8" s="62" t="s">
        <v>96</v>
      </c>
      <c r="J8" s="62" t="s">
        <v>97</v>
      </c>
      <c r="K8" s="63" t="s">
        <v>306</v>
      </c>
      <c r="L8" s="62" t="s">
        <v>310</v>
      </c>
      <c r="M8" s="62" t="s">
        <v>310</v>
      </c>
      <c r="N8" s="62" t="s">
        <v>423</v>
      </c>
      <c r="O8" s="62" t="s">
        <v>310</v>
      </c>
      <c r="P8" s="62" t="s">
        <v>423</v>
      </c>
      <c r="Q8" s="62" t="s">
        <v>473</v>
      </c>
      <c r="R8" s="62" t="s">
        <v>477</v>
      </c>
    </row>
    <row r="9" spans="1:18" ht="14.25" customHeight="1">
      <c r="A9" s="7" t="s">
        <v>102</v>
      </c>
      <c r="B9" s="8" t="s">
        <v>103</v>
      </c>
      <c r="C9" s="9" t="s">
        <v>330</v>
      </c>
      <c r="D9" s="261">
        <v>2000000</v>
      </c>
      <c r="E9" s="261">
        <v>0</v>
      </c>
      <c r="F9" s="261">
        <v>2000000</v>
      </c>
      <c r="G9" s="261">
        <v>0</v>
      </c>
      <c r="H9" s="261">
        <f>F9+G9</f>
        <v>2000000</v>
      </c>
      <c r="I9" s="261">
        <v>0</v>
      </c>
      <c r="J9" s="261">
        <f>H9+I9</f>
        <v>2000000</v>
      </c>
      <c r="K9" s="9" t="s">
        <v>393</v>
      </c>
      <c r="L9" s="41">
        <v>88071346</v>
      </c>
      <c r="M9" s="261">
        <v>0</v>
      </c>
      <c r="N9" s="261">
        <f>L9+M9</f>
        <v>88071346</v>
      </c>
      <c r="O9" s="261">
        <v>0</v>
      </c>
      <c r="P9" s="261">
        <f>L9+O9</f>
        <v>88071346</v>
      </c>
      <c r="Q9" s="261">
        <v>0</v>
      </c>
      <c r="R9" s="261">
        <f>N9+Q9</f>
        <v>88071346</v>
      </c>
    </row>
    <row r="10" spans="1:18" ht="15" customHeight="1">
      <c r="A10" s="7" t="s">
        <v>102</v>
      </c>
      <c r="B10" s="8" t="s">
        <v>103</v>
      </c>
      <c r="C10" s="9" t="s">
        <v>382</v>
      </c>
      <c r="D10" s="261">
        <v>55000000</v>
      </c>
      <c r="E10" s="261">
        <v>0</v>
      </c>
      <c r="F10" s="261">
        <v>55000000</v>
      </c>
      <c r="G10" s="261">
        <v>0</v>
      </c>
      <c r="H10" s="261">
        <f aca="true" t="shared" si="0" ref="H10:H27">F10+G10</f>
        <v>55000000</v>
      </c>
      <c r="I10" s="261">
        <v>0</v>
      </c>
      <c r="J10" s="261">
        <f aca="true" t="shared" si="1" ref="J10:J29">H10+I10</f>
        <v>55000000</v>
      </c>
      <c r="K10" s="9" t="s">
        <v>392</v>
      </c>
      <c r="L10" s="44">
        <v>3810000</v>
      </c>
      <c r="M10" s="262">
        <v>0</v>
      </c>
      <c r="N10" s="261">
        <f aca="true" t="shared" si="2" ref="N10:N15">L10+M10</f>
        <v>3810000</v>
      </c>
      <c r="O10" s="262">
        <v>0</v>
      </c>
      <c r="P10" s="261">
        <f aca="true" t="shared" si="3" ref="P10:P15">L10+O10</f>
        <v>3810000</v>
      </c>
      <c r="Q10" s="262">
        <v>0</v>
      </c>
      <c r="R10" s="261">
        <f aca="true" t="shared" si="4" ref="R10:R15">N10+Q10</f>
        <v>3810000</v>
      </c>
    </row>
    <row r="11" spans="1:18" ht="12.75">
      <c r="A11" s="7" t="s">
        <v>104</v>
      </c>
      <c r="B11" s="8" t="s">
        <v>105</v>
      </c>
      <c r="C11" s="9" t="s">
        <v>383</v>
      </c>
      <c r="D11" s="261">
        <v>15000000</v>
      </c>
      <c r="E11" s="261">
        <v>0</v>
      </c>
      <c r="F11" s="261">
        <v>15000000</v>
      </c>
      <c r="G11" s="261">
        <v>-3717000</v>
      </c>
      <c r="H11" s="261">
        <f t="shared" si="0"/>
        <v>11283000</v>
      </c>
      <c r="I11" s="261">
        <v>-1710000</v>
      </c>
      <c r="J11" s="261">
        <f t="shared" si="1"/>
        <v>9573000</v>
      </c>
      <c r="K11" s="9" t="s">
        <v>394</v>
      </c>
      <c r="L11" s="44">
        <v>49000000</v>
      </c>
      <c r="M11" s="44">
        <v>0</v>
      </c>
      <c r="N11" s="261">
        <f t="shared" si="2"/>
        <v>49000000</v>
      </c>
      <c r="O11" s="44">
        <v>0</v>
      </c>
      <c r="P11" s="261">
        <f t="shared" si="3"/>
        <v>49000000</v>
      </c>
      <c r="Q11" s="44">
        <v>0</v>
      </c>
      <c r="R11" s="261">
        <f t="shared" si="4"/>
        <v>49000000</v>
      </c>
    </row>
    <row r="12" spans="1:18" ht="15" customHeight="1">
      <c r="A12" s="7" t="s">
        <v>107</v>
      </c>
      <c r="B12" s="8" t="s">
        <v>108</v>
      </c>
      <c r="C12" s="9" t="s">
        <v>379</v>
      </c>
      <c r="D12" s="261">
        <v>800000</v>
      </c>
      <c r="E12" s="261">
        <v>0</v>
      </c>
      <c r="F12" s="261">
        <v>800000</v>
      </c>
      <c r="G12" s="261">
        <v>0</v>
      </c>
      <c r="H12" s="261">
        <f t="shared" si="0"/>
        <v>800000</v>
      </c>
      <c r="I12" s="261">
        <v>0</v>
      </c>
      <c r="J12" s="261">
        <f t="shared" si="1"/>
        <v>800000</v>
      </c>
      <c r="K12" s="9" t="s">
        <v>395</v>
      </c>
      <c r="L12" s="44">
        <v>15381682</v>
      </c>
      <c r="M12" s="44">
        <v>0</v>
      </c>
      <c r="N12" s="261">
        <f t="shared" si="2"/>
        <v>15381682</v>
      </c>
      <c r="O12" s="44">
        <v>0</v>
      </c>
      <c r="P12" s="261">
        <f t="shared" si="3"/>
        <v>15381682</v>
      </c>
      <c r="Q12" s="44">
        <v>0</v>
      </c>
      <c r="R12" s="261">
        <f t="shared" si="4"/>
        <v>15381682</v>
      </c>
    </row>
    <row r="13" spans="1:18" ht="12.75" customHeight="1">
      <c r="A13" s="7"/>
      <c r="B13" s="8"/>
      <c r="C13" s="9" t="s">
        <v>384</v>
      </c>
      <c r="D13" s="261">
        <v>200000</v>
      </c>
      <c r="E13" s="261">
        <v>0</v>
      </c>
      <c r="F13" s="261">
        <v>200000</v>
      </c>
      <c r="G13" s="261">
        <v>0</v>
      </c>
      <c r="H13" s="261">
        <f t="shared" si="0"/>
        <v>200000</v>
      </c>
      <c r="I13" s="261">
        <v>300000</v>
      </c>
      <c r="J13" s="261">
        <f t="shared" si="1"/>
        <v>500000</v>
      </c>
      <c r="K13" s="9" t="s">
        <v>396</v>
      </c>
      <c r="L13" s="44">
        <v>11287503</v>
      </c>
      <c r="M13" s="44">
        <v>0</v>
      </c>
      <c r="N13" s="261">
        <f t="shared" si="2"/>
        <v>11287503</v>
      </c>
      <c r="O13" s="44">
        <v>0</v>
      </c>
      <c r="P13" s="261">
        <f t="shared" si="3"/>
        <v>11287503</v>
      </c>
      <c r="Q13" s="44">
        <v>0</v>
      </c>
      <c r="R13" s="261">
        <f t="shared" si="4"/>
        <v>11287503</v>
      </c>
    </row>
    <row r="14" spans="1:18" ht="15" customHeight="1">
      <c r="A14" s="7" t="s">
        <v>102</v>
      </c>
      <c r="B14" s="8" t="s">
        <v>106</v>
      </c>
      <c r="C14" s="9" t="s">
        <v>489</v>
      </c>
      <c r="D14" s="261">
        <v>15000000</v>
      </c>
      <c r="E14" s="261">
        <v>0</v>
      </c>
      <c r="F14" s="261">
        <v>15000000</v>
      </c>
      <c r="G14" s="261">
        <v>0</v>
      </c>
      <c r="H14" s="261">
        <f t="shared" si="0"/>
        <v>15000000</v>
      </c>
      <c r="I14" s="261">
        <v>0</v>
      </c>
      <c r="J14" s="261">
        <f t="shared" si="1"/>
        <v>15000000</v>
      </c>
      <c r="K14" s="9" t="s">
        <v>397</v>
      </c>
      <c r="L14" s="44">
        <v>10516770</v>
      </c>
      <c r="M14" s="44">
        <v>0</v>
      </c>
      <c r="N14" s="261">
        <f t="shared" si="2"/>
        <v>10516770</v>
      </c>
      <c r="O14" s="44">
        <v>0</v>
      </c>
      <c r="P14" s="261">
        <f t="shared" si="3"/>
        <v>10516770</v>
      </c>
      <c r="Q14" s="44">
        <v>0</v>
      </c>
      <c r="R14" s="261">
        <f t="shared" si="4"/>
        <v>10516770</v>
      </c>
    </row>
    <row r="15" spans="1:18" ht="12.75">
      <c r="A15" s="7" t="s">
        <v>107</v>
      </c>
      <c r="B15" s="8" t="s">
        <v>108</v>
      </c>
      <c r="C15" s="9" t="s">
        <v>488</v>
      </c>
      <c r="D15" s="261">
        <v>20000000</v>
      </c>
      <c r="E15" s="261">
        <v>0</v>
      </c>
      <c r="F15" s="261">
        <v>20000000</v>
      </c>
      <c r="G15" s="261">
        <v>0</v>
      </c>
      <c r="H15" s="261">
        <f t="shared" si="0"/>
        <v>20000000</v>
      </c>
      <c r="I15" s="261">
        <v>-19200000</v>
      </c>
      <c r="J15" s="261">
        <f t="shared" si="1"/>
        <v>800000</v>
      </c>
      <c r="K15" s="9" t="s">
        <v>425</v>
      </c>
      <c r="L15" s="44">
        <v>0</v>
      </c>
      <c r="M15" s="41">
        <v>3706875</v>
      </c>
      <c r="N15" s="261">
        <f t="shared" si="2"/>
        <v>3706875</v>
      </c>
      <c r="O15" s="41">
        <v>0</v>
      </c>
      <c r="P15" s="261">
        <f t="shared" si="3"/>
        <v>0</v>
      </c>
      <c r="Q15" s="41">
        <v>0</v>
      </c>
      <c r="R15" s="261">
        <f t="shared" si="4"/>
        <v>3706875</v>
      </c>
    </row>
    <row r="16" spans="1:19" ht="12.75">
      <c r="A16" s="7" t="s">
        <v>110</v>
      </c>
      <c r="B16" s="8" t="s">
        <v>111</v>
      </c>
      <c r="C16" s="9" t="s">
        <v>331</v>
      </c>
      <c r="D16" s="261">
        <v>3810000</v>
      </c>
      <c r="E16" s="261">
        <v>0</v>
      </c>
      <c r="F16" s="261">
        <v>3810000</v>
      </c>
      <c r="G16" s="261">
        <v>0</v>
      </c>
      <c r="H16" s="261">
        <f t="shared" si="0"/>
        <v>3810000</v>
      </c>
      <c r="I16" s="261">
        <v>0</v>
      </c>
      <c r="J16" s="261">
        <f t="shared" si="1"/>
        <v>3810000</v>
      </c>
      <c r="K16" s="9"/>
      <c r="L16" s="41"/>
      <c r="M16" s="41"/>
      <c r="N16" s="261"/>
      <c r="O16" s="41"/>
      <c r="P16" s="261"/>
      <c r="Q16" s="41"/>
      <c r="R16" s="261"/>
      <c r="S16" s="260"/>
    </row>
    <row r="17" spans="1:21" ht="12.75">
      <c r="A17" s="7" t="s">
        <v>112</v>
      </c>
      <c r="B17" s="8" t="s">
        <v>113</v>
      </c>
      <c r="C17" s="9" t="s">
        <v>385</v>
      </c>
      <c r="D17" s="261">
        <v>500000</v>
      </c>
      <c r="E17" s="261">
        <v>0</v>
      </c>
      <c r="F17" s="261">
        <v>500000</v>
      </c>
      <c r="G17" s="261">
        <v>0</v>
      </c>
      <c r="H17" s="261">
        <f t="shared" si="0"/>
        <v>500000</v>
      </c>
      <c r="I17" s="261">
        <v>0</v>
      </c>
      <c r="J17" s="261">
        <f t="shared" si="1"/>
        <v>500000</v>
      </c>
      <c r="K17" s="10"/>
      <c r="L17" s="41"/>
      <c r="M17" s="41"/>
      <c r="N17" s="41"/>
      <c r="O17" s="41"/>
      <c r="P17" s="41"/>
      <c r="Q17" s="41"/>
      <c r="R17" s="41"/>
      <c r="U17" s="260"/>
    </row>
    <row r="18" spans="1:21" ht="15" customHeight="1">
      <c r="A18" s="7" t="s">
        <v>102</v>
      </c>
      <c r="B18" s="8" t="s">
        <v>109</v>
      </c>
      <c r="C18" s="9" t="s">
        <v>380</v>
      </c>
      <c r="D18" s="261">
        <v>200000</v>
      </c>
      <c r="E18" s="261">
        <v>0</v>
      </c>
      <c r="F18" s="261">
        <v>200000</v>
      </c>
      <c r="G18" s="261">
        <v>0</v>
      </c>
      <c r="H18" s="261">
        <f t="shared" si="0"/>
        <v>200000</v>
      </c>
      <c r="I18" s="261">
        <v>0</v>
      </c>
      <c r="J18" s="261">
        <f t="shared" si="1"/>
        <v>200000</v>
      </c>
      <c r="K18" s="11"/>
      <c r="L18" s="41"/>
      <c r="M18" s="44"/>
      <c r="N18" s="44"/>
      <c r="O18" s="44"/>
      <c r="P18" s="44"/>
      <c r="Q18" s="44"/>
      <c r="R18" s="44"/>
      <c r="U18" s="260"/>
    </row>
    <row r="19" spans="1:18" ht="15" customHeight="1">
      <c r="A19" s="219"/>
      <c r="B19" s="220"/>
      <c r="C19" s="9" t="s">
        <v>415</v>
      </c>
      <c r="D19" s="261">
        <v>3400000</v>
      </c>
      <c r="E19" s="261">
        <v>0</v>
      </c>
      <c r="F19" s="261">
        <v>3400000</v>
      </c>
      <c r="G19" s="261">
        <v>0</v>
      </c>
      <c r="H19" s="261">
        <f t="shared" si="0"/>
        <v>3400000</v>
      </c>
      <c r="I19" s="261">
        <v>0</v>
      </c>
      <c r="J19" s="261">
        <f t="shared" si="1"/>
        <v>3400000</v>
      </c>
      <c r="K19" s="11"/>
      <c r="L19" s="42"/>
      <c r="M19" s="221"/>
      <c r="N19" s="221"/>
      <c r="O19" s="221"/>
      <c r="P19" s="221"/>
      <c r="Q19" s="221"/>
      <c r="R19" s="221"/>
    </row>
    <row r="20" spans="1:18" ht="15" customHeight="1">
      <c r="A20" s="219"/>
      <c r="B20" s="220"/>
      <c r="C20" s="9" t="s">
        <v>386</v>
      </c>
      <c r="D20" s="261">
        <v>17344097</v>
      </c>
      <c r="E20" s="261">
        <v>0</v>
      </c>
      <c r="F20" s="261">
        <v>17344097</v>
      </c>
      <c r="G20" s="261">
        <v>0</v>
      </c>
      <c r="H20" s="261">
        <f t="shared" si="0"/>
        <v>17344097</v>
      </c>
      <c r="I20" s="261">
        <v>0</v>
      </c>
      <c r="J20" s="261">
        <f t="shared" si="1"/>
        <v>17344097</v>
      </c>
      <c r="K20" s="11"/>
      <c r="L20" s="42"/>
      <c r="M20" s="221"/>
      <c r="N20" s="221"/>
      <c r="O20" s="221"/>
      <c r="P20" s="221"/>
      <c r="Q20" s="221"/>
      <c r="R20" s="221"/>
    </row>
    <row r="21" spans="1:18" ht="15" customHeight="1">
      <c r="A21" s="219"/>
      <c r="B21" s="220"/>
      <c r="C21" s="9" t="s">
        <v>387</v>
      </c>
      <c r="D21" s="261">
        <v>11287503</v>
      </c>
      <c r="E21" s="261">
        <v>0</v>
      </c>
      <c r="F21" s="261">
        <v>11287503</v>
      </c>
      <c r="G21" s="261">
        <v>0</v>
      </c>
      <c r="H21" s="261">
        <f t="shared" si="0"/>
        <v>11287503</v>
      </c>
      <c r="I21" s="261">
        <v>0</v>
      </c>
      <c r="J21" s="261">
        <f t="shared" si="1"/>
        <v>11287503</v>
      </c>
      <c r="K21" s="11"/>
      <c r="L21" s="42"/>
      <c r="M21" s="221"/>
      <c r="N21" s="221"/>
      <c r="O21" s="221"/>
      <c r="P21" s="221"/>
      <c r="Q21" s="221"/>
      <c r="R21" s="221"/>
    </row>
    <row r="22" spans="1:18" ht="15" customHeight="1">
      <c r="A22" s="219"/>
      <c r="B22" s="220"/>
      <c r="C22" s="9" t="s">
        <v>388</v>
      </c>
      <c r="D22" s="261">
        <v>10516770</v>
      </c>
      <c r="E22" s="261">
        <v>0</v>
      </c>
      <c r="F22" s="261">
        <v>10516770</v>
      </c>
      <c r="G22" s="261">
        <v>0</v>
      </c>
      <c r="H22" s="261">
        <f t="shared" si="0"/>
        <v>10516770</v>
      </c>
      <c r="I22" s="261">
        <v>0</v>
      </c>
      <c r="J22" s="261">
        <f t="shared" si="1"/>
        <v>10516770</v>
      </c>
      <c r="K22" s="11"/>
      <c r="L22" s="42"/>
      <c r="M22" s="221"/>
      <c r="N22" s="221"/>
      <c r="O22" s="221"/>
      <c r="P22" s="221"/>
      <c r="Q22" s="221"/>
      <c r="R22" s="221"/>
    </row>
    <row r="23" spans="1:18" ht="15" customHeight="1">
      <c r="A23" s="219"/>
      <c r="B23" s="220"/>
      <c r="C23" s="9" t="s">
        <v>389</v>
      </c>
      <c r="D23" s="261">
        <v>9965020</v>
      </c>
      <c r="E23" s="261">
        <v>0</v>
      </c>
      <c r="F23" s="261">
        <v>9965020</v>
      </c>
      <c r="G23" s="261">
        <v>0</v>
      </c>
      <c r="H23" s="261">
        <f t="shared" si="0"/>
        <v>9965020</v>
      </c>
      <c r="I23" s="261">
        <v>0</v>
      </c>
      <c r="J23" s="261">
        <f t="shared" si="1"/>
        <v>9965020</v>
      </c>
      <c r="K23" s="11"/>
      <c r="L23" s="42"/>
      <c r="M23" s="221"/>
      <c r="N23" s="221"/>
      <c r="O23" s="221"/>
      <c r="P23" s="221"/>
      <c r="Q23" s="221"/>
      <c r="R23" s="221"/>
    </row>
    <row r="24" spans="1:18" ht="15" customHeight="1">
      <c r="A24" s="219"/>
      <c r="B24" s="220"/>
      <c r="C24" s="9" t="s">
        <v>390</v>
      </c>
      <c r="D24" s="261">
        <v>21110301</v>
      </c>
      <c r="E24" s="261">
        <v>0</v>
      </c>
      <c r="F24" s="261">
        <v>21110301</v>
      </c>
      <c r="G24" s="261">
        <v>0</v>
      </c>
      <c r="H24" s="261">
        <f t="shared" si="0"/>
        <v>21110301</v>
      </c>
      <c r="I24" s="261">
        <v>-21110301</v>
      </c>
      <c r="J24" s="261">
        <f t="shared" si="1"/>
        <v>0</v>
      </c>
      <c r="K24" s="11"/>
      <c r="L24" s="42"/>
      <c r="M24" s="221"/>
      <c r="N24" s="221"/>
      <c r="O24" s="221"/>
      <c r="P24" s="221"/>
      <c r="Q24" s="221"/>
      <c r="R24" s="221"/>
    </row>
    <row r="25" spans="1:18" ht="15" customHeight="1">
      <c r="A25" s="219"/>
      <c r="B25" s="220"/>
      <c r="C25" s="9" t="s">
        <v>414</v>
      </c>
      <c r="D25" s="261">
        <v>5000000</v>
      </c>
      <c r="E25" s="261">
        <v>-500000</v>
      </c>
      <c r="F25" s="261">
        <v>4500000</v>
      </c>
      <c r="G25" s="261">
        <v>0</v>
      </c>
      <c r="H25" s="261">
        <f t="shared" si="0"/>
        <v>4500000</v>
      </c>
      <c r="I25" s="261">
        <v>0</v>
      </c>
      <c r="J25" s="261">
        <f t="shared" si="1"/>
        <v>4500000</v>
      </c>
      <c r="K25" s="11"/>
      <c r="L25" s="42"/>
      <c r="M25" s="221"/>
      <c r="N25" s="221"/>
      <c r="O25" s="221"/>
      <c r="P25" s="221"/>
      <c r="Q25" s="221"/>
      <c r="R25" s="221"/>
    </row>
    <row r="26" spans="1:18" ht="21.75" customHeight="1">
      <c r="A26" s="219"/>
      <c r="B26" s="220"/>
      <c r="C26" s="9" t="s">
        <v>381</v>
      </c>
      <c r="D26" s="261">
        <v>550000</v>
      </c>
      <c r="E26" s="261">
        <v>0</v>
      </c>
      <c r="F26" s="261">
        <v>550000</v>
      </c>
      <c r="G26" s="261">
        <v>0</v>
      </c>
      <c r="H26" s="261">
        <f t="shared" si="0"/>
        <v>550000</v>
      </c>
      <c r="I26" s="261">
        <v>260000</v>
      </c>
      <c r="J26" s="261">
        <f t="shared" si="1"/>
        <v>810000</v>
      </c>
      <c r="K26" s="11"/>
      <c r="L26" s="42"/>
      <c r="M26" s="221"/>
      <c r="N26" s="221"/>
      <c r="O26" s="221"/>
      <c r="P26" s="221"/>
      <c r="Q26" s="221"/>
      <c r="R26" s="221"/>
    </row>
    <row r="27" spans="1:18" ht="27" customHeight="1">
      <c r="A27" s="219"/>
      <c r="B27" s="220"/>
      <c r="C27" s="9" t="s">
        <v>424</v>
      </c>
      <c r="D27" s="261">
        <v>0</v>
      </c>
      <c r="E27" s="261">
        <v>4206875</v>
      </c>
      <c r="F27" s="261">
        <f>E27</f>
        <v>4206875</v>
      </c>
      <c r="G27" s="261">
        <v>0</v>
      </c>
      <c r="H27" s="261">
        <f t="shared" si="0"/>
        <v>4206875</v>
      </c>
      <c r="I27" s="261">
        <v>0</v>
      </c>
      <c r="J27" s="261">
        <f t="shared" si="1"/>
        <v>4206875</v>
      </c>
      <c r="K27" s="11"/>
      <c r="L27" s="42"/>
      <c r="M27" s="221"/>
      <c r="N27" s="221"/>
      <c r="O27" s="221"/>
      <c r="P27" s="221"/>
      <c r="Q27" s="221"/>
      <c r="R27" s="221"/>
    </row>
    <row r="28" spans="1:18" ht="27" customHeight="1">
      <c r="A28" s="219"/>
      <c r="B28" s="220"/>
      <c r="C28" s="9" t="s">
        <v>487</v>
      </c>
      <c r="D28" s="261">
        <v>0</v>
      </c>
      <c r="E28" s="261"/>
      <c r="F28" s="261"/>
      <c r="G28" s="261"/>
      <c r="H28" s="261">
        <v>0</v>
      </c>
      <c r="I28" s="261">
        <v>37910301</v>
      </c>
      <c r="J28" s="261">
        <f t="shared" si="1"/>
        <v>37910301</v>
      </c>
      <c r="K28" s="11"/>
      <c r="L28" s="42"/>
      <c r="M28" s="221"/>
      <c r="N28" s="221"/>
      <c r="O28" s="221"/>
      <c r="P28" s="221"/>
      <c r="Q28" s="221"/>
      <c r="R28" s="221"/>
    </row>
    <row r="29" spans="1:18" ht="16.5" customHeight="1">
      <c r="A29" s="219"/>
      <c r="B29" s="220"/>
      <c r="C29" s="9" t="s">
        <v>505</v>
      </c>
      <c r="D29" s="262">
        <v>0</v>
      </c>
      <c r="E29" s="262"/>
      <c r="F29" s="262"/>
      <c r="G29" s="262"/>
      <c r="H29" s="262">
        <v>0</v>
      </c>
      <c r="I29" s="262">
        <v>350000</v>
      </c>
      <c r="J29" s="262">
        <f t="shared" si="1"/>
        <v>350000</v>
      </c>
      <c r="K29" s="11"/>
      <c r="L29" s="42"/>
      <c r="M29" s="221"/>
      <c r="N29" s="221"/>
      <c r="O29" s="221"/>
      <c r="P29" s="221"/>
      <c r="Q29" s="221"/>
      <c r="R29" s="221"/>
    </row>
    <row r="30" spans="1:18" ht="15" customHeight="1">
      <c r="A30" s="219"/>
      <c r="B30" s="220"/>
      <c r="C30" s="9"/>
      <c r="D30" s="221"/>
      <c r="E30" s="221"/>
      <c r="F30" s="221"/>
      <c r="G30" s="221"/>
      <c r="H30" s="221"/>
      <c r="I30" s="221"/>
      <c r="J30" s="221"/>
      <c r="K30" s="11"/>
      <c r="L30" s="42"/>
      <c r="M30" s="221"/>
      <c r="N30" s="221"/>
      <c r="O30" s="221"/>
      <c r="P30" s="221"/>
      <c r="Q30" s="221"/>
      <c r="R30" s="221"/>
    </row>
    <row r="31" spans="1:18" ht="13.5" thickBot="1">
      <c r="A31" s="12"/>
      <c r="B31" s="13"/>
      <c r="C31" s="15"/>
      <c r="D31" s="43">
        <f>SUM(D9:D29)</f>
        <v>191683691</v>
      </c>
      <c r="E31" s="43">
        <f>SUM(E9:E27)</f>
        <v>3706875</v>
      </c>
      <c r="F31" s="43">
        <f>SUM(F9:F27)</f>
        <v>195390566</v>
      </c>
      <c r="G31" s="43">
        <f>SUM(G9:G27)</f>
        <v>-3717000</v>
      </c>
      <c r="H31" s="43">
        <f>SUM(H9:H28)</f>
        <v>191673566</v>
      </c>
      <c r="I31" s="43">
        <f>SUM(I9:I29)</f>
        <v>-3200000</v>
      </c>
      <c r="J31" s="43">
        <f>SUM(J9:J29)</f>
        <v>188473566</v>
      </c>
      <c r="K31" s="16"/>
      <c r="L31" s="43">
        <f>SUM(L9:L18)</f>
        <v>178067301</v>
      </c>
      <c r="M31" s="43">
        <f aca="true" t="shared" si="5" ref="M31:R31">SUM(M9:M26)</f>
        <v>3706875</v>
      </c>
      <c r="N31" s="43">
        <f t="shared" si="5"/>
        <v>181774176</v>
      </c>
      <c r="O31" s="43">
        <f t="shared" si="5"/>
        <v>0</v>
      </c>
      <c r="P31" s="43">
        <f t="shared" si="5"/>
        <v>178067301</v>
      </c>
      <c r="Q31" s="43">
        <f t="shared" si="5"/>
        <v>0</v>
      </c>
      <c r="R31" s="43">
        <f t="shared" si="5"/>
        <v>181774176</v>
      </c>
    </row>
    <row r="32" spans="1:2" ht="12.75">
      <c r="A32" s="12"/>
      <c r="B32" s="13"/>
    </row>
    <row r="33" spans="1:2" ht="12.75">
      <c r="A33" s="12"/>
      <c r="B33" s="13"/>
    </row>
    <row r="34" spans="1:2" ht="13.5" thickBot="1">
      <c r="A34" s="14" t="s">
        <v>114</v>
      </c>
      <c r="B34" s="15"/>
    </row>
  </sheetData>
  <sheetProtection/>
  <mergeCells count="5">
    <mergeCell ref="C6:D6"/>
    <mergeCell ref="C1:R1"/>
    <mergeCell ref="C2:R2"/>
    <mergeCell ref="C3:R3"/>
    <mergeCell ref="C5:E5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8" r:id="rId1"/>
  <headerFooter alignWithMargins="0">
    <oddHeader>&amp;C&amp;"Times New Roman CE,Félkövér"&amp;12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110" zoomScaleNormal="110" zoomScaleSheetLayoutView="100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65" customWidth="1"/>
    <col min="2" max="2" width="47.28125" style="68" customWidth="1"/>
    <col min="3" max="3" width="14.00390625" style="65" customWidth="1"/>
    <col min="4" max="4" width="13.28125" style="65" hidden="1" customWidth="1"/>
    <col min="5" max="7" width="13.28125" style="65" customWidth="1"/>
    <col min="8" max="8" width="47.28125" style="65" customWidth="1"/>
    <col min="9" max="9" width="14.00390625" style="65" customWidth="1"/>
    <col min="10" max="10" width="12.7109375" style="65" customWidth="1"/>
    <col min="11" max="11" width="13.7109375" style="65" hidden="1" customWidth="1"/>
    <col min="12" max="12" width="12.7109375" style="65" customWidth="1"/>
    <col min="13" max="13" width="13.7109375" style="65" customWidth="1"/>
    <col min="14" max="14" width="4.140625" style="65" customWidth="1"/>
    <col min="15" max="16384" width="8.00390625" style="65" customWidth="1"/>
  </cols>
  <sheetData>
    <row r="1" spans="2:14" ht="39.75" customHeight="1">
      <c r="B1" s="66" t="s">
        <v>436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429"/>
    </row>
    <row r="2" spans="1:14" ht="19.5" customHeight="1">
      <c r="A2" s="460" t="s">
        <v>513</v>
      </c>
      <c r="B2" s="460"/>
      <c r="C2" s="461"/>
      <c r="D2" s="67"/>
      <c r="E2" s="67"/>
      <c r="F2" s="67"/>
      <c r="G2" s="67"/>
      <c r="H2" s="67"/>
      <c r="I2" s="210"/>
      <c r="J2" s="67"/>
      <c r="K2" s="67"/>
      <c r="L2" s="67"/>
      <c r="M2" s="67"/>
      <c r="N2" s="429"/>
    </row>
    <row r="3" spans="1:14" ht="15.75" thickBot="1">
      <c r="A3" s="424" t="s">
        <v>472</v>
      </c>
      <c r="B3" s="424"/>
      <c r="I3" s="211"/>
      <c r="K3" s="211" t="s">
        <v>322</v>
      </c>
      <c r="M3" s="211" t="s">
        <v>322</v>
      </c>
      <c r="N3" s="429"/>
    </row>
    <row r="4" spans="1:14" ht="18" customHeight="1" thickBot="1">
      <c r="A4" s="430" t="s">
        <v>193</v>
      </c>
      <c r="B4" s="69" t="s">
        <v>98</v>
      </c>
      <c r="C4" s="70"/>
      <c r="D4" s="70"/>
      <c r="E4" s="348"/>
      <c r="F4" s="70"/>
      <c r="G4" s="348"/>
      <c r="H4" s="69" t="s">
        <v>99</v>
      </c>
      <c r="I4" s="71"/>
      <c r="J4" s="70"/>
      <c r="K4" s="348"/>
      <c r="L4" s="70"/>
      <c r="M4" s="348"/>
      <c r="N4" s="429"/>
    </row>
    <row r="5" spans="1:14" s="74" customFormat="1" ht="35.25" customHeight="1" thickBot="1">
      <c r="A5" s="431"/>
      <c r="B5" s="316" t="s">
        <v>194</v>
      </c>
      <c r="C5" s="316" t="s">
        <v>366</v>
      </c>
      <c r="D5" s="316" t="s">
        <v>427</v>
      </c>
      <c r="E5" s="72" t="s">
        <v>428</v>
      </c>
      <c r="F5" s="351" t="s">
        <v>486</v>
      </c>
      <c r="G5" s="316" t="s">
        <v>481</v>
      </c>
      <c r="H5" s="316" t="s">
        <v>194</v>
      </c>
      <c r="I5" s="351" t="str">
        <f>+C5</f>
        <v>2018. évi előirányzat</v>
      </c>
      <c r="J5" s="73" t="s">
        <v>427</v>
      </c>
      <c r="K5" s="351" t="s">
        <v>428</v>
      </c>
      <c r="L5" s="73" t="s">
        <v>486</v>
      </c>
      <c r="M5" s="351" t="s">
        <v>481</v>
      </c>
      <c r="N5" s="429"/>
    </row>
    <row r="6" spans="1:14" s="338" customFormat="1" ht="12" customHeight="1" thickBot="1">
      <c r="A6" s="75" t="s">
        <v>93</v>
      </c>
      <c r="B6" s="354" t="s">
        <v>94</v>
      </c>
      <c r="C6" s="355" t="s">
        <v>95</v>
      </c>
      <c r="D6" s="355" t="s">
        <v>96</v>
      </c>
      <c r="E6" s="355" t="s">
        <v>96</v>
      </c>
      <c r="F6" s="360" t="s">
        <v>97</v>
      </c>
      <c r="G6" s="356" t="s">
        <v>306</v>
      </c>
      <c r="H6" s="76" t="s">
        <v>310</v>
      </c>
      <c r="I6" s="337" t="s">
        <v>423</v>
      </c>
      <c r="J6" s="77" t="s">
        <v>473</v>
      </c>
      <c r="K6" s="352" t="s">
        <v>473</v>
      </c>
      <c r="L6" s="77" t="s">
        <v>477</v>
      </c>
      <c r="M6" s="352" t="s">
        <v>478</v>
      </c>
      <c r="N6" s="429"/>
    </row>
    <row r="7" spans="1:14" ht="12.75" customHeight="1">
      <c r="A7" s="78" t="s">
        <v>115</v>
      </c>
      <c r="B7" s="79" t="s">
        <v>437</v>
      </c>
      <c r="C7" s="80">
        <v>123425683</v>
      </c>
      <c r="D7" s="80"/>
      <c r="E7" s="80">
        <f aca="true" t="shared" si="0" ref="E7:E12">C7</f>
        <v>123425683</v>
      </c>
      <c r="F7" s="361"/>
      <c r="G7" s="339">
        <f aca="true" t="shared" si="1" ref="G7:G12">E7</f>
        <v>123425683</v>
      </c>
      <c r="H7" s="79" t="s">
        <v>51</v>
      </c>
      <c r="I7" s="80">
        <v>47206036</v>
      </c>
      <c r="J7" s="80">
        <v>47206036</v>
      </c>
      <c r="K7" s="80">
        <f>I7+J7</f>
        <v>94412072</v>
      </c>
      <c r="L7" s="80">
        <v>810990</v>
      </c>
      <c r="M7" s="80">
        <f>J7+L7</f>
        <v>48017026</v>
      </c>
      <c r="N7" s="429"/>
    </row>
    <row r="8" spans="1:14" ht="12.75" customHeight="1">
      <c r="A8" s="81" t="s">
        <v>116</v>
      </c>
      <c r="B8" s="82" t="s">
        <v>438</v>
      </c>
      <c r="C8" s="83">
        <v>37548864</v>
      </c>
      <c r="D8" s="83"/>
      <c r="E8" s="83">
        <f t="shared" si="0"/>
        <v>37548864</v>
      </c>
      <c r="F8" s="349"/>
      <c r="G8" s="84">
        <f t="shared" si="1"/>
        <v>37548864</v>
      </c>
      <c r="H8" s="82" t="s">
        <v>439</v>
      </c>
      <c r="I8" s="83">
        <v>11598180</v>
      </c>
      <c r="J8" s="83">
        <v>11598180</v>
      </c>
      <c r="K8" s="83">
        <f>I8+J8</f>
        <v>23196360</v>
      </c>
      <c r="L8" s="83">
        <v>142329</v>
      </c>
      <c r="M8" s="80">
        <f>J8+L8</f>
        <v>11740509</v>
      </c>
      <c r="N8" s="429"/>
    </row>
    <row r="9" spans="1:14" ht="12.75" customHeight="1">
      <c r="A9" s="81" t="s">
        <v>117</v>
      </c>
      <c r="B9" s="82" t="s">
        <v>440</v>
      </c>
      <c r="C9" s="83">
        <v>0</v>
      </c>
      <c r="D9" s="83"/>
      <c r="E9" s="83">
        <f t="shared" si="0"/>
        <v>0</v>
      </c>
      <c r="F9" s="349"/>
      <c r="G9" s="84">
        <f t="shared" si="1"/>
        <v>0</v>
      </c>
      <c r="H9" s="82" t="s">
        <v>441</v>
      </c>
      <c r="I9" s="83">
        <v>42555558</v>
      </c>
      <c r="J9" s="83">
        <v>42555558</v>
      </c>
      <c r="K9" s="83">
        <f>I9+J9</f>
        <v>85111116</v>
      </c>
      <c r="L9" s="83">
        <v>-953319</v>
      </c>
      <c r="M9" s="80">
        <f>J9+L9</f>
        <v>41602239</v>
      </c>
      <c r="N9" s="429"/>
    </row>
    <row r="10" spans="1:14" ht="12.75" customHeight="1">
      <c r="A10" s="81" t="s">
        <v>118</v>
      </c>
      <c r="B10" s="82" t="s">
        <v>15</v>
      </c>
      <c r="C10" s="83">
        <v>82450000</v>
      </c>
      <c r="D10" s="83"/>
      <c r="E10" s="83">
        <f t="shared" si="0"/>
        <v>82450000</v>
      </c>
      <c r="F10" s="349"/>
      <c r="G10" s="84">
        <f t="shared" si="1"/>
        <v>82450000</v>
      </c>
      <c r="H10" s="82" t="s">
        <v>81</v>
      </c>
      <c r="I10" s="83">
        <v>6315000</v>
      </c>
      <c r="J10" s="83">
        <v>6315000</v>
      </c>
      <c r="K10" s="83">
        <f>I10+J10</f>
        <v>12630000</v>
      </c>
      <c r="L10" s="83"/>
      <c r="M10" s="80">
        <f>J10+L10</f>
        <v>6315000</v>
      </c>
      <c r="N10" s="429"/>
    </row>
    <row r="11" spans="1:14" ht="12.75" customHeight="1">
      <c r="A11" s="81" t="s">
        <v>119</v>
      </c>
      <c r="B11" s="85" t="s">
        <v>26</v>
      </c>
      <c r="C11" s="83">
        <v>11883000</v>
      </c>
      <c r="D11" s="83"/>
      <c r="E11" s="83">
        <f t="shared" si="0"/>
        <v>11883000</v>
      </c>
      <c r="F11" s="349"/>
      <c r="G11" s="84">
        <f t="shared" si="1"/>
        <v>11883000</v>
      </c>
      <c r="H11" s="82" t="s">
        <v>126</v>
      </c>
      <c r="I11" s="83">
        <v>52680225</v>
      </c>
      <c r="J11" s="83">
        <v>56397225</v>
      </c>
      <c r="K11" s="83">
        <f>I11+J11</f>
        <v>109077450</v>
      </c>
      <c r="L11" s="83">
        <v>3200000</v>
      </c>
      <c r="M11" s="80">
        <f>J11+L11</f>
        <v>59597225</v>
      </c>
      <c r="N11" s="429"/>
    </row>
    <row r="12" spans="1:14" ht="12.75" customHeight="1">
      <c r="A12" s="81" t="s">
        <v>120</v>
      </c>
      <c r="B12" s="82" t="s">
        <v>41</v>
      </c>
      <c r="C12" s="83">
        <v>50000</v>
      </c>
      <c r="D12" s="83"/>
      <c r="E12" s="83">
        <f t="shared" si="0"/>
        <v>50000</v>
      </c>
      <c r="F12" s="349"/>
      <c r="G12" s="84">
        <f t="shared" si="1"/>
        <v>50000</v>
      </c>
      <c r="H12" s="82"/>
      <c r="I12" s="83"/>
      <c r="J12" s="83"/>
      <c r="K12" s="83"/>
      <c r="L12" s="83"/>
      <c r="M12" s="83"/>
      <c r="N12" s="429"/>
    </row>
    <row r="13" spans="1:14" ht="12.75" customHeight="1">
      <c r="A13" s="81" t="s">
        <v>121</v>
      </c>
      <c r="B13" s="82" t="s">
        <v>442</v>
      </c>
      <c r="C13" s="83"/>
      <c r="D13" s="83"/>
      <c r="E13" s="83"/>
      <c r="F13" s="349"/>
      <c r="G13" s="84"/>
      <c r="H13" s="87"/>
      <c r="I13" s="83"/>
      <c r="J13" s="83"/>
      <c r="K13" s="83"/>
      <c r="L13" s="83"/>
      <c r="M13" s="83"/>
      <c r="N13" s="429"/>
    </row>
    <row r="14" spans="1:14" ht="12.75" customHeight="1" thickBot="1">
      <c r="A14" s="81" t="s">
        <v>122</v>
      </c>
      <c r="B14" s="87"/>
      <c r="C14" s="83"/>
      <c r="D14" s="83"/>
      <c r="E14" s="83"/>
      <c r="F14" s="349"/>
      <c r="G14" s="349"/>
      <c r="H14" s="87"/>
      <c r="I14" s="325"/>
      <c r="J14" s="325"/>
      <c r="K14" s="325"/>
      <c r="L14" s="325"/>
      <c r="M14" s="325"/>
      <c r="N14" s="429"/>
    </row>
    <row r="15" spans="1:14" ht="15.75" customHeight="1" thickBot="1">
      <c r="A15" s="340" t="s">
        <v>123</v>
      </c>
      <c r="B15" s="89" t="s">
        <v>443</v>
      </c>
      <c r="C15" s="90">
        <f>SUM(C7:C14)</f>
        <v>255357547</v>
      </c>
      <c r="D15" s="90">
        <f>SUM(D7:D14)</f>
        <v>0</v>
      </c>
      <c r="E15" s="90">
        <f>SUM(E7:E14)</f>
        <v>255357547</v>
      </c>
      <c r="F15" s="358">
        <f>SUM(F7:F14)</f>
        <v>0</v>
      </c>
      <c r="G15" s="90">
        <f>SUM(G7:G14)</f>
        <v>255357547</v>
      </c>
      <c r="H15" s="89" t="s">
        <v>444</v>
      </c>
      <c r="I15" s="341">
        <f>SUM(I7:I14)</f>
        <v>160354999</v>
      </c>
      <c r="J15" s="341">
        <v>164071999</v>
      </c>
      <c r="K15" s="341">
        <f>SUM(K7:K14)</f>
        <v>324426998</v>
      </c>
      <c r="L15" s="341">
        <f>SUM(L7:L14)</f>
        <v>3200000</v>
      </c>
      <c r="M15" s="341">
        <f>SUM(M7:M14)</f>
        <v>167271999</v>
      </c>
      <c r="N15" s="429"/>
    </row>
    <row r="16" spans="1:14" ht="12.75" customHeight="1">
      <c r="A16" s="81" t="s">
        <v>196</v>
      </c>
      <c r="B16" s="342" t="s">
        <v>445</v>
      </c>
      <c r="C16" s="328">
        <f>+C17+C18+C19+C20</f>
        <v>0</v>
      </c>
      <c r="D16" s="328">
        <f>+D17+D18+D19+D20</f>
        <v>0</v>
      </c>
      <c r="E16" s="328"/>
      <c r="F16" s="362">
        <f>+F17+F18+F19+F20</f>
        <v>0</v>
      </c>
      <c r="G16" s="329"/>
      <c r="H16" s="343" t="s">
        <v>201</v>
      </c>
      <c r="I16" s="350"/>
      <c r="J16" s="328"/>
      <c r="K16" s="329"/>
      <c r="L16" s="328">
        <f>+L17+L18+L19+L20</f>
        <v>0</v>
      </c>
      <c r="M16" s="329"/>
      <c r="N16" s="429"/>
    </row>
    <row r="17" spans="1:14" ht="12.75" customHeight="1">
      <c r="A17" s="81" t="s">
        <v>197</v>
      </c>
      <c r="B17" s="343" t="s">
        <v>446</v>
      </c>
      <c r="C17" s="91">
        <v>0</v>
      </c>
      <c r="D17" s="91">
        <v>0</v>
      </c>
      <c r="E17" s="91"/>
      <c r="F17" s="363">
        <v>0</v>
      </c>
      <c r="G17" s="92"/>
      <c r="H17" s="343" t="s">
        <v>447</v>
      </c>
      <c r="I17" s="91"/>
      <c r="J17" s="91"/>
      <c r="K17" s="92"/>
      <c r="L17" s="91">
        <v>0</v>
      </c>
      <c r="M17" s="92"/>
      <c r="N17" s="429"/>
    </row>
    <row r="18" spans="1:14" ht="12.75" customHeight="1">
      <c r="A18" s="81" t="s">
        <v>198</v>
      </c>
      <c r="B18" s="343" t="s">
        <v>448</v>
      </c>
      <c r="C18" s="91"/>
      <c r="D18" s="91"/>
      <c r="E18" s="91"/>
      <c r="F18" s="363"/>
      <c r="G18" s="92"/>
      <c r="H18" s="343" t="s">
        <v>204</v>
      </c>
      <c r="I18" s="91"/>
      <c r="J18" s="91"/>
      <c r="K18" s="92"/>
      <c r="L18" s="91"/>
      <c r="M18" s="92"/>
      <c r="N18" s="429"/>
    </row>
    <row r="19" spans="1:14" ht="12.75" customHeight="1">
      <c r="A19" s="81" t="s">
        <v>199</v>
      </c>
      <c r="B19" s="343" t="s">
        <v>449</v>
      </c>
      <c r="C19" s="91"/>
      <c r="D19" s="91"/>
      <c r="E19" s="91"/>
      <c r="F19" s="363"/>
      <c r="G19" s="92"/>
      <c r="H19" s="343" t="s">
        <v>206</v>
      </c>
      <c r="I19" s="91"/>
      <c r="J19" s="91"/>
      <c r="K19" s="92"/>
      <c r="L19" s="91"/>
      <c r="M19" s="92"/>
      <c r="N19" s="429"/>
    </row>
    <row r="20" spans="1:14" ht="12.75" customHeight="1">
      <c r="A20" s="81" t="s">
        <v>200</v>
      </c>
      <c r="B20" s="343" t="s">
        <v>450</v>
      </c>
      <c r="C20" s="91"/>
      <c r="D20" s="91"/>
      <c r="E20" s="91"/>
      <c r="F20" s="363"/>
      <c r="G20" s="92"/>
      <c r="H20" s="342" t="s">
        <v>208</v>
      </c>
      <c r="I20" s="91"/>
      <c r="J20" s="91"/>
      <c r="K20" s="92"/>
      <c r="L20" s="91"/>
      <c r="M20" s="92"/>
      <c r="N20" s="429"/>
    </row>
    <row r="21" spans="1:14" ht="12.75" customHeight="1">
      <c r="A21" s="81" t="s">
        <v>202</v>
      </c>
      <c r="B21" s="343" t="s">
        <v>451</v>
      </c>
      <c r="C21" s="93">
        <f>+C22+C23</f>
        <v>0</v>
      </c>
      <c r="D21" s="93">
        <f>+D22+D23</f>
        <v>0</v>
      </c>
      <c r="E21" s="93"/>
      <c r="F21" s="364">
        <f>+F22+F23</f>
        <v>0</v>
      </c>
      <c r="G21" s="301"/>
      <c r="H21" s="343" t="s">
        <v>452</v>
      </c>
      <c r="I21" s="91"/>
      <c r="J21" s="93"/>
      <c r="K21" s="301"/>
      <c r="L21" s="93">
        <f>+L22+L23</f>
        <v>0</v>
      </c>
      <c r="M21" s="301"/>
      <c r="N21" s="429"/>
    </row>
    <row r="22" spans="1:14" ht="12.75" customHeight="1">
      <c r="A22" s="81" t="s">
        <v>203</v>
      </c>
      <c r="B22" s="344" t="s">
        <v>453</v>
      </c>
      <c r="C22" s="91"/>
      <c r="D22" s="91"/>
      <c r="E22" s="91"/>
      <c r="F22" s="363"/>
      <c r="G22" s="92"/>
      <c r="H22" s="79" t="s">
        <v>454</v>
      </c>
      <c r="I22" s="91"/>
      <c r="J22" s="91"/>
      <c r="K22" s="92"/>
      <c r="L22" s="91"/>
      <c r="M22" s="92"/>
      <c r="N22" s="429"/>
    </row>
    <row r="23" spans="1:14" ht="12.75" customHeight="1">
      <c r="A23" s="81" t="s">
        <v>205</v>
      </c>
      <c r="B23" s="345" t="s">
        <v>455</v>
      </c>
      <c r="C23" s="91"/>
      <c r="D23" s="91"/>
      <c r="E23" s="91"/>
      <c r="F23" s="363"/>
      <c r="G23" s="92"/>
      <c r="H23" s="82" t="s">
        <v>456</v>
      </c>
      <c r="I23" s="91"/>
      <c r="J23" s="91"/>
      <c r="K23" s="92"/>
      <c r="L23" s="91"/>
      <c r="M23" s="92"/>
      <c r="N23" s="429"/>
    </row>
    <row r="24" spans="1:14" ht="12.75" customHeight="1">
      <c r="A24" s="81" t="s">
        <v>207</v>
      </c>
      <c r="B24" s="345" t="s">
        <v>457</v>
      </c>
      <c r="C24" s="91"/>
      <c r="D24" s="91"/>
      <c r="E24" s="91"/>
      <c r="F24" s="363"/>
      <c r="G24" s="92"/>
      <c r="H24" s="82" t="s">
        <v>458</v>
      </c>
      <c r="I24" s="91"/>
      <c r="J24" s="91"/>
      <c r="K24" s="92"/>
      <c r="L24" s="91"/>
      <c r="M24" s="92"/>
      <c r="N24" s="429"/>
    </row>
    <row r="25" spans="1:14" ht="12.75" customHeight="1">
      <c r="A25" s="81" t="s">
        <v>209</v>
      </c>
      <c r="B25" s="345" t="s">
        <v>459</v>
      </c>
      <c r="C25" s="91"/>
      <c r="D25" s="91"/>
      <c r="E25" s="91"/>
      <c r="F25" s="363"/>
      <c r="G25" s="92"/>
      <c r="H25" s="82" t="s">
        <v>245</v>
      </c>
      <c r="I25" s="91">
        <v>4276181</v>
      </c>
      <c r="J25" s="91">
        <v>4276181</v>
      </c>
      <c r="K25" s="92">
        <f>I25+J25</f>
        <v>8552362</v>
      </c>
      <c r="L25" s="91"/>
      <c r="M25" s="92">
        <f>J25</f>
        <v>4276181</v>
      </c>
      <c r="N25" s="429"/>
    </row>
    <row r="26" spans="1:14" ht="12.75" customHeight="1" thickBot="1">
      <c r="A26" s="81" t="s">
        <v>210</v>
      </c>
      <c r="B26" s="345" t="s">
        <v>459</v>
      </c>
      <c r="C26" s="353"/>
      <c r="D26" s="353"/>
      <c r="E26" s="353"/>
      <c r="F26" s="366"/>
      <c r="G26" s="367"/>
      <c r="H26" s="346" t="s">
        <v>431</v>
      </c>
      <c r="I26" s="353">
        <v>73299977</v>
      </c>
      <c r="J26" s="353">
        <v>73299977</v>
      </c>
      <c r="K26" s="92">
        <f>I26+J26</f>
        <v>146599954</v>
      </c>
      <c r="L26" s="353"/>
      <c r="M26" s="92">
        <f>J26</f>
        <v>73299977</v>
      </c>
      <c r="N26" s="429"/>
    </row>
    <row r="27" spans="1:14" ht="22.5" customHeight="1" thickBot="1">
      <c r="A27" s="81" t="s">
        <v>211</v>
      </c>
      <c r="B27" s="347" t="s">
        <v>460</v>
      </c>
      <c r="C27" s="341">
        <f>+C16+C21+C24+C26</f>
        <v>0</v>
      </c>
      <c r="D27" s="317">
        <f>+D16+D21+D24+D26</f>
        <v>0</v>
      </c>
      <c r="E27" s="317"/>
      <c r="F27" s="317">
        <f>+F16+F21+F24+F26</f>
        <v>0</v>
      </c>
      <c r="G27" s="317"/>
      <c r="H27" s="89" t="s">
        <v>461</v>
      </c>
      <c r="I27" s="341">
        <f>SUM(I16:I26)</f>
        <v>77576158</v>
      </c>
      <c r="J27" s="341">
        <v>77576158</v>
      </c>
      <c r="K27" s="341">
        <f>SUM(K16:K26)</f>
        <v>155152316</v>
      </c>
      <c r="L27" s="341">
        <f>SUM(L16:L26)</f>
        <v>0</v>
      </c>
      <c r="M27" s="341">
        <f>SUM(M16:M26)</f>
        <v>77576158</v>
      </c>
      <c r="N27" s="429"/>
    </row>
    <row r="28" spans="1:14" ht="13.5" thickBot="1">
      <c r="A28" s="340" t="s">
        <v>212</v>
      </c>
      <c r="B28" s="94" t="s">
        <v>462</v>
      </c>
      <c r="C28" s="95">
        <f>+C15+C27</f>
        <v>255357547</v>
      </c>
      <c r="D28" s="95">
        <f>+D15+D27</f>
        <v>0</v>
      </c>
      <c r="E28" s="365">
        <f>+E15+E27</f>
        <v>255357547</v>
      </c>
      <c r="F28" s="95">
        <v>0</v>
      </c>
      <c r="G28" s="95">
        <f>+G15+G27</f>
        <v>255357547</v>
      </c>
      <c r="H28" s="94" t="s">
        <v>463</v>
      </c>
      <c r="I28" s="95">
        <f>+I15+I27</f>
        <v>237931157</v>
      </c>
      <c r="J28" s="95">
        <f>J15+J27</f>
        <v>241648157</v>
      </c>
      <c r="K28" s="95">
        <f>K15+K27</f>
        <v>479579314</v>
      </c>
      <c r="L28" s="95">
        <f>L15+L27</f>
        <v>3200000</v>
      </c>
      <c r="M28" s="95">
        <f>+M15+M27</f>
        <v>244848157</v>
      </c>
      <c r="N28" s="429"/>
    </row>
    <row r="29" spans="1:14" ht="13.5" thickBot="1">
      <c r="A29" s="340" t="s">
        <v>464</v>
      </c>
      <c r="B29" s="94" t="s">
        <v>465</v>
      </c>
      <c r="C29" s="95" t="s">
        <v>476</v>
      </c>
      <c r="D29" s="95"/>
      <c r="E29" s="365" t="s">
        <v>476</v>
      </c>
      <c r="F29" s="95">
        <f>L15-F15</f>
        <v>3200000</v>
      </c>
      <c r="G29" s="95" t="s">
        <v>476</v>
      </c>
      <c r="H29" s="94" t="s">
        <v>466</v>
      </c>
      <c r="I29" s="95">
        <f>IF(C15-I15&gt;0,C15-I15,"-")</f>
        <v>95002548</v>
      </c>
      <c r="J29" s="95">
        <f>E15-J15</f>
        <v>91285548</v>
      </c>
      <c r="K29" s="95" t="str">
        <f>IF(E15-K15&gt;0,E15-K15,"-")</f>
        <v>-</v>
      </c>
      <c r="L29" s="95" t="str">
        <f>IF(F15-L15&gt;0,F15-L15,"-")</f>
        <v>-</v>
      </c>
      <c r="M29" s="95">
        <f>IF(G15-M15&gt;0,G15-M15,"-")</f>
        <v>88085548</v>
      </c>
      <c r="N29" s="429"/>
    </row>
    <row r="30" spans="1:14" ht="13.5" thickBot="1">
      <c r="A30" s="340" t="s">
        <v>467</v>
      </c>
      <c r="B30" s="94" t="s">
        <v>468</v>
      </c>
      <c r="C30" s="95" t="s">
        <v>476</v>
      </c>
      <c r="D30" s="95"/>
      <c r="E30" s="365" t="s">
        <v>476</v>
      </c>
      <c r="F30" s="95">
        <f>L28-F28</f>
        <v>3200000</v>
      </c>
      <c r="G30" s="95" t="s">
        <v>476</v>
      </c>
      <c r="H30" s="94" t="s">
        <v>469</v>
      </c>
      <c r="I30" s="95">
        <f>IF(C15+C27-I28&gt;0,C15+C27-I28,"-")</f>
        <v>17426390</v>
      </c>
      <c r="J30" s="95">
        <f>E28-J28</f>
        <v>13709390</v>
      </c>
      <c r="K30" s="95" t="str">
        <f>IF(E15+E27-K28&gt;0,E15+E27-K28,"-")</f>
        <v>-</v>
      </c>
      <c r="L30" s="95" t="str">
        <f>IF(F15+F27-L28&gt;0,F15+F27-L28,"-")</f>
        <v>-</v>
      </c>
      <c r="M30" s="95">
        <f>IF(G15+G27-M28&gt;0,G15+G27-M28,"-")</f>
        <v>10509390</v>
      </c>
      <c r="N30" s="429"/>
    </row>
    <row r="31" spans="2:8" ht="18.75">
      <c r="B31" s="432"/>
      <c r="C31" s="432"/>
      <c r="D31" s="432"/>
      <c r="E31" s="432"/>
      <c r="F31" s="432"/>
      <c r="G31" s="432"/>
      <c r="H31" s="432"/>
    </row>
  </sheetData>
  <sheetProtection/>
  <mergeCells count="5">
    <mergeCell ref="N1:N30"/>
    <mergeCell ref="A4:A5"/>
    <mergeCell ref="B31:H31"/>
    <mergeCell ref="A3:B3"/>
    <mergeCell ref="A2:C2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8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110" zoomScaleNormal="110" zoomScaleSheetLayoutView="115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65" customWidth="1"/>
    <col min="2" max="2" width="40.7109375" style="68" customWidth="1"/>
    <col min="3" max="3" width="13.140625" style="65" customWidth="1"/>
    <col min="4" max="4" width="12.57421875" style="65" hidden="1" customWidth="1"/>
    <col min="5" max="5" width="13.28125" style="65" hidden="1" customWidth="1"/>
    <col min="6" max="6" width="12.57421875" style="65" hidden="1" customWidth="1"/>
    <col min="7" max="7" width="13.28125" style="65" customWidth="1"/>
    <col min="8" max="8" width="12.57421875" style="65" customWidth="1"/>
    <col min="9" max="9" width="14.28125" style="65" customWidth="1"/>
    <col min="10" max="10" width="40.57421875" style="65" customWidth="1"/>
    <col min="11" max="11" width="14.421875" style="65" customWidth="1"/>
    <col min="12" max="12" width="12.7109375" style="65" hidden="1" customWidth="1"/>
    <col min="13" max="13" width="13.57421875" style="65" hidden="1" customWidth="1"/>
    <col min="14" max="14" width="12.7109375" style="65" hidden="1" customWidth="1"/>
    <col min="15" max="15" width="13.7109375" style="65" customWidth="1"/>
    <col min="16" max="16" width="12.7109375" style="65" customWidth="1"/>
    <col min="17" max="17" width="13.7109375" style="65" customWidth="1"/>
    <col min="18" max="18" width="4.140625" style="65" customWidth="1"/>
    <col min="19" max="16384" width="8.00390625" style="65" customWidth="1"/>
  </cols>
  <sheetData>
    <row r="1" spans="1:18" ht="38.25" customHeight="1">
      <c r="A1" s="435" t="s">
        <v>213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275"/>
    </row>
    <row r="2" spans="1:18" ht="19.5" customHeight="1">
      <c r="A2" s="460" t="s">
        <v>512</v>
      </c>
      <c r="B2" s="460"/>
      <c r="C2" s="461"/>
      <c r="D2" s="67"/>
      <c r="E2" s="67"/>
      <c r="F2" s="67"/>
      <c r="G2" s="67"/>
      <c r="H2" s="67"/>
      <c r="I2" s="67"/>
      <c r="J2" s="67"/>
      <c r="K2" s="357"/>
      <c r="L2" s="333"/>
      <c r="M2" s="333"/>
      <c r="N2" s="333"/>
      <c r="O2" s="333"/>
      <c r="P2" s="333"/>
      <c r="Q2" s="333"/>
      <c r="R2" s="275"/>
    </row>
    <row r="3" spans="1:18" ht="15.75" thickBot="1">
      <c r="A3" s="424" t="s">
        <v>474</v>
      </c>
      <c r="B3" s="424"/>
      <c r="K3" s="211"/>
      <c r="M3" s="211"/>
      <c r="O3" s="211"/>
      <c r="Q3" s="211" t="s">
        <v>322</v>
      </c>
      <c r="R3" s="275"/>
    </row>
    <row r="4" spans="1:18" ht="13.5" thickBot="1">
      <c r="A4" s="433" t="s">
        <v>193</v>
      </c>
      <c r="B4" s="69" t="s">
        <v>98</v>
      </c>
      <c r="C4" s="70"/>
      <c r="D4" s="70"/>
      <c r="E4" s="70"/>
      <c r="F4" s="70"/>
      <c r="G4" s="70"/>
      <c r="H4" s="70"/>
      <c r="I4" s="70"/>
      <c r="J4" s="69" t="s">
        <v>99</v>
      </c>
      <c r="K4" s="336"/>
      <c r="L4" s="73"/>
      <c r="M4" s="336"/>
      <c r="N4" s="73"/>
      <c r="O4" s="336"/>
      <c r="P4" s="73"/>
      <c r="Q4" s="336"/>
      <c r="R4" s="275"/>
    </row>
    <row r="5" spans="1:18" s="74" customFormat="1" ht="36.75" thickBot="1">
      <c r="A5" s="434"/>
      <c r="B5" s="72" t="s">
        <v>194</v>
      </c>
      <c r="C5" s="73" t="s">
        <v>366</v>
      </c>
      <c r="D5" s="73" t="s">
        <v>421</v>
      </c>
      <c r="E5" s="73" t="s">
        <v>417</v>
      </c>
      <c r="F5" s="73" t="s">
        <v>432</v>
      </c>
      <c r="G5" s="73" t="s">
        <v>471</v>
      </c>
      <c r="H5" s="73" t="s">
        <v>485</v>
      </c>
      <c r="I5" s="73" t="s">
        <v>481</v>
      </c>
      <c r="J5" s="302" t="s">
        <v>194</v>
      </c>
      <c r="K5" s="316" t="s">
        <v>366</v>
      </c>
      <c r="L5" s="316" t="s">
        <v>421</v>
      </c>
      <c r="M5" s="316" t="s">
        <v>417</v>
      </c>
      <c r="N5" s="316" t="s">
        <v>475</v>
      </c>
      <c r="O5" s="316" t="s">
        <v>428</v>
      </c>
      <c r="P5" s="316" t="s">
        <v>485</v>
      </c>
      <c r="Q5" s="316" t="s">
        <v>481</v>
      </c>
      <c r="R5" s="275"/>
    </row>
    <row r="6" spans="1:18" s="74" customFormat="1" ht="13.5" thickBot="1">
      <c r="A6" s="75" t="s">
        <v>93</v>
      </c>
      <c r="B6" s="76" t="s">
        <v>94</v>
      </c>
      <c r="C6" s="77" t="s">
        <v>95</v>
      </c>
      <c r="D6" s="77" t="s">
        <v>95</v>
      </c>
      <c r="E6" s="77" t="s">
        <v>96</v>
      </c>
      <c r="F6" s="77" t="s">
        <v>97</v>
      </c>
      <c r="G6" s="77" t="s">
        <v>96</v>
      </c>
      <c r="H6" s="77" t="s">
        <v>97</v>
      </c>
      <c r="I6" s="77" t="s">
        <v>306</v>
      </c>
      <c r="J6" s="303" t="s">
        <v>310</v>
      </c>
      <c r="K6" s="75" t="s">
        <v>423</v>
      </c>
      <c r="L6" s="75" t="s">
        <v>95</v>
      </c>
      <c r="M6" s="75" t="s">
        <v>473</v>
      </c>
      <c r="N6" s="75" t="s">
        <v>477</v>
      </c>
      <c r="O6" s="75" t="s">
        <v>473</v>
      </c>
      <c r="P6" s="75" t="s">
        <v>477</v>
      </c>
      <c r="Q6" s="359" t="s">
        <v>478</v>
      </c>
      <c r="R6" s="275"/>
    </row>
    <row r="7" spans="1:18" ht="12.75" customHeight="1">
      <c r="A7" s="78" t="s">
        <v>115</v>
      </c>
      <c r="B7" s="79" t="s">
        <v>214</v>
      </c>
      <c r="C7" s="80">
        <v>86185955</v>
      </c>
      <c r="D7" s="80">
        <v>3706875</v>
      </c>
      <c r="E7" s="80">
        <f>C7+D7</f>
        <v>89892830</v>
      </c>
      <c r="F7" s="80">
        <v>0</v>
      </c>
      <c r="G7" s="80">
        <f>E7+F7</f>
        <v>89892830</v>
      </c>
      <c r="H7" s="80">
        <v>0</v>
      </c>
      <c r="I7" s="80">
        <f>G7+H7</f>
        <v>89892830</v>
      </c>
      <c r="J7" s="304" t="s">
        <v>84</v>
      </c>
      <c r="K7" s="319">
        <v>38100000</v>
      </c>
      <c r="L7" s="320">
        <v>4206875</v>
      </c>
      <c r="M7" s="321">
        <f>K7+L7</f>
        <v>42306875</v>
      </c>
      <c r="N7" s="320">
        <v>0</v>
      </c>
      <c r="O7" s="321">
        <f>M7+N7</f>
        <v>42306875</v>
      </c>
      <c r="P7" s="320">
        <v>-18850000</v>
      </c>
      <c r="Q7" s="84">
        <f aca="true" t="shared" si="0" ref="Q7:Q12">O7+P7</f>
        <v>23456875</v>
      </c>
      <c r="R7" s="275"/>
    </row>
    <row r="8" spans="1:18" ht="12.75">
      <c r="A8" s="81" t="s">
        <v>116</v>
      </c>
      <c r="B8" s="82" t="s">
        <v>215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305" t="s">
        <v>216</v>
      </c>
      <c r="K8" s="322">
        <v>35000000</v>
      </c>
      <c r="L8" s="83">
        <v>0</v>
      </c>
      <c r="M8" s="84">
        <v>0</v>
      </c>
      <c r="N8" s="83">
        <v>0</v>
      </c>
      <c r="O8" s="84">
        <v>0</v>
      </c>
      <c r="P8" s="83">
        <v>0</v>
      </c>
      <c r="Q8" s="84">
        <f t="shared" si="0"/>
        <v>0</v>
      </c>
      <c r="R8" s="275"/>
    </row>
    <row r="9" spans="1:18" ht="12.75" customHeight="1">
      <c r="A9" s="81" t="s">
        <v>117</v>
      </c>
      <c r="B9" s="82" t="s">
        <v>39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306" t="s">
        <v>86</v>
      </c>
      <c r="K9" s="323">
        <v>95154097</v>
      </c>
      <c r="L9" s="83">
        <v>0</v>
      </c>
      <c r="M9" s="84">
        <f>K9</f>
        <v>95154097</v>
      </c>
      <c r="N9" s="83">
        <v>-3717000</v>
      </c>
      <c r="O9" s="84">
        <f>M9+N9</f>
        <v>91437097</v>
      </c>
      <c r="P9" s="83">
        <v>-1410000</v>
      </c>
      <c r="Q9" s="84">
        <f t="shared" si="0"/>
        <v>90027097</v>
      </c>
      <c r="R9" s="275"/>
    </row>
    <row r="10" spans="1:18" ht="12.75" customHeight="1">
      <c r="A10" s="81" t="s">
        <v>118</v>
      </c>
      <c r="B10" s="82" t="s">
        <v>217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305" t="s">
        <v>218</v>
      </c>
      <c r="K10" s="322">
        <v>72344097</v>
      </c>
      <c r="L10" s="83">
        <v>0</v>
      </c>
      <c r="M10" s="84">
        <v>0</v>
      </c>
      <c r="N10" s="83">
        <v>0</v>
      </c>
      <c r="O10" s="84">
        <v>0</v>
      </c>
      <c r="P10" s="83">
        <v>0</v>
      </c>
      <c r="Q10" s="84">
        <f t="shared" si="0"/>
        <v>0</v>
      </c>
      <c r="R10" s="275"/>
    </row>
    <row r="11" spans="1:18" ht="12.75" customHeight="1">
      <c r="A11" s="81" t="s">
        <v>119</v>
      </c>
      <c r="B11" s="82" t="s">
        <v>219</v>
      </c>
      <c r="C11" s="83"/>
      <c r="D11" s="83"/>
      <c r="E11" s="83"/>
      <c r="F11" s="83"/>
      <c r="G11" s="83"/>
      <c r="H11" s="83"/>
      <c r="I11" s="83"/>
      <c r="J11" s="306" t="s">
        <v>220</v>
      </c>
      <c r="K11" s="323">
        <v>550000</v>
      </c>
      <c r="L11" s="83"/>
      <c r="M11" s="84">
        <f>K11</f>
        <v>550000</v>
      </c>
      <c r="N11" s="83"/>
      <c r="O11" s="84">
        <f>M11</f>
        <v>550000</v>
      </c>
      <c r="P11" s="83">
        <v>38170301</v>
      </c>
      <c r="Q11" s="84">
        <f t="shared" si="0"/>
        <v>38720301</v>
      </c>
      <c r="R11" s="275"/>
    </row>
    <row r="12" spans="1:18" ht="12.75" customHeight="1">
      <c r="A12" s="81" t="s">
        <v>120</v>
      </c>
      <c r="B12" s="82" t="s">
        <v>221</v>
      </c>
      <c r="C12" s="86"/>
      <c r="D12" s="86"/>
      <c r="E12" s="86"/>
      <c r="F12" s="86"/>
      <c r="G12" s="86"/>
      <c r="H12" s="86"/>
      <c r="I12" s="86"/>
      <c r="J12" s="85" t="s">
        <v>195</v>
      </c>
      <c r="K12" s="323">
        <v>57879594</v>
      </c>
      <c r="L12" s="83">
        <v>-500000</v>
      </c>
      <c r="M12" s="84">
        <v>57379594</v>
      </c>
      <c r="N12" s="83">
        <v>0</v>
      </c>
      <c r="O12" s="84">
        <f>M12</f>
        <v>57379594</v>
      </c>
      <c r="P12" s="83">
        <v>-21110301</v>
      </c>
      <c r="Q12" s="84">
        <f t="shared" si="0"/>
        <v>36269293</v>
      </c>
      <c r="R12" s="275"/>
    </row>
    <row r="13" spans="1:18" ht="13.5" thickBot="1">
      <c r="A13" s="81" t="s">
        <v>121</v>
      </c>
      <c r="B13" s="87"/>
      <c r="C13" s="86"/>
      <c r="D13" s="86"/>
      <c r="E13" s="86"/>
      <c r="F13" s="86"/>
      <c r="G13" s="86"/>
      <c r="H13" s="86"/>
      <c r="I13" s="86"/>
      <c r="J13" s="307"/>
      <c r="K13" s="324"/>
      <c r="L13" s="325"/>
      <c r="M13" s="326"/>
      <c r="N13" s="325"/>
      <c r="O13" s="326"/>
      <c r="P13" s="325"/>
      <c r="Q13" s="326"/>
      <c r="R13" s="275"/>
    </row>
    <row r="14" spans="1:18" ht="15.75" customHeight="1" thickBot="1">
      <c r="A14" s="88" t="s">
        <v>122</v>
      </c>
      <c r="B14" s="89" t="s">
        <v>368</v>
      </c>
      <c r="C14" s="90">
        <f aca="true" t="shared" si="1" ref="C14:I14">+C7+C9+C10+C12+C13</f>
        <v>86185955</v>
      </c>
      <c r="D14" s="90">
        <f t="shared" si="1"/>
        <v>3706875</v>
      </c>
      <c r="E14" s="90">
        <f t="shared" si="1"/>
        <v>89892830</v>
      </c>
      <c r="F14" s="90">
        <f t="shared" si="1"/>
        <v>0</v>
      </c>
      <c r="G14" s="90">
        <f t="shared" si="1"/>
        <v>89892830</v>
      </c>
      <c r="H14" s="90">
        <f t="shared" si="1"/>
        <v>0</v>
      </c>
      <c r="I14" s="90">
        <f t="shared" si="1"/>
        <v>89892830</v>
      </c>
      <c r="J14" s="308" t="s">
        <v>373</v>
      </c>
      <c r="K14" s="317">
        <f>+K7+K9+K11+K12+K13</f>
        <v>191683691</v>
      </c>
      <c r="L14" s="317">
        <f>+L7+L9+L10+L12+L13</f>
        <v>3706875</v>
      </c>
      <c r="M14" s="317">
        <f>+M7+M9+M10+M12+M13+M11</f>
        <v>195390566</v>
      </c>
      <c r="N14" s="317">
        <f>+N7+N9+N10+N12+N13+N11</f>
        <v>-3717000</v>
      </c>
      <c r="O14" s="317">
        <f>+O7+O9+O10+O12+O13+O11</f>
        <v>191673566</v>
      </c>
      <c r="P14" s="317">
        <f>+P7+P9+P10+P12+P13+P11</f>
        <v>-3200000</v>
      </c>
      <c r="Q14" s="317">
        <f>+Q7+Q9+Q10+Q12+Q13+Q11</f>
        <v>188473566</v>
      </c>
      <c r="R14" s="275"/>
    </row>
    <row r="15" spans="1:18" ht="12.75" customHeight="1">
      <c r="A15" s="78" t="s">
        <v>123</v>
      </c>
      <c r="B15" s="96" t="s">
        <v>369</v>
      </c>
      <c r="C15" s="97">
        <f aca="true" t="shared" si="2" ref="C15:I15">+C16+C17+C18+C19+C20</f>
        <v>88071346</v>
      </c>
      <c r="D15" s="97">
        <f t="shared" si="2"/>
        <v>0</v>
      </c>
      <c r="E15" s="97">
        <f t="shared" si="2"/>
        <v>88071346</v>
      </c>
      <c r="F15" s="97">
        <f t="shared" si="2"/>
        <v>0</v>
      </c>
      <c r="G15" s="97">
        <f t="shared" si="2"/>
        <v>88071346</v>
      </c>
      <c r="H15" s="97">
        <f t="shared" si="2"/>
        <v>0</v>
      </c>
      <c r="I15" s="97">
        <f t="shared" si="2"/>
        <v>88071346</v>
      </c>
      <c r="J15" s="309" t="s">
        <v>201</v>
      </c>
      <c r="K15" s="327"/>
      <c r="L15" s="328">
        <f aca="true" t="shared" si="3" ref="L15:Q15">+L16+L17+L18+L19+L20</f>
        <v>0</v>
      </c>
      <c r="M15" s="329">
        <f t="shared" si="3"/>
        <v>0</v>
      </c>
      <c r="N15" s="328">
        <f t="shared" si="3"/>
        <v>0</v>
      </c>
      <c r="O15" s="329">
        <f t="shared" si="3"/>
        <v>0</v>
      </c>
      <c r="P15" s="328">
        <f t="shared" si="3"/>
        <v>0</v>
      </c>
      <c r="Q15" s="329">
        <f t="shared" si="3"/>
        <v>0</v>
      </c>
      <c r="R15" s="275"/>
    </row>
    <row r="16" spans="1:18" ht="12.75" customHeight="1">
      <c r="A16" s="81" t="s">
        <v>196</v>
      </c>
      <c r="B16" s="98" t="s">
        <v>222</v>
      </c>
      <c r="C16" s="91">
        <v>88071346</v>
      </c>
      <c r="D16" s="91">
        <v>0</v>
      </c>
      <c r="E16" s="91">
        <v>88071346</v>
      </c>
      <c r="F16" s="91">
        <v>0</v>
      </c>
      <c r="G16" s="91">
        <v>88071346</v>
      </c>
      <c r="H16" s="91">
        <v>0</v>
      </c>
      <c r="I16" s="91">
        <v>88071346</v>
      </c>
      <c r="J16" s="309" t="s">
        <v>223</v>
      </c>
      <c r="K16" s="330"/>
      <c r="L16" s="91">
        <v>0</v>
      </c>
      <c r="M16" s="92">
        <v>0</v>
      </c>
      <c r="N16" s="91">
        <v>0</v>
      </c>
      <c r="O16" s="92">
        <v>0</v>
      </c>
      <c r="P16" s="91">
        <v>0</v>
      </c>
      <c r="Q16" s="92">
        <v>0</v>
      </c>
      <c r="R16" s="275"/>
    </row>
    <row r="17" spans="1:18" ht="12.75" customHeight="1">
      <c r="A17" s="78" t="s">
        <v>197</v>
      </c>
      <c r="B17" s="98" t="s">
        <v>224</v>
      </c>
      <c r="C17" s="91"/>
      <c r="D17" s="91"/>
      <c r="E17" s="91"/>
      <c r="F17" s="91"/>
      <c r="G17" s="91"/>
      <c r="H17" s="91"/>
      <c r="I17" s="91"/>
      <c r="J17" s="309" t="s">
        <v>204</v>
      </c>
      <c r="K17" s="330"/>
      <c r="L17" s="91"/>
      <c r="M17" s="92"/>
      <c r="N17" s="91"/>
      <c r="O17" s="92"/>
      <c r="P17" s="91"/>
      <c r="Q17" s="92"/>
      <c r="R17" s="275"/>
    </row>
    <row r="18" spans="1:18" ht="12.75" customHeight="1">
      <c r="A18" s="81" t="s">
        <v>198</v>
      </c>
      <c r="B18" s="98" t="s">
        <v>225</v>
      </c>
      <c r="C18" s="91"/>
      <c r="D18" s="91"/>
      <c r="E18" s="91"/>
      <c r="F18" s="91"/>
      <c r="G18" s="91"/>
      <c r="H18" s="91"/>
      <c r="I18" s="91"/>
      <c r="J18" s="309" t="s">
        <v>206</v>
      </c>
      <c r="K18" s="330"/>
      <c r="L18" s="91"/>
      <c r="M18" s="92"/>
      <c r="N18" s="91"/>
      <c r="O18" s="92"/>
      <c r="P18" s="91"/>
      <c r="Q18" s="92"/>
      <c r="R18" s="275"/>
    </row>
    <row r="19" spans="1:18" ht="12.75" customHeight="1">
      <c r="A19" s="78" t="s">
        <v>199</v>
      </c>
      <c r="B19" s="98" t="s">
        <v>226</v>
      </c>
      <c r="C19" s="91"/>
      <c r="D19" s="91"/>
      <c r="E19" s="91"/>
      <c r="F19" s="91"/>
      <c r="G19" s="91"/>
      <c r="H19" s="91"/>
      <c r="I19" s="91"/>
      <c r="J19" s="310" t="s">
        <v>208</v>
      </c>
      <c r="K19" s="330"/>
      <c r="L19" s="91"/>
      <c r="M19" s="92"/>
      <c r="N19" s="91"/>
      <c r="O19" s="92"/>
      <c r="P19" s="91"/>
      <c r="Q19" s="92"/>
      <c r="R19" s="275"/>
    </row>
    <row r="20" spans="1:18" ht="12.75" customHeight="1">
      <c r="A20" s="81" t="s">
        <v>200</v>
      </c>
      <c r="B20" s="99" t="s">
        <v>227</v>
      </c>
      <c r="C20" s="91"/>
      <c r="D20" s="91"/>
      <c r="E20" s="91"/>
      <c r="F20" s="91"/>
      <c r="G20" s="91"/>
      <c r="H20" s="91"/>
      <c r="I20" s="91"/>
      <c r="J20" s="309" t="s">
        <v>228</v>
      </c>
      <c r="K20" s="330"/>
      <c r="L20" s="91"/>
      <c r="M20" s="92"/>
      <c r="N20" s="91"/>
      <c r="O20" s="92"/>
      <c r="P20" s="91"/>
      <c r="Q20" s="92"/>
      <c r="R20" s="275"/>
    </row>
    <row r="21" spans="1:18" ht="12.75" customHeight="1">
      <c r="A21" s="78" t="s">
        <v>202</v>
      </c>
      <c r="B21" s="100" t="s">
        <v>370</v>
      </c>
      <c r="C21" s="93">
        <f aca="true" t="shared" si="4" ref="C21:I21">+C22+C23+C24+C25+C26</f>
        <v>0</v>
      </c>
      <c r="D21" s="93">
        <f t="shared" si="4"/>
        <v>0</v>
      </c>
      <c r="E21" s="93">
        <f t="shared" si="4"/>
        <v>0</v>
      </c>
      <c r="F21" s="93">
        <f t="shared" si="4"/>
        <v>0</v>
      </c>
      <c r="G21" s="93">
        <f t="shared" si="4"/>
        <v>0</v>
      </c>
      <c r="H21" s="93">
        <f t="shared" si="4"/>
        <v>0</v>
      </c>
      <c r="I21" s="93">
        <f t="shared" si="4"/>
        <v>0</v>
      </c>
      <c r="J21" s="311" t="s">
        <v>229</v>
      </c>
      <c r="K21" s="330"/>
      <c r="L21" s="93">
        <f aca="true" t="shared" si="5" ref="L21:Q21">+L22+L23+L24+L25+L26</f>
        <v>0</v>
      </c>
      <c r="M21" s="301">
        <f t="shared" si="5"/>
        <v>0</v>
      </c>
      <c r="N21" s="93">
        <f t="shared" si="5"/>
        <v>0</v>
      </c>
      <c r="O21" s="301">
        <f t="shared" si="5"/>
        <v>0</v>
      </c>
      <c r="P21" s="93">
        <f t="shared" si="5"/>
        <v>0</v>
      </c>
      <c r="Q21" s="301">
        <f t="shared" si="5"/>
        <v>0</v>
      </c>
      <c r="R21" s="275"/>
    </row>
    <row r="22" spans="1:18" ht="12.75" customHeight="1">
      <c r="A22" s="81" t="s">
        <v>203</v>
      </c>
      <c r="B22" s="99" t="s">
        <v>230</v>
      </c>
      <c r="C22" s="91"/>
      <c r="D22" s="91"/>
      <c r="E22" s="91"/>
      <c r="F22" s="91"/>
      <c r="G22" s="91"/>
      <c r="H22" s="91"/>
      <c r="I22" s="91"/>
      <c r="J22" s="311" t="s">
        <v>231</v>
      </c>
      <c r="K22" s="330"/>
      <c r="L22" s="91"/>
      <c r="M22" s="92"/>
      <c r="N22" s="91"/>
      <c r="O22" s="92"/>
      <c r="P22" s="91"/>
      <c r="Q22" s="92"/>
      <c r="R22" s="275"/>
    </row>
    <row r="23" spans="1:18" ht="12.75" customHeight="1">
      <c r="A23" s="78" t="s">
        <v>205</v>
      </c>
      <c r="B23" s="99" t="s">
        <v>232</v>
      </c>
      <c r="C23" s="91"/>
      <c r="D23" s="91"/>
      <c r="E23" s="91"/>
      <c r="F23" s="91"/>
      <c r="G23" s="91"/>
      <c r="H23" s="91"/>
      <c r="I23" s="91"/>
      <c r="J23" s="312"/>
      <c r="K23" s="330"/>
      <c r="L23" s="91"/>
      <c r="M23" s="92"/>
      <c r="N23" s="91"/>
      <c r="O23" s="92"/>
      <c r="P23" s="91"/>
      <c r="Q23" s="92"/>
      <c r="R23" s="275"/>
    </row>
    <row r="24" spans="1:18" ht="12.75" customHeight="1">
      <c r="A24" s="81" t="s">
        <v>207</v>
      </c>
      <c r="B24" s="98" t="s">
        <v>187</v>
      </c>
      <c r="C24" s="91"/>
      <c r="D24" s="91"/>
      <c r="E24" s="91"/>
      <c r="F24" s="91"/>
      <c r="G24" s="91"/>
      <c r="H24" s="91"/>
      <c r="I24" s="91"/>
      <c r="J24" s="313"/>
      <c r="K24" s="330"/>
      <c r="L24" s="91"/>
      <c r="M24" s="92"/>
      <c r="N24" s="91"/>
      <c r="O24" s="92"/>
      <c r="P24" s="91"/>
      <c r="Q24" s="92"/>
      <c r="R24" s="275"/>
    </row>
    <row r="25" spans="1:18" ht="12.75" customHeight="1">
      <c r="A25" s="78" t="s">
        <v>209</v>
      </c>
      <c r="B25" s="101" t="s">
        <v>233</v>
      </c>
      <c r="C25" s="91"/>
      <c r="D25" s="91"/>
      <c r="E25" s="91"/>
      <c r="F25" s="91"/>
      <c r="G25" s="91"/>
      <c r="H25" s="91"/>
      <c r="I25" s="91"/>
      <c r="J25" s="314"/>
      <c r="K25" s="330"/>
      <c r="L25" s="91"/>
      <c r="M25" s="92"/>
      <c r="N25" s="91"/>
      <c r="O25" s="92"/>
      <c r="P25" s="91"/>
      <c r="Q25" s="92"/>
      <c r="R25" s="275"/>
    </row>
    <row r="26" spans="1:18" ht="12.75" customHeight="1" thickBot="1">
      <c r="A26" s="81" t="s">
        <v>210</v>
      </c>
      <c r="B26" s="102" t="s">
        <v>234</v>
      </c>
      <c r="C26" s="91"/>
      <c r="D26" s="91"/>
      <c r="E26" s="91"/>
      <c r="F26" s="91"/>
      <c r="G26" s="91"/>
      <c r="H26" s="91"/>
      <c r="I26" s="91"/>
      <c r="J26" s="313"/>
      <c r="K26" s="331"/>
      <c r="L26" s="332"/>
      <c r="M26" s="105"/>
      <c r="N26" s="332"/>
      <c r="O26" s="105"/>
      <c r="P26" s="332"/>
      <c r="Q26" s="105"/>
      <c r="R26" s="275"/>
    </row>
    <row r="27" spans="1:18" ht="21.75" customHeight="1" thickBot="1">
      <c r="A27" s="88" t="s">
        <v>211</v>
      </c>
      <c r="B27" s="89" t="s">
        <v>371</v>
      </c>
      <c r="C27" s="90">
        <f aca="true" t="shared" si="6" ref="C27:I27">+C15+C21</f>
        <v>88071346</v>
      </c>
      <c r="D27" s="90">
        <f t="shared" si="6"/>
        <v>0</v>
      </c>
      <c r="E27" s="90">
        <f t="shared" si="6"/>
        <v>88071346</v>
      </c>
      <c r="F27" s="90">
        <f t="shared" si="6"/>
        <v>0</v>
      </c>
      <c r="G27" s="90">
        <f t="shared" si="6"/>
        <v>88071346</v>
      </c>
      <c r="H27" s="90">
        <f t="shared" si="6"/>
        <v>0</v>
      </c>
      <c r="I27" s="90">
        <f t="shared" si="6"/>
        <v>88071346</v>
      </c>
      <c r="J27" s="308" t="s">
        <v>374</v>
      </c>
      <c r="K27" s="317">
        <f>SUM(K15:K26)</f>
        <v>0</v>
      </c>
      <c r="L27" s="317">
        <f aca="true" t="shared" si="7" ref="L27:Q27">+L15+L21</f>
        <v>0</v>
      </c>
      <c r="M27" s="317">
        <f t="shared" si="7"/>
        <v>0</v>
      </c>
      <c r="N27" s="317">
        <f t="shared" si="7"/>
        <v>0</v>
      </c>
      <c r="O27" s="317">
        <f t="shared" si="7"/>
        <v>0</v>
      </c>
      <c r="P27" s="317">
        <f t="shared" si="7"/>
        <v>0</v>
      </c>
      <c r="Q27" s="317">
        <f t="shared" si="7"/>
        <v>0</v>
      </c>
      <c r="R27" s="275"/>
    </row>
    <row r="28" spans="1:18" ht="13.5" thickBot="1">
      <c r="A28" s="88" t="s">
        <v>212</v>
      </c>
      <c r="B28" s="94" t="s">
        <v>372</v>
      </c>
      <c r="C28" s="95">
        <f>+C14+C27</f>
        <v>174257301</v>
      </c>
      <c r="D28" s="95">
        <f aca="true" t="shared" si="8" ref="D28:I28">+D14+D27</f>
        <v>3706875</v>
      </c>
      <c r="E28" s="95">
        <f t="shared" si="8"/>
        <v>177964176</v>
      </c>
      <c r="F28" s="95">
        <f t="shared" si="8"/>
        <v>0</v>
      </c>
      <c r="G28" s="95">
        <f t="shared" si="8"/>
        <v>177964176</v>
      </c>
      <c r="H28" s="95">
        <f t="shared" si="8"/>
        <v>0</v>
      </c>
      <c r="I28" s="95">
        <f t="shared" si="8"/>
        <v>177964176</v>
      </c>
      <c r="J28" s="315" t="s">
        <v>375</v>
      </c>
      <c r="K28" s="318">
        <f>+K14+K27</f>
        <v>191683691</v>
      </c>
      <c r="L28" s="318">
        <f aca="true" t="shared" si="9" ref="L28:Q28">+L14+L27</f>
        <v>3706875</v>
      </c>
      <c r="M28" s="318">
        <f t="shared" si="9"/>
        <v>195390566</v>
      </c>
      <c r="N28" s="318">
        <f t="shared" si="9"/>
        <v>-3717000</v>
      </c>
      <c r="O28" s="318">
        <f t="shared" si="9"/>
        <v>191673566</v>
      </c>
      <c r="P28" s="318">
        <f t="shared" si="9"/>
        <v>-3200000</v>
      </c>
      <c r="Q28" s="318">
        <f t="shared" si="9"/>
        <v>188473566</v>
      </c>
      <c r="R28" s="275"/>
    </row>
    <row r="29" spans="1:17" ht="13.5" thickBot="1">
      <c r="A29" s="340" t="s">
        <v>464</v>
      </c>
      <c r="B29" s="94" t="s">
        <v>465</v>
      </c>
      <c r="C29" s="95">
        <f>K14-C14</f>
        <v>105497736</v>
      </c>
      <c r="D29" s="95">
        <f aca="true" t="shared" si="10" ref="D29:I29">L14-D14</f>
        <v>0</v>
      </c>
      <c r="E29" s="95">
        <f t="shared" si="10"/>
        <v>105497736</v>
      </c>
      <c r="F29" s="95">
        <f t="shared" si="10"/>
        <v>-3717000</v>
      </c>
      <c r="G29" s="95">
        <f t="shared" si="10"/>
        <v>101780736</v>
      </c>
      <c r="H29" s="95" t="s">
        <v>476</v>
      </c>
      <c r="I29" s="95">
        <f t="shared" si="10"/>
        <v>98580736</v>
      </c>
      <c r="J29" s="94" t="s">
        <v>466</v>
      </c>
      <c r="K29" s="95" t="s">
        <v>476</v>
      </c>
      <c r="L29" s="95">
        <f>D14-L14</f>
        <v>0</v>
      </c>
      <c r="M29" s="95">
        <f>E14-M14</f>
        <v>-105497736</v>
      </c>
      <c r="N29" s="95">
        <f>F14-N14</f>
        <v>3717000</v>
      </c>
      <c r="O29" s="95" t="s">
        <v>476</v>
      </c>
      <c r="P29" s="95">
        <f>H14-P14</f>
        <v>3200000</v>
      </c>
      <c r="Q29" s="95" t="s">
        <v>476</v>
      </c>
    </row>
    <row r="30" spans="1:17" ht="16.5" customHeight="1" thickBot="1">
      <c r="A30" s="340" t="s">
        <v>467</v>
      </c>
      <c r="B30" s="94" t="s">
        <v>468</v>
      </c>
      <c r="C30" s="95">
        <f>K28-C28</f>
        <v>17426390</v>
      </c>
      <c r="D30" s="95">
        <f aca="true" t="shared" si="11" ref="D30:I30">L28-D28</f>
        <v>0</v>
      </c>
      <c r="E30" s="95">
        <f t="shared" si="11"/>
        <v>17426390</v>
      </c>
      <c r="F30" s="95">
        <f t="shared" si="11"/>
        <v>-3717000</v>
      </c>
      <c r="G30" s="95">
        <f t="shared" si="11"/>
        <v>13709390</v>
      </c>
      <c r="H30" s="95" t="s">
        <v>476</v>
      </c>
      <c r="I30" s="95">
        <f t="shared" si="11"/>
        <v>10509390</v>
      </c>
      <c r="J30" s="94" t="s">
        <v>469</v>
      </c>
      <c r="K30" s="95" t="s">
        <v>476</v>
      </c>
      <c r="L30" s="95">
        <f>D28-L28</f>
        <v>0</v>
      </c>
      <c r="M30" s="95">
        <f>E28-M28</f>
        <v>-17426390</v>
      </c>
      <c r="N30" s="95">
        <f>F28-N28</f>
        <v>3717000</v>
      </c>
      <c r="O30" s="95" t="s">
        <v>476</v>
      </c>
      <c r="P30" s="95">
        <f>H28-P28</f>
        <v>3200000</v>
      </c>
      <c r="Q30" s="95" t="s">
        <v>476</v>
      </c>
    </row>
  </sheetData>
  <sheetProtection/>
  <mergeCells count="4">
    <mergeCell ref="A3:B3"/>
    <mergeCell ref="A4:A5"/>
    <mergeCell ref="A1:Q1"/>
    <mergeCell ref="A2:C2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80" zoomScalePageLayoutView="0" workbookViewId="0" topLeftCell="A1">
      <selection activeCell="A5" sqref="A5:B5"/>
    </sheetView>
  </sheetViews>
  <sheetFormatPr defaultColWidth="9.140625" defaultRowHeight="12.75"/>
  <cols>
    <col min="1" max="1" width="8.421875" style="369" customWidth="1"/>
    <col min="2" max="2" width="44.421875" style="369" customWidth="1"/>
    <col min="3" max="3" width="5.57421875" style="369" hidden="1" customWidth="1"/>
    <col min="4" max="4" width="14.7109375" style="369" customWidth="1"/>
    <col min="5" max="5" width="21.140625" style="369" customWidth="1"/>
    <col min="6" max="16384" width="9.140625" style="369" customWidth="1"/>
  </cols>
  <sheetData>
    <row r="1" spans="1:5" ht="15.75">
      <c r="A1" s="436" t="s">
        <v>490</v>
      </c>
      <c r="B1" s="436"/>
      <c r="C1" s="436"/>
      <c r="D1" s="436"/>
      <c r="E1" s="436"/>
    </row>
    <row r="2" spans="1:5" ht="15.75">
      <c r="A2" s="368"/>
      <c r="B2" s="368"/>
      <c r="C2" s="368"/>
      <c r="D2" s="368"/>
      <c r="E2" s="368"/>
    </row>
    <row r="3" spans="1:5" ht="12.75" customHeight="1">
      <c r="A3" s="370"/>
      <c r="B3" s="370"/>
      <c r="C3" s="370"/>
      <c r="D3" s="370"/>
      <c r="E3" s="371"/>
    </row>
    <row r="4" spans="1:5" ht="15" customHeight="1">
      <c r="A4" s="460" t="s">
        <v>511</v>
      </c>
      <c r="B4" s="460"/>
      <c r="C4" s="461"/>
      <c r="D4" s="372"/>
      <c r="E4" s="393" t="s">
        <v>322</v>
      </c>
    </row>
    <row r="5" spans="1:5" ht="15.75" thickBot="1">
      <c r="A5" s="424" t="s">
        <v>503</v>
      </c>
      <c r="B5" s="424"/>
      <c r="C5" s="372"/>
      <c r="D5" s="372"/>
      <c r="E5" s="372"/>
    </row>
    <row r="6" spans="1:5" ht="15.75" customHeight="1" thickBot="1">
      <c r="A6" s="437" t="s">
        <v>491</v>
      </c>
      <c r="B6" s="438" t="s">
        <v>492</v>
      </c>
      <c r="C6" s="438"/>
      <c r="D6" s="439" t="s">
        <v>366</v>
      </c>
      <c r="E6" s="438" t="s">
        <v>493</v>
      </c>
    </row>
    <row r="7" spans="1:5" ht="15.75" customHeight="1" thickBot="1">
      <c r="A7" s="437"/>
      <c r="B7" s="438"/>
      <c r="C7" s="438"/>
      <c r="D7" s="440"/>
      <c r="E7" s="438"/>
    </row>
    <row r="8" spans="1:5" ht="15.75" customHeight="1" thickBot="1">
      <c r="A8" s="437"/>
      <c r="B8" s="438"/>
      <c r="C8" s="438"/>
      <c r="D8" s="440"/>
      <c r="E8" s="438"/>
    </row>
    <row r="9" spans="1:5" ht="15.75" customHeight="1" thickBot="1">
      <c r="A9" s="437"/>
      <c r="B9" s="438"/>
      <c r="C9" s="438"/>
      <c r="D9" s="441"/>
      <c r="E9" s="438"/>
    </row>
    <row r="10" spans="1:5" s="378" customFormat="1" ht="27.75" customHeight="1">
      <c r="A10" s="373" t="s">
        <v>494</v>
      </c>
      <c r="B10" s="374" t="s">
        <v>495</v>
      </c>
      <c r="C10" s="375"/>
      <c r="D10" s="376">
        <f>SUM(D11:D14)</f>
        <v>31769293</v>
      </c>
      <c r="E10" s="377" t="s">
        <v>496</v>
      </c>
    </row>
    <row r="11" spans="1:5" s="378" customFormat="1" ht="27.75" customHeight="1">
      <c r="A11" s="379"/>
      <c r="B11" s="380" t="s">
        <v>497</v>
      </c>
      <c r="C11" s="381"/>
      <c r="D11" s="382">
        <v>11287503</v>
      </c>
      <c r="E11" s="383"/>
    </row>
    <row r="12" spans="1:5" s="378" customFormat="1" ht="27.75" customHeight="1">
      <c r="A12" s="379"/>
      <c r="B12" s="380" t="s">
        <v>498</v>
      </c>
      <c r="C12" s="381"/>
      <c r="D12" s="382">
        <v>10516770</v>
      </c>
      <c r="E12" s="383"/>
    </row>
    <row r="13" spans="1:5" s="378" customFormat="1" ht="27.75" customHeight="1">
      <c r="A13" s="379"/>
      <c r="B13" s="384" t="s">
        <v>376</v>
      </c>
      <c r="C13" s="381"/>
      <c r="D13" s="382">
        <v>9965020</v>
      </c>
      <c r="E13" s="383"/>
    </row>
    <row r="14" spans="1:5" s="378" customFormat="1" ht="27.75" customHeight="1">
      <c r="A14" s="379"/>
      <c r="B14" s="384" t="s">
        <v>499</v>
      </c>
      <c r="C14" s="381"/>
      <c r="D14" s="382">
        <v>0</v>
      </c>
      <c r="E14" s="383"/>
    </row>
    <row r="15" spans="1:5" s="378" customFormat="1" ht="27.75" customHeight="1">
      <c r="A15" s="373" t="s">
        <v>500</v>
      </c>
      <c r="B15" s="385" t="s">
        <v>501</v>
      </c>
      <c r="C15" s="386"/>
      <c r="D15" s="376">
        <v>4500000</v>
      </c>
      <c r="E15" s="377" t="s">
        <v>496</v>
      </c>
    </row>
    <row r="16" spans="1:5" ht="27.75" customHeight="1" thickBot="1">
      <c r="A16" s="387"/>
      <c r="B16" s="388" t="s">
        <v>502</v>
      </c>
      <c r="C16" s="389"/>
      <c r="D16" s="390">
        <f>D10+D15</f>
        <v>36269293</v>
      </c>
      <c r="E16" s="391"/>
    </row>
    <row r="17" spans="1:5" ht="16.5" customHeight="1">
      <c r="A17" s="392"/>
      <c r="B17" s="392"/>
      <c r="C17" s="392"/>
      <c r="D17" s="392"/>
      <c r="E17" s="392"/>
    </row>
  </sheetData>
  <sheetProtection/>
  <mergeCells count="8">
    <mergeCell ref="A1:E1"/>
    <mergeCell ref="A6:A9"/>
    <mergeCell ref="B6:B9"/>
    <mergeCell ref="C6:C9"/>
    <mergeCell ref="D6:D9"/>
    <mergeCell ref="E6:E9"/>
    <mergeCell ref="A5:B5"/>
    <mergeCell ref="A4:C4"/>
  </mergeCells>
  <printOptions horizontalCentered="1"/>
  <pageMargins left="0.2362204724409449" right="0.2362204724409449" top="1.51" bottom="0.1968503937007874" header="0.9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90" zoomScaleNormal="90" zoomScaleSheetLayoutView="90" zoomScalePageLayoutView="0" workbookViewId="0" topLeftCell="A1">
      <selection activeCell="A4" sqref="A4:C4"/>
    </sheetView>
  </sheetViews>
  <sheetFormatPr defaultColWidth="9.140625" defaultRowHeight="12.75"/>
  <cols>
    <col min="1" max="1" width="3.00390625" style="158" customWidth="1"/>
    <col min="2" max="2" width="33.57421875" style="158" customWidth="1"/>
    <col min="3" max="6" width="14.7109375" style="158" customWidth="1"/>
    <col min="7" max="8" width="15.28125" style="158" customWidth="1"/>
    <col min="9" max="9" width="16.00390625" style="158" customWidth="1"/>
    <col min="10" max="10" width="15.57421875" style="158" customWidth="1"/>
    <col min="11" max="11" width="15.140625" style="158" customWidth="1"/>
    <col min="12" max="12" width="16.00390625" style="158" customWidth="1"/>
    <col min="13" max="14" width="15.140625" style="158" customWidth="1"/>
    <col min="15" max="15" width="15.00390625" style="158" customWidth="1"/>
    <col min="16" max="16384" width="9.140625" style="158" customWidth="1"/>
  </cols>
  <sheetData>
    <row r="1" spans="1:20" s="206" customFormat="1" ht="15.75">
      <c r="A1" s="442" t="s">
        <v>367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213"/>
      <c r="Q1" s="213"/>
      <c r="R1" s="213"/>
      <c r="S1" s="213"/>
      <c r="T1" s="213"/>
    </row>
    <row r="2" spans="1:20" s="206" customFormat="1" ht="15.7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13"/>
      <c r="Q2" s="213"/>
      <c r="R2" s="213"/>
      <c r="S2" s="213"/>
      <c r="T2" s="213"/>
    </row>
    <row r="3" spans="1:15" s="206" customFormat="1" ht="15" customHeight="1">
      <c r="A3" s="460" t="s">
        <v>510</v>
      </c>
      <c r="B3" s="460"/>
      <c r="C3" s="461"/>
      <c r="D3" s="212"/>
      <c r="O3" s="214"/>
    </row>
    <row r="4" spans="1:15" s="206" customFormat="1" ht="15.75" customHeight="1">
      <c r="A4" s="444" t="s">
        <v>479</v>
      </c>
      <c r="B4" s="444"/>
      <c r="C4" s="444"/>
      <c r="D4" s="212"/>
      <c r="N4" s="443" t="s">
        <v>322</v>
      </c>
      <c r="O4" s="443"/>
    </row>
    <row r="5" spans="1:15" ht="27.75" customHeight="1">
      <c r="A5" s="170" t="s">
        <v>287</v>
      </c>
      <c r="B5" s="171" t="s">
        <v>194</v>
      </c>
      <c r="C5" s="171" t="s">
        <v>288</v>
      </c>
      <c r="D5" s="171" t="s">
        <v>289</v>
      </c>
      <c r="E5" s="171" t="s">
        <v>290</v>
      </c>
      <c r="F5" s="171" t="s">
        <v>291</v>
      </c>
      <c r="G5" s="171" t="s">
        <v>292</v>
      </c>
      <c r="H5" s="171" t="s">
        <v>293</v>
      </c>
      <c r="I5" s="171" t="s">
        <v>294</v>
      </c>
      <c r="J5" s="171" t="s">
        <v>295</v>
      </c>
      <c r="K5" s="171" t="s">
        <v>296</v>
      </c>
      <c r="L5" s="171" t="s">
        <v>297</v>
      </c>
      <c r="M5" s="171" t="s">
        <v>298</v>
      </c>
      <c r="N5" s="171" t="s">
        <v>299</v>
      </c>
      <c r="O5" s="171" t="s">
        <v>285</v>
      </c>
    </row>
    <row r="6" spans="1:15" ht="27.75" customHeight="1">
      <c r="A6" s="172"/>
      <c r="B6" s="173" t="s">
        <v>300</v>
      </c>
      <c r="C6" s="247">
        <v>98160037</v>
      </c>
      <c r="D6" s="247">
        <f>C27</f>
        <v>81056235</v>
      </c>
      <c r="E6" s="247">
        <f aca="true" t="shared" si="0" ref="E6:N6">D27</f>
        <v>75595829</v>
      </c>
      <c r="F6" s="247">
        <f t="shared" si="0"/>
        <v>101728614</v>
      </c>
      <c r="G6" s="247">
        <f t="shared" si="0"/>
        <v>88812596</v>
      </c>
      <c r="H6" s="247">
        <f t="shared" si="0"/>
        <v>78268187</v>
      </c>
      <c r="I6" s="247">
        <f t="shared" si="0"/>
        <v>52755281</v>
      </c>
      <c r="J6" s="247">
        <f t="shared" si="0"/>
        <v>57421642</v>
      </c>
      <c r="K6" s="247">
        <f t="shared" si="0"/>
        <v>10835932</v>
      </c>
      <c r="L6" s="247">
        <f t="shared" si="0"/>
        <v>43145523</v>
      </c>
      <c r="M6" s="247">
        <f t="shared" si="0"/>
        <v>35350114</v>
      </c>
      <c r="N6" s="247">
        <f t="shared" si="0"/>
        <v>30709705</v>
      </c>
      <c r="O6" s="263"/>
    </row>
    <row r="7" spans="1:15" ht="22.5" customHeight="1">
      <c r="A7" s="174" t="s">
        <v>115</v>
      </c>
      <c r="B7" s="175" t="s">
        <v>26</v>
      </c>
      <c r="C7" s="247">
        <v>2325500</v>
      </c>
      <c r="D7" s="247">
        <v>2325500</v>
      </c>
      <c r="E7" s="247">
        <v>2325500</v>
      </c>
      <c r="F7" s="247">
        <v>2325500</v>
      </c>
      <c r="G7" s="247">
        <v>2325500</v>
      </c>
      <c r="H7" s="247">
        <v>2325500</v>
      </c>
      <c r="I7" s="247">
        <v>2325500</v>
      </c>
      <c r="J7" s="247">
        <v>2325500</v>
      </c>
      <c r="K7" s="247">
        <v>2325500</v>
      </c>
      <c r="L7" s="247">
        <v>2325500</v>
      </c>
      <c r="M7" s="247">
        <v>2325500</v>
      </c>
      <c r="N7" s="247">
        <v>2325500</v>
      </c>
      <c r="O7" s="264">
        <f aca="true" t="shared" si="1" ref="O7:O13">SUM(C7:N7)</f>
        <v>27906000</v>
      </c>
    </row>
    <row r="8" spans="1:15" ht="21.75" customHeight="1">
      <c r="A8" s="174" t="s">
        <v>116</v>
      </c>
      <c r="B8" s="175" t="s">
        <v>15</v>
      </c>
      <c r="C8" s="247">
        <v>100000</v>
      </c>
      <c r="D8" s="247">
        <v>80000</v>
      </c>
      <c r="E8" s="247">
        <v>29500000</v>
      </c>
      <c r="F8" s="247">
        <v>670000</v>
      </c>
      <c r="G8" s="247">
        <v>500000</v>
      </c>
      <c r="H8" s="247">
        <v>50000</v>
      </c>
      <c r="I8" s="247">
        <v>50000</v>
      </c>
      <c r="J8" s="247">
        <v>50000</v>
      </c>
      <c r="K8" s="247">
        <v>40000000</v>
      </c>
      <c r="L8" s="247">
        <v>800000</v>
      </c>
      <c r="M8" s="247">
        <v>600000</v>
      </c>
      <c r="N8" s="247">
        <v>10050000</v>
      </c>
      <c r="O8" s="264">
        <f t="shared" si="1"/>
        <v>82450000</v>
      </c>
    </row>
    <row r="9" spans="1:15" ht="34.5" customHeight="1">
      <c r="A9" s="174" t="s">
        <v>117</v>
      </c>
      <c r="B9" s="175" t="s">
        <v>354</v>
      </c>
      <c r="C9" s="247">
        <v>14420083</v>
      </c>
      <c r="D9" s="247">
        <v>14420086</v>
      </c>
      <c r="E9" s="247">
        <v>14420083</v>
      </c>
      <c r="F9" s="247">
        <v>14420083</v>
      </c>
      <c r="G9" s="247">
        <v>14420083</v>
      </c>
      <c r="H9" s="247">
        <v>14420083</v>
      </c>
      <c r="I9" s="247">
        <v>14420083</v>
      </c>
      <c r="J9" s="247">
        <v>14420083</v>
      </c>
      <c r="K9" s="247">
        <v>14420083</v>
      </c>
      <c r="L9" s="247">
        <v>14420083</v>
      </c>
      <c r="M9" s="247">
        <v>14420083</v>
      </c>
      <c r="N9" s="247">
        <v>14420083</v>
      </c>
      <c r="O9" s="264">
        <f t="shared" si="1"/>
        <v>173040999</v>
      </c>
    </row>
    <row r="10" spans="1:15" ht="33.75" customHeight="1">
      <c r="A10" s="174" t="s">
        <v>118</v>
      </c>
      <c r="B10" s="175" t="s">
        <v>41</v>
      </c>
      <c r="C10" s="247"/>
      <c r="D10" s="247">
        <v>10000</v>
      </c>
      <c r="E10" s="247">
        <v>3873194</v>
      </c>
      <c r="F10" s="247"/>
      <c r="G10" s="247"/>
      <c r="H10" s="247"/>
      <c r="I10" s="247"/>
      <c r="J10" s="247"/>
      <c r="K10" s="247">
        <v>10000</v>
      </c>
      <c r="L10" s="247">
        <v>10000</v>
      </c>
      <c r="M10" s="247">
        <v>10000</v>
      </c>
      <c r="N10" s="247">
        <v>10000</v>
      </c>
      <c r="O10" s="264">
        <f t="shared" si="1"/>
        <v>3923194</v>
      </c>
    </row>
    <row r="11" spans="1:15" ht="33.75" customHeight="1">
      <c r="A11" s="174" t="s">
        <v>119</v>
      </c>
      <c r="B11" s="246" t="s">
        <v>39</v>
      </c>
      <c r="C11" s="247"/>
      <c r="D11" s="247"/>
      <c r="E11" s="247">
        <v>15000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64">
        <f>SUM(C11:N11)</f>
        <v>15000</v>
      </c>
    </row>
    <row r="12" spans="1:15" ht="33.75" customHeight="1">
      <c r="A12" s="174" t="s">
        <v>120</v>
      </c>
      <c r="B12" s="246" t="s">
        <v>398</v>
      </c>
      <c r="C12" s="247"/>
      <c r="D12" s="247"/>
      <c r="E12" s="247"/>
      <c r="F12" s="247">
        <v>15381682</v>
      </c>
      <c r="G12" s="247">
        <v>49000000</v>
      </c>
      <c r="H12" s="247">
        <v>11287503</v>
      </c>
      <c r="I12" s="247">
        <v>10516770</v>
      </c>
      <c r="J12" s="247"/>
      <c r="K12" s="247"/>
      <c r="L12" s="247"/>
      <c r="M12" s="247">
        <v>3706875</v>
      </c>
      <c r="N12" s="247"/>
      <c r="O12" s="264">
        <f>SUM(C12:N12)</f>
        <v>89892830</v>
      </c>
    </row>
    <row r="13" spans="1:15" ht="33" customHeight="1">
      <c r="A13" s="174" t="s">
        <v>121</v>
      </c>
      <c r="B13" s="246" t="s">
        <v>355</v>
      </c>
      <c r="C13" s="247">
        <v>90232825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64">
        <f t="shared" si="1"/>
        <v>90232825</v>
      </c>
    </row>
    <row r="14" spans="1:15" s="204" customFormat="1" ht="27.75" customHeight="1">
      <c r="A14" s="201"/>
      <c r="B14" s="202" t="s">
        <v>301</v>
      </c>
      <c r="C14" s="203">
        <f aca="true" t="shared" si="2" ref="C14:N14">SUM(C7:C13)</f>
        <v>107078408</v>
      </c>
      <c r="D14" s="203">
        <f t="shared" si="2"/>
        <v>16835586</v>
      </c>
      <c r="E14" s="203">
        <f t="shared" si="2"/>
        <v>50133777</v>
      </c>
      <c r="F14" s="203">
        <f t="shared" si="2"/>
        <v>32797265</v>
      </c>
      <c r="G14" s="203">
        <f t="shared" si="2"/>
        <v>66245583</v>
      </c>
      <c r="H14" s="203">
        <f t="shared" si="2"/>
        <v>28083086</v>
      </c>
      <c r="I14" s="203">
        <f t="shared" si="2"/>
        <v>27312353</v>
      </c>
      <c r="J14" s="203">
        <f t="shared" si="2"/>
        <v>16795583</v>
      </c>
      <c r="K14" s="203">
        <f t="shared" si="2"/>
        <v>56755583</v>
      </c>
      <c r="L14" s="203">
        <f t="shared" si="2"/>
        <v>17555583</v>
      </c>
      <c r="M14" s="203">
        <f t="shared" si="2"/>
        <v>21062458</v>
      </c>
      <c r="N14" s="203">
        <f t="shared" si="2"/>
        <v>26805583</v>
      </c>
      <c r="O14" s="265">
        <f>SUM(O7:O13)</f>
        <v>467460848</v>
      </c>
    </row>
    <row r="15" spans="1:15" ht="27.75" customHeight="1">
      <c r="A15" s="172"/>
      <c r="B15" s="173" t="s">
        <v>99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63"/>
    </row>
    <row r="16" spans="1:15" ht="27.75" customHeight="1">
      <c r="A16" s="174" t="s">
        <v>122</v>
      </c>
      <c r="B16" s="176" t="s">
        <v>51</v>
      </c>
      <c r="C16" s="249">
        <v>8678303</v>
      </c>
      <c r="D16" s="249">
        <v>8678303</v>
      </c>
      <c r="E16" s="249">
        <v>8678303</v>
      </c>
      <c r="F16" s="249">
        <f>8678303+2803646</f>
        <v>11481949</v>
      </c>
      <c r="G16" s="249">
        <v>8678303</v>
      </c>
      <c r="H16" s="249">
        <f>8678303+810990</f>
        <v>9489293</v>
      </c>
      <c r="I16" s="249">
        <v>8678303</v>
      </c>
      <c r="J16" s="249">
        <v>8678303</v>
      </c>
      <c r="K16" s="249">
        <v>8678303</v>
      </c>
      <c r="L16" s="249">
        <v>8678303</v>
      </c>
      <c r="M16" s="249">
        <v>8678303</v>
      </c>
      <c r="N16" s="249">
        <v>8678303</v>
      </c>
      <c r="O16" s="264">
        <f aca="true" t="shared" si="3" ref="O16:O23">SUM(C16:N16)</f>
        <v>107754272</v>
      </c>
    </row>
    <row r="17" spans="1:15" ht="27.75" customHeight="1">
      <c r="A17" s="174" t="s">
        <v>123</v>
      </c>
      <c r="B17" s="176" t="s">
        <v>302</v>
      </c>
      <c r="C17" s="249">
        <v>1954707</v>
      </c>
      <c r="D17" s="249">
        <v>1954707</v>
      </c>
      <c r="E17" s="249">
        <v>1954707</v>
      </c>
      <c r="F17" s="249">
        <f>1954707+566196</f>
        <v>2520903</v>
      </c>
      <c r="G17" s="249">
        <v>1954707</v>
      </c>
      <c r="H17" s="249">
        <f>1954707+142329</f>
        <v>2097036</v>
      </c>
      <c r="I17" s="249">
        <v>1954707</v>
      </c>
      <c r="J17" s="249">
        <v>1954707</v>
      </c>
      <c r="K17" s="249">
        <v>1954707</v>
      </c>
      <c r="L17" s="249">
        <v>1954707</v>
      </c>
      <c r="M17" s="249">
        <v>1954707</v>
      </c>
      <c r="N17" s="249">
        <v>1954711</v>
      </c>
      <c r="O17" s="264">
        <f>SUM(C17:N17)</f>
        <v>24165013</v>
      </c>
    </row>
    <row r="18" spans="1:15" ht="27.75" customHeight="1">
      <c r="A18" s="174" t="s">
        <v>196</v>
      </c>
      <c r="B18" s="177" t="s">
        <v>66</v>
      </c>
      <c r="C18" s="249">
        <v>6422963</v>
      </c>
      <c r="D18" s="249">
        <v>6422963</v>
      </c>
      <c r="E18" s="249">
        <v>6422963</v>
      </c>
      <c r="F18" s="249">
        <f>6422963+428286</f>
        <v>6851249</v>
      </c>
      <c r="G18" s="249">
        <v>6422963</v>
      </c>
      <c r="H18" s="249">
        <f>6422963-953319</f>
        <v>5469644</v>
      </c>
      <c r="I18" s="249">
        <v>6422963</v>
      </c>
      <c r="J18" s="249">
        <v>6422963</v>
      </c>
      <c r="K18" s="249">
        <v>6422963</v>
      </c>
      <c r="L18" s="249">
        <v>6422963</v>
      </c>
      <c r="M18" s="249">
        <v>6422963</v>
      </c>
      <c r="N18" s="249">
        <v>6422965</v>
      </c>
      <c r="O18" s="264">
        <f t="shared" si="3"/>
        <v>76550525</v>
      </c>
    </row>
    <row r="19" spans="1:15" ht="27.75" customHeight="1">
      <c r="A19" s="174" t="s">
        <v>197</v>
      </c>
      <c r="B19" s="178" t="s">
        <v>81</v>
      </c>
      <c r="C19" s="249">
        <v>300000</v>
      </c>
      <c r="D19" s="249">
        <v>50000</v>
      </c>
      <c r="E19" s="249">
        <v>50000</v>
      </c>
      <c r="F19" s="249">
        <f>50000</f>
        <v>50000</v>
      </c>
      <c r="G19" s="249">
        <v>90000</v>
      </c>
      <c r="H19" s="249">
        <v>50000</v>
      </c>
      <c r="I19" s="249">
        <v>50000</v>
      </c>
      <c r="J19" s="249">
        <v>825000</v>
      </c>
      <c r="K19" s="249">
        <v>1000000</v>
      </c>
      <c r="L19" s="249">
        <v>2000000</v>
      </c>
      <c r="M19" s="249">
        <v>50000</v>
      </c>
      <c r="N19" s="249">
        <v>1800000</v>
      </c>
      <c r="O19" s="264">
        <f t="shared" si="3"/>
        <v>6315000</v>
      </c>
    </row>
    <row r="20" spans="1:15" ht="27.75" customHeight="1">
      <c r="A20" s="174" t="s">
        <v>198</v>
      </c>
      <c r="B20" s="178" t="s">
        <v>244</v>
      </c>
      <c r="C20" s="249">
        <v>4390019</v>
      </c>
      <c r="D20" s="249">
        <v>4390019</v>
      </c>
      <c r="E20" s="249">
        <v>4390019</v>
      </c>
      <c r="F20" s="249">
        <f>4390019+75066</f>
        <v>4465085</v>
      </c>
      <c r="G20" s="249">
        <f>4390019+3717000</f>
        <v>8107019</v>
      </c>
      <c r="H20" s="249">
        <v>4390019</v>
      </c>
      <c r="I20" s="249">
        <v>4390019</v>
      </c>
      <c r="J20" s="249">
        <f>4390019+3200000</f>
        <v>7590019</v>
      </c>
      <c r="K20" s="249">
        <v>4390019</v>
      </c>
      <c r="L20" s="249">
        <v>4390019</v>
      </c>
      <c r="M20" s="249">
        <v>4390019</v>
      </c>
      <c r="N20" s="249">
        <v>4390016</v>
      </c>
      <c r="O20" s="264">
        <f t="shared" si="3"/>
        <v>59672291</v>
      </c>
    </row>
    <row r="21" spans="1:15" ht="27.75" customHeight="1">
      <c r="A21" s="174" t="s">
        <v>199</v>
      </c>
      <c r="B21" s="177" t="s">
        <v>84</v>
      </c>
      <c r="C21" s="249"/>
      <c r="D21" s="249"/>
      <c r="E21" s="249">
        <f>200000+400000</f>
        <v>600000</v>
      </c>
      <c r="F21" s="249"/>
      <c r="G21" s="249">
        <v>254000</v>
      </c>
      <c r="H21" s="249">
        <v>15000000</v>
      </c>
      <c r="I21" s="249">
        <f>800000+350000</f>
        <v>1150000</v>
      </c>
      <c r="J21" s="249"/>
      <c r="K21" s="249"/>
      <c r="L21" s="249"/>
      <c r="M21" s="249">
        <v>4206875</v>
      </c>
      <c r="N21" s="249">
        <f>2000000+500000</f>
        <v>2500000</v>
      </c>
      <c r="O21" s="264">
        <f t="shared" si="3"/>
        <v>23710875</v>
      </c>
    </row>
    <row r="22" spans="1:15" ht="27.75" customHeight="1">
      <c r="A22" s="174" t="s">
        <v>200</v>
      </c>
      <c r="B22" s="177" t="s">
        <v>86</v>
      </c>
      <c r="C22" s="249"/>
      <c r="D22" s="249">
        <v>800000</v>
      </c>
      <c r="E22" s="249">
        <v>1905000</v>
      </c>
      <c r="F22" s="249">
        <f>3000000+17344097</f>
        <v>20344097</v>
      </c>
      <c r="G22" s="249">
        <f>55000000-3717000</f>
        <v>51283000</v>
      </c>
      <c r="H22" s="249">
        <f>15000000+200000-1060000-650000+300000</f>
        <v>13790000</v>
      </c>
      <c r="I22" s="249"/>
      <c r="J22" s="249"/>
      <c r="K22" s="249"/>
      <c r="L22" s="249">
        <v>1905000</v>
      </c>
      <c r="M22" s="249"/>
      <c r="N22" s="249"/>
      <c r="O22" s="264">
        <f t="shared" si="3"/>
        <v>90027097</v>
      </c>
    </row>
    <row r="23" spans="1:15" ht="27.75" customHeight="1">
      <c r="A23" s="174" t="s">
        <v>202</v>
      </c>
      <c r="B23" s="177" t="s">
        <v>179</v>
      </c>
      <c r="C23" s="249"/>
      <c r="D23" s="249"/>
      <c r="E23" s="249"/>
      <c r="F23" s="249"/>
      <c r="G23" s="249"/>
      <c r="H23" s="249">
        <v>810000</v>
      </c>
      <c r="I23" s="249"/>
      <c r="J23" s="249">
        <v>37910301</v>
      </c>
      <c r="K23" s="249"/>
      <c r="L23" s="249"/>
      <c r="M23" s="249"/>
      <c r="N23" s="249"/>
      <c r="O23" s="264">
        <f t="shared" si="3"/>
        <v>38720301</v>
      </c>
    </row>
    <row r="24" spans="1:15" ht="27.75" customHeight="1">
      <c r="A24" s="174" t="s">
        <v>203</v>
      </c>
      <c r="B24" s="246" t="s">
        <v>303</v>
      </c>
      <c r="C24" s="249"/>
      <c r="D24" s="249"/>
      <c r="E24" s="249"/>
      <c r="F24" s="249"/>
      <c r="G24" s="249"/>
      <c r="H24" s="249">
        <v>2500000</v>
      </c>
      <c r="I24" s="249"/>
      <c r="J24" s="249"/>
      <c r="K24" s="249">
        <v>2000000</v>
      </c>
      <c r="L24" s="249"/>
      <c r="M24" s="249"/>
      <c r="N24" s="249">
        <f>52879594-21110301</f>
        <v>31769293</v>
      </c>
      <c r="O24" s="264">
        <f>SUM(C24:N24)</f>
        <v>36269293</v>
      </c>
    </row>
    <row r="25" spans="1:15" ht="34.5" customHeight="1">
      <c r="A25" s="174" t="s">
        <v>205</v>
      </c>
      <c r="B25" s="246" t="s">
        <v>245</v>
      </c>
      <c r="C25" s="249">
        <v>4276181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64">
        <f>SUM(C25:N25)</f>
        <v>4276181</v>
      </c>
    </row>
    <row r="26" spans="1:15" s="204" customFormat="1" ht="27.75" customHeight="1">
      <c r="A26" s="201"/>
      <c r="B26" s="202" t="s">
        <v>304</v>
      </c>
      <c r="C26" s="203">
        <f>SUM(C16:C25)</f>
        <v>26022173</v>
      </c>
      <c r="D26" s="203">
        <f aca="true" t="shared" si="4" ref="D26:N26">SUM(D16:D24)</f>
        <v>22295992</v>
      </c>
      <c r="E26" s="203">
        <f t="shared" si="4"/>
        <v>24000992</v>
      </c>
      <c r="F26" s="203">
        <f t="shared" si="4"/>
        <v>45713283</v>
      </c>
      <c r="G26" s="203">
        <f t="shared" si="4"/>
        <v>76789992</v>
      </c>
      <c r="H26" s="203">
        <f t="shared" si="4"/>
        <v>53595992</v>
      </c>
      <c r="I26" s="203">
        <f t="shared" si="4"/>
        <v>22645992</v>
      </c>
      <c r="J26" s="203">
        <f t="shared" si="4"/>
        <v>63381293</v>
      </c>
      <c r="K26" s="203">
        <f t="shared" si="4"/>
        <v>24445992</v>
      </c>
      <c r="L26" s="203">
        <f t="shared" si="4"/>
        <v>25350992</v>
      </c>
      <c r="M26" s="203">
        <f t="shared" si="4"/>
        <v>25702867</v>
      </c>
      <c r="N26" s="203">
        <f t="shared" si="4"/>
        <v>57515288</v>
      </c>
      <c r="O26" s="265">
        <f>SUM(O16:O25)</f>
        <v>467460848</v>
      </c>
    </row>
    <row r="27" spans="1:15" ht="15.75">
      <c r="A27" s="172"/>
      <c r="B27" s="173" t="s">
        <v>305</v>
      </c>
      <c r="C27" s="179">
        <f>C14-C26</f>
        <v>81056235</v>
      </c>
      <c r="D27" s="179">
        <f aca="true" t="shared" si="5" ref="D27:N27">D6+D14-D26</f>
        <v>75595829</v>
      </c>
      <c r="E27" s="179">
        <f t="shared" si="5"/>
        <v>101728614</v>
      </c>
      <c r="F27" s="179">
        <f t="shared" si="5"/>
        <v>88812596</v>
      </c>
      <c r="G27" s="179">
        <f t="shared" si="5"/>
        <v>78268187</v>
      </c>
      <c r="H27" s="179">
        <f t="shared" si="5"/>
        <v>52755281</v>
      </c>
      <c r="I27" s="179">
        <f t="shared" si="5"/>
        <v>57421642</v>
      </c>
      <c r="J27" s="179">
        <f t="shared" si="5"/>
        <v>10835932</v>
      </c>
      <c r="K27" s="179">
        <f t="shared" si="5"/>
        <v>43145523</v>
      </c>
      <c r="L27" s="179">
        <f t="shared" si="5"/>
        <v>35350114</v>
      </c>
      <c r="M27" s="179">
        <f t="shared" si="5"/>
        <v>30709705</v>
      </c>
      <c r="N27" s="179">
        <f t="shared" si="5"/>
        <v>0</v>
      </c>
      <c r="O27" s="172"/>
    </row>
    <row r="28" spans="1:15" ht="15.75">
      <c r="A28" s="250"/>
      <c r="B28" s="251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0"/>
    </row>
    <row r="29" spans="5:14" ht="12.75">
      <c r="E29" s="158" t="s">
        <v>408</v>
      </c>
      <c r="F29" s="158" t="s">
        <v>409</v>
      </c>
      <c r="G29" s="158" t="s">
        <v>412</v>
      </c>
      <c r="H29" s="158" t="s">
        <v>404</v>
      </c>
      <c r="I29" s="158" t="s">
        <v>405</v>
      </c>
      <c r="L29" s="158" t="s">
        <v>406</v>
      </c>
      <c r="M29" s="158" t="s">
        <v>426</v>
      </c>
      <c r="N29" s="158" t="s">
        <v>399</v>
      </c>
    </row>
    <row r="30" spans="3:14" ht="12.75">
      <c r="C30" s="205"/>
      <c r="D30" s="158" t="s">
        <v>401</v>
      </c>
      <c r="E30" s="205" t="s">
        <v>410</v>
      </c>
      <c r="F30" s="205" t="s">
        <v>411</v>
      </c>
      <c r="G30" s="205" t="s">
        <v>400</v>
      </c>
      <c r="H30" s="158" t="s">
        <v>402</v>
      </c>
      <c r="I30" s="205" t="s">
        <v>506</v>
      </c>
      <c r="J30" s="205"/>
      <c r="K30" s="205"/>
      <c r="N30" s="205" t="s">
        <v>407</v>
      </c>
    </row>
    <row r="31" spans="5:13" ht="12.75">
      <c r="E31" s="205" t="s">
        <v>406</v>
      </c>
      <c r="F31" s="205"/>
      <c r="G31" s="205" t="s">
        <v>400</v>
      </c>
      <c r="H31" s="205" t="s">
        <v>403</v>
      </c>
      <c r="I31" s="205"/>
      <c r="K31" s="205"/>
      <c r="L31" s="205"/>
      <c r="M31" s="205"/>
    </row>
    <row r="32" ht="22.5" customHeight="1">
      <c r="B32" s="159"/>
    </row>
    <row r="55" ht="15.75" customHeight="1"/>
  </sheetData>
  <sheetProtection/>
  <mergeCells count="4">
    <mergeCell ref="A1:O1"/>
    <mergeCell ref="N4:O4"/>
    <mergeCell ref="A3:C3"/>
    <mergeCell ref="A4:C4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5" sqref="A5:C5"/>
    </sheetView>
  </sheetViews>
  <sheetFormatPr defaultColWidth="8.00390625" defaultRowHeight="12.75"/>
  <cols>
    <col min="1" max="1" width="5.8515625" style="68" customWidth="1"/>
    <col min="2" max="2" width="42.57421875" style="65" customWidth="1"/>
    <col min="3" max="4" width="11.00390625" style="65" customWidth="1"/>
    <col min="5" max="5" width="13.00390625" style="65" customWidth="1"/>
    <col min="6" max="7" width="11.00390625" style="65" customWidth="1"/>
    <col min="8" max="8" width="14.7109375" style="65" customWidth="1"/>
    <col min="9" max="9" width="2.8515625" style="65" customWidth="1"/>
    <col min="10" max="16384" width="8.00390625" style="65" customWidth="1"/>
  </cols>
  <sheetData>
    <row r="2" spans="1:8" ht="39.75" customHeight="1">
      <c r="A2" s="448" t="s">
        <v>316</v>
      </c>
      <c r="B2" s="448"/>
      <c r="C2" s="448"/>
      <c r="D2" s="448"/>
      <c r="E2" s="448"/>
      <c r="F2" s="448"/>
      <c r="G2" s="448"/>
      <c r="H2" s="448"/>
    </row>
    <row r="3" spans="1:8" ht="12.75" customHeight="1">
      <c r="A3" s="276"/>
      <c r="B3" s="276"/>
      <c r="C3" s="276"/>
      <c r="D3" s="276"/>
      <c r="E3" s="276"/>
      <c r="F3" s="276"/>
      <c r="G3" s="276"/>
      <c r="H3" s="276"/>
    </row>
    <row r="4" spans="1:9" s="164" customFormat="1" ht="15.75" customHeight="1">
      <c r="A4" s="460" t="s">
        <v>509</v>
      </c>
      <c r="B4" s="460"/>
      <c r="C4" s="461"/>
      <c r="D4" s="218"/>
      <c r="G4" s="446"/>
      <c r="H4" s="446"/>
      <c r="I4" s="216"/>
    </row>
    <row r="5" spans="1:9" s="165" customFormat="1" ht="15.75" customHeight="1" thickBot="1">
      <c r="A5" s="444" t="s">
        <v>480</v>
      </c>
      <c r="B5" s="444"/>
      <c r="C5" s="444"/>
      <c r="D5" s="166"/>
      <c r="G5" s="445" t="s">
        <v>334</v>
      </c>
      <c r="H5" s="445"/>
      <c r="I5" s="215"/>
    </row>
    <row r="6" spans="1:8" s="160" customFormat="1" ht="26.25" customHeight="1">
      <c r="A6" s="454" t="s">
        <v>193</v>
      </c>
      <c r="B6" s="453" t="s">
        <v>307</v>
      </c>
      <c r="C6" s="457" t="s">
        <v>308</v>
      </c>
      <c r="D6" s="458" t="s">
        <v>377</v>
      </c>
      <c r="E6" s="453" t="s">
        <v>309</v>
      </c>
      <c r="F6" s="453"/>
      <c r="G6" s="453"/>
      <c r="H6" s="451" t="s">
        <v>285</v>
      </c>
    </row>
    <row r="7" spans="1:8" s="161" customFormat="1" ht="32.25" customHeight="1">
      <c r="A7" s="455"/>
      <c r="B7" s="456"/>
      <c r="C7" s="456"/>
      <c r="D7" s="459"/>
      <c r="E7" s="183" t="s">
        <v>337</v>
      </c>
      <c r="F7" s="183" t="s">
        <v>338</v>
      </c>
      <c r="G7" s="183" t="s">
        <v>356</v>
      </c>
      <c r="H7" s="452"/>
    </row>
    <row r="8" spans="1:8" s="162" customFormat="1" ht="12.75" customHeight="1">
      <c r="A8" s="163" t="s">
        <v>93</v>
      </c>
      <c r="B8" s="184" t="s">
        <v>94</v>
      </c>
      <c r="C8" s="184" t="s">
        <v>95</v>
      </c>
      <c r="D8" s="184" t="s">
        <v>96</v>
      </c>
      <c r="E8" s="184" t="s">
        <v>97</v>
      </c>
      <c r="F8" s="184" t="s">
        <v>306</v>
      </c>
      <c r="G8" s="184" t="s">
        <v>310</v>
      </c>
      <c r="H8" s="185" t="s">
        <v>320</v>
      </c>
    </row>
    <row r="9" spans="1:8" ht="24.75" customHeight="1">
      <c r="A9" s="163" t="s">
        <v>115</v>
      </c>
      <c r="B9" s="186" t="s">
        <v>311</v>
      </c>
      <c r="C9" s="187"/>
      <c r="D9" s="187"/>
      <c r="E9" s="188">
        <v>0</v>
      </c>
      <c r="F9" s="188">
        <v>0</v>
      </c>
      <c r="G9" s="188">
        <v>0</v>
      </c>
      <c r="H9" s="189">
        <v>0</v>
      </c>
    </row>
    <row r="10" spans="1:9" ht="25.5" customHeight="1">
      <c r="A10" s="163" t="s">
        <v>116</v>
      </c>
      <c r="B10" s="186" t="s">
        <v>312</v>
      </c>
      <c r="C10" s="195"/>
      <c r="D10" s="168"/>
      <c r="E10" s="188">
        <v>0</v>
      </c>
      <c r="F10" s="188">
        <v>0</v>
      </c>
      <c r="G10" s="188">
        <v>0</v>
      </c>
      <c r="H10" s="189">
        <v>0</v>
      </c>
      <c r="I10" s="447"/>
    </row>
    <row r="11" spans="1:9" ht="19.5" customHeight="1">
      <c r="A11" s="163" t="s">
        <v>117</v>
      </c>
      <c r="B11" s="186" t="s">
        <v>313</v>
      </c>
      <c r="C11" s="195" t="s">
        <v>337</v>
      </c>
      <c r="D11" s="190">
        <v>0</v>
      </c>
      <c r="E11" s="191">
        <f>+E12</f>
        <v>23456875</v>
      </c>
      <c r="F11" s="191">
        <f>+F12</f>
        <v>0</v>
      </c>
      <c r="G11" s="191">
        <f>+G12</f>
        <v>0</v>
      </c>
      <c r="H11" s="192">
        <f>SUM(E11:G11)</f>
        <v>23456875</v>
      </c>
      <c r="I11" s="447"/>
    </row>
    <row r="12" spans="1:9" ht="19.5" customHeight="1">
      <c r="A12" s="163" t="s">
        <v>118</v>
      </c>
      <c r="B12" s="193" t="s">
        <v>335</v>
      </c>
      <c r="C12" s="195"/>
      <c r="D12" s="168"/>
      <c r="E12" s="169">
        <v>23456875</v>
      </c>
      <c r="F12" s="169">
        <v>0</v>
      </c>
      <c r="G12" s="169">
        <v>0</v>
      </c>
      <c r="H12" s="189">
        <f>SUM(E12:G12)</f>
        <v>23456875</v>
      </c>
      <c r="I12" s="447"/>
    </row>
    <row r="13" spans="1:9" ht="19.5" customHeight="1">
      <c r="A13" s="163" t="s">
        <v>119</v>
      </c>
      <c r="B13" s="186" t="s">
        <v>314</v>
      </c>
      <c r="C13" s="195" t="s">
        <v>337</v>
      </c>
      <c r="D13" s="190">
        <v>0</v>
      </c>
      <c r="E13" s="191">
        <f>+E14</f>
        <v>90027097</v>
      </c>
      <c r="F13" s="191">
        <f>+F14</f>
        <v>0</v>
      </c>
      <c r="G13" s="191">
        <f>+G14</f>
        <v>0</v>
      </c>
      <c r="H13" s="192">
        <f>SUM(E13:G13)</f>
        <v>90027097</v>
      </c>
      <c r="I13" s="447"/>
    </row>
    <row r="14" spans="1:9" ht="19.5" customHeight="1">
      <c r="A14" s="163" t="s">
        <v>120</v>
      </c>
      <c r="B14" s="193" t="s">
        <v>336</v>
      </c>
      <c r="C14" s="195"/>
      <c r="D14" s="168"/>
      <c r="E14" s="169">
        <v>90027097</v>
      </c>
      <c r="F14" s="169">
        <v>0</v>
      </c>
      <c r="G14" s="169">
        <v>0</v>
      </c>
      <c r="H14" s="189">
        <f>SUM(E14:G14)</f>
        <v>90027097</v>
      </c>
      <c r="I14" s="447"/>
    </row>
    <row r="15" spans="1:9" ht="19.5" customHeight="1">
      <c r="A15" s="163" t="s">
        <v>121</v>
      </c>
      <c r="B15" s="194" t="s">
        <v>315</v>
      </c>
      <c r="C15" s="190"/>
      <c r="D15" s="190"/>
      <c r="E15" s="191">
        <f>+E17+E16</f>
        <v>5476181</v>
      </c>
      <c r="F15" s="191">
        <f>+F17+F16</f>
        <v>1400000</v>
      </c>
      <c r="G15" s="191">
        <f>+G17+G16</f>
        <v>1600000</v>
      </c>
      <c r="H15" s="192">
        <f>H16+H17</f>
        <v>8476181</v>
      </c>
      <c r="I15" s="447"/>
    </row>
    <row r="16" spans="1:9" ht="19.5" customHeight="1">
      <c r="A16" s="163" t="s">
        <v>122</v>
      </c>
      <c r="B16" s="194" t="s">
        <v>318</v>
      </c>
      <c r="C16" s="195" t="s">
        <v>319</v>
      </c>
      <c r="D16" s="195">
        <v>2660000</v>
      </c>
      <c r="E16" s="196">
        <v>1200000</v>
      </c>
      <c r="F16" s="196">
        <v>1400000</v>
      </c>
      <c r="G16" s="196">
        <v>1600000</v>
      </c>
      <c r="H16" s="197">
        <f>SUM(E16:G16)</f>
        <v>4200000</v>
      </c>
      <c r="I16" s="447"/>
    </row>
    <row r="17" spans="1:9" ht="19.5" customHeight="1">
      <c r="A17" s="163" t="s">
        <v>123</v>
      </c>
      <c r="B17" s="193" t="s">
        <v>317</v>
      </c>
      <c r="C17" s="168" t="s">
        <v>337</v>
      </c>
      <c r="D17" s="168">
        <v>0</v>
      </c>
      <c r="E17" s="169">
        <v>4276181</v>
      </c>
      <c r="F17" s="169">
        <v>0</v>
      </c>
      <c r="G17" s="169">
        <v>0</v>
      </c>
      <c r="H17" s="189">
        <f>SUM(E17:G17)</f>
        <v>4276181</v>
      </c>
      <c r="I17" s="447"/>
    </row>
    <row r="18" spans="1:9" s="167" customFormat="1" ht="19.5" customHeight="1" thickBot="1">
      <c r="A18" s="449" t="s">
        <v>378</v>
      </c>
      <c r="B18" s="450"/>
      <c r="C18" s="198"/>
      <c r="D18" s="198"/>
      <c r="E18" s="199">
        <f>+E9+E10+E11+E13+E15</f>
        <v>118960153</v>
      </c>
      <c r="F18" s="199">
        <f>+F9+F10+F11+F13+F15</f>
        <v>1400000</v>
      </c>
      <c r="G18" s="199">
        <f>+G9+G10+G11+G13+G15</f>
        <v>1600000</v>
      </c>
      <c r="H18" s="200">
        <f>+H9+H10+H11+H13+H15</f>
        <v>121960153</v>
      </c>
      <c r="I18" s="447"/>
    </row>
  </sheetData>
  <sheetProtection/>
  <mergeCells count="13">
    <mergeCell ref="D6:D7"/>
    <mergeCell ref="A5:C5"/>
    <mergeCell ref="A4:C4"/>
    <mergeCell ref="G5:H5"/>
    <mergeCell ref="G4:H4"/>
    <mergeCell ref="I10:I18"/>
    <mergeCell ref="A2:H2"/>
    <mergeCell ref="A18:B18"/>
    <mergeCell ref="H6:H7"/>
    <mergeCell ref="E6:G6"/>
    <mergeCell ref="A6:A7"/>
    <mergeCell ref="B6:B7"/>
    <mergeCell ref="C6:C7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2018-07-02T08:59:27Z</cp:lastPrinted>
  <dcterms:created xsi:type="dcterms:W3CDTF">2014-10-28T13:28:45Z</dcterms:created>
  <dcterms:modified xsi:type="dcterms:W3CDTF">2018-07-02T08:59:31Z</dcterms:modified>
  <cp:category/>
  <cp:version/>
  <cp:contentType/>
  <cp:contentStatus/>
</cp:coreProperties>
</file>