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.1.sz.mell. " sheetId="1" r:id="rId1"/>
  </sheets>
  <externalReferences>
    <externalReference r:id="rId2"/>
  </externalReferences>
  <definedNames>
    <definedName name="_xlnm.Print_Area" localSheetId="0">'1.1.sz.mell. '!$A$1:$C$159</definedName>
  </definedNames>
  <calcPr calcId="145621"/>
</workbook>
</file>

<file path=xl/calcChain.xml><?xml version="1.0" encoding="utf-8"?>
<calcChain xmlns="http://schemas.openxmlformats.org/spreadsheetml/2006/main">
  <c r="H154" i="1" l="1"/>
  <c r="H153" i="1"/>
  <c r="H152" i="1"/>
  <c r="C152" i="1"/>
  <c r="C153" i="1" s="1"/>
  <c r="H151" i="1"/>
  <c r="C151" i="1"/>
  <c r="I151" i="1" s="1"/>
  <c r="H150" i="1"/>
  <c r="C150" i="1"/>
  <c r="I150" i="1" s="1"/>
  <c r="H149" i="1"/>
  <c r="C149" i="1"/>
  <c r="I149" i="1" s="1"/>
  <c r="H148" i="1"/>
  <c r="C148" i="1"/>
  <c r="I148" i="1" s="1"/>
  <c r="H147" i="1"/>
  <c r="C147" i="1"/>
  <c r="I147" i="1" s="1"/>
  <c r="H146" i="1"/>
  <c r="C146" i="1"/>
  <c r="I146" i="1" s="1"/>
  <c r="H145" i="1"/>
  <c r="F145" i="1"/>
  <c r="E145" i="1"/>
  <c r="D145" i="1"/>
  <c r="C145" i="1"/>
  <c r="I145" i="1" s="1"/>
  <c r="H144" i="1"/>
  <c r="C144" i="1"/>
  <c r="I144" i="1" s="1"/>
  <c r="H143" i="1"/>
  <c r="C143" i="1"/>
  <c r="I143" i="1" s="1"/>
  <c r="H142" i="1"/>
  <c r="D142" i="1"/>
  <c r="C142" i="1"/>
  <c r="I142" i="1" s="1"/>
  <c r="H141" i="1"/>
  <c r="C141" i="1"/>
  <c r="I141" i="1" s="1"/>
  <c r="I140" i="1"/>
  <c r="H140" i="1"/>
  <c r="F140" i="1"/>
  <c r="E140" i="1"/>
  <c r="D140" i="1"/>
  <c r="C140" i="1"/>
  <c r="H139" i="1"/>
  <c r="C139" i="1"/>
  <c r="I139" i="1" s="1"/>
  <c r="H138" i="1"/>
  <c r="C138" i="1"/>
  <c r="I138" i="1" s="1"/>
  <c r="H137" i="1"/>
  <c r="C137" i="1"/>
  <c r="I137" i="1" s="1"/>
  <c r="H136" i="1"/>
  <c r="C136" i="1"/>
  <c r="I136" i="1" s="1"/>
  <c r="H135" i="1"/>
  <c r="C135" i="1"/>
  <c r="I135" i="1" s="1"/>
  <c r="H134" i="1"/>
  <c r="C134" i="1"/>
  <c r="I134" i="1" s="1"/>
  <c r="H133" i="1"/>
  <c r="F133" i="1"/>
  <c r="E133" i="1"/>
  <c r="D133" i="1"/>
  <c r="C133" i="1"/>
  <c r="I133" i="1" s="1"/>
  <c r="H132" i="1"/>
  <c r="C132" i="1"/>
  <c r="I132" i="1" s="1"/>
  <c r="H131" i="1"/>
  <c r="C131" i="1"/>
  <c r="I131" i="1" s="1"/>
  <c r="H130" i="1"/>
  <c r="C130" i="1"/>
  <c r="I130" i="1" s="1"/>
  <c r="H129" i="1"/>
  <c r="F129" i="1"/>
  <c r="F153" i="1" s="1"/>
  <c r="E129" i="1"/>
  <c r="E153" i="1" s="1"/>
  <c r="D129" i="1"/>
  <c r="D153" i="1" s="1"/>
  <c r="C129" i="1"/>
  <c r="I129" i="1" s="1"/>
  <c r="H128" i="1"/>
  <c r="H127" i="1"/>
  <c r="D127" i="1"/>
  <c r="C127" i="1"/>
  <c r="I127" i="1" s="1"/>
  <c r="H126" i="1"/>
  <c r="C126" i="1"/>
  <c r="I126" i="1" s="1"/>
  <c r="H125" i="1"/>
  <c r="C125" i="1"/>
  <c r="I125" i="1" s="1"/>
  <c r="H124" i="1"/>
  <c r="C124" i="1"/>
  <c r="I124" i="1" s="1"/>
  <c r="H123" i="1"/>
  <c r="C123" i="1"/>
  <c r="I123" i="1" s="1"/>
  <c r="H122" i="1"/>
  <c r="C122" i="1"/>
  <c r="I122" i="1" s="1"/>
  <c r="H121" i="1"/>
  <c r="C121" i="1"/>
  <c r="I121" i="1" s="1"/>
  <c r="H120" i="1"/>
  <c r="C120" i="1"/>
  <c r="I120" i="1" s="1"/>
  <c r="H119" i="1"/>
  <c r="D119" i="1"/>
  <c r="C119" i="1"/>
  <c r="I119" i="1" s="1"/>
  <c r="H118" i="1"/>
  <c r="C118" i="1"/>
  <c r="I118" i="1" s="1"/>
  <c r="H117" i="1"/>
  <c r="D117" i="1"/>
  <c r="C117" i="1"/>
  <c r="I117" i="1" s="1"/>
  <c r="H116" i="1"/>
  <c r="C116" i="1"/>
  <c r="I116" i="1" s="1"/>
  <c r="H115" i="1"/>
  <c r="D115" i="1"/>
  <c r="C115" i="1" s="1"/>
  <c r="H114" i="1"/>
  <c r="F114" i="1"/>
  <c r="E114" i="1"/>
  <c r="D114" i="1"/>
  <c r="H113" i="1"/>
  <c r="D113" i="1"/>
  <c r="C113" i="1"/>
  <c r="I113" i="1" s="1"/>
  <c r="H112" i="1"/>
  <c r="D112" i="1"/>
  <c r="C112" i="1"/>
  <c r="I112" i="1" s="1"/>
  <c r="H111" i="1"/>
  <c r="F111" i="1"/>
  <c r="D111" i="1"/>
  <c r="H110" i="1"/>
  <c r="D110" i="1"/>
  <c r="C110" i="1" s="1"/>
  <c r="H109" i="1"/>
  <c r="C109" i="1"/>
  <c r="I109" i="1" s="1"/>
  <c r="H108" i="1"/>
  <c r="C108" i="1"/>
  <c r="I108" i="1" s="1"/>
  <c r="H107" i="1"/>
  <c r="C107" i="1"/>
  <c r="I107" i="1" s="1"/>
  <c r="H106" i="1"/>
  <c r="C106" i="1"/>
  <c r="I106" i="1" s="1"/>
  <c r="H105" i="1"/>
  <c r="C105" i="1"/>
  <c r="I105" i="1" s="1"/>
  <c r="H104" i="1"/>
  <c r="C104" i="1"/>
  <c r="I104" i="1" s="1"/>
  <c r="H103" i="1"/>
  <c r="C103" i="1"/>
  <c r="I103" i="1" s="1"/>
  <c r="H102" i="1"/>
  <c r="C102" i="1"/>
  <c r="I102" i="1" s="1"/>
  <c r="H101" i="1"/>
  <c r="C101" i="1"/>
  <c r="I101" i="1" s="1"/>
  <c r="H100" i="1"/>
  <c r="C100" i="1"/>
  <c r="I100" i="1" s="1"/>
  <c r="H99" i="1"/>
  <c r="C99" i="1"/>
  <c r="I99" i="1" s="1"/>
  <c r="H98" i="1"/>
  <c r="E98" i="1"/>
  <c r="D98" i="1"/>
  <c r="H97" i="1"/>
  <c r="D97" i="1"/>
  <c r="C97" i="1" s="1"/>
  <c r="I97" i="1" s="1"/>
  <c r="H96" i="1"/>
  <c r="D96" i="1"/>
  <c r="C96" i="1" s="1"/>
  <c r="H95" i="1"/>
  <c r="D95" i="1"/>
  <c r="C95" i="1"/>
  <c r="I95" i="1" s="1"/>
  <c r="H94" i="1"/>
  <c r="D94" i="1"/>
  <c r="C94" i="1"/>
  <c r="I94" i="1" s="1"/>
  <c r="H93" i="1"/>
  <c r="F93" i="1"/>
  <c r="F128" i="1" s="1"/>
  <c r="F154" i="1" s="1"/>
  <c r="E93" i="1"/>
  <c r="E128" i="1" s="1"/>
  <c r="D93" i="1"/>
  <c r="D128" i="1" s="1"/>
  <c r="D154" i="1" s="1"/>
  <c r="C91" i="1"/>
  <c r="H87" i="1"/>
  <c r="H86" i="1"/>
  <c r="H85" i="1"/>
  <c r="C85" i="1"/>
  <c r="I85" i="1" s="1"/>
  <c r="H84" i="1"/>
  <c r="C84" i="1"/>
  <c r="H83" i="1"/>
  <c r="C83" i="1"/>
  <c r="I83" i="1" s="1"/>
  <c r="H82" i="1"/>
  <c r="C82" i="1"/>
  <c r="I82" i="1" s="1"/>
  <c r="H81" i="1"/>
  <c r="C81" i="1"/>
  <c r="I81" i="1" s="1"/>
  <c r="H80" i="1"/>
  <c r="C80" i="1"/>
  <c r="I80" i="1" s="1"/>
  <c r="H79" i="1"/>
  <c r="F79" i="1"/>
  <c r="E79" i="1"/>
  <c r="D79" i="1"/>
  <c r="C79" i="1"/>
  <c r="I79" i="1" s="1"/>
  <c r="H78" i="1"/>
  <c r="C78" i="1"/>
  <c r="I78" i="1" s="1"/>
  <c r="H77" i="1"/>
  <c r="C77" i="1"/>
  <c r="I77" i="1" s="1"/>
  <c r="H76" i="1"/>
  <c r="C76" i="1"/>
  <c r="I76" i="1" s="1"/>
  <c r="H75" i="1"/>
  <c r="F75" i="1"/>
  <c r="E75" i="1"/>
  <c r="D75" i="1"/>
  <c r="H74" i="1"/>
  <c r="C74" i="1"/>
  <c r="I74" i="1" s="1"/>
  <c r="H73" i="1"/>
  <c r="C73" i="1"/>
  <c r="I73" i="1" s="1"/>
  <c r="H72" i="1"/>
  <c r="F72" i="1"/>
  <c r="E72" i="1"/>
  <c r="D72" i="1"/>
  <c r="H71" i="1"/>
  <c r="C71" i="1"/>
  <c r="I71" i="1" s="1"/>
  <c r="H70" i="1"/>
  <c r="C70" i="1"/>
  <c r="I70" i="1" s="1"/>
  <c r="H69" i="1"/>
  <c r="C69" i="1"/>
  <c r="I69" i="1" s="1"/>
  <c r="H68" i="1"/>
  <c r="C68" i="1"/>
  <c r="I68" i="1" s="1"/>
  <c r="H67" i="1"/>
  <c r="F67" i="1"/>
  <c r="E67" i="1"/>
  <c r="D67" i="1"/>
  <c r="H66" i="1"/>
  <c r="C66" i="1"/>
  <c r="I66" i="1" s="1"/>
  <c r="H65" i="1"/>
  <c r="C65" i="1"/>
  <c r="I65" i="1" s="1"/>
  <c r="H64" i="1"/>
  <c r="C64" i="1"/>
  <c r="I64" i="1" s="1"/>
  <c r="H63" i="1"/>
  <c r="F63" i="1"/>
  <c r="F86" i="1" s="1"/>
  <c r="E63" i="1"/>
  <c r="E86" i="1" s="1"/>
  <c r="D63" i="1"/>
  <c r="D86" i="1" s="1"/>
  <c r="C63" i="1"/>
  <c r="I63" i="1" s="1"/>
  <c r="H62" i="1"/>
  <c r="H61" i="1"/>
  <c r="C61" i="1"/>
  <c r="I61" i="1" s="1"/>
  <c r="H60" i="1"/>
  <c r="C60" i="1"/>
  <c r="I60" i="1" s="1"/>
  <c r="H59" i="1"/>
  <c r="C59" i="1"/>
  <c r="I59" i="1" s="1"/>
  <c r="H58" i="1"/>
  <c r="C58" i="1"/>
  <c r="I58" i="1" s="1"/>
  <c r="H57" i="1"/>
  <c r="F57" i="1"/>
  <c r="E57" i="1"/>
  <c r="D57" i="1"/>
  <c r="C57" i="1"/>
  <c r="H56" i="1"/>
  <c r="C56" i="1"/>
  <c r="I56" i="1" s="1"/>
  <c r="H55" i="1"/>
  <c r="D55" i="1"/>
  <c r="C55" i="1" s="1"/>
  <c r="I55" i="1" s="1"/>
  <c r="H54" i="1"/>
  <c r="D54" i="1"/>
  <c r="C54" i="1" s="1"/>
  <c r="H53" i="1"/>
  <c r="C53" i="1"/>
  <c r="I53" i="1" s="1"/>
  <c r="H52" i="1"/>
  <c r="F52" i="1"/>
  <c r="E52" i="1"/>
  <c r="H51" i="1"/>
  <c r="C51" i="1"/>
  <c r="I51" i="1" s="1"/>
  <c r="H50" i="1"/>
  <c r="C50" i="1"/>
  <c r="I50" i="1" s="1"/>
  <c r="H49" i="1"/>
  <c r="I49" i="1" s="1"/>
  <c r="H48" i="1"/>
  <c r="D48" i="1"/>
  <c r="C48" i="1"/>
  <c r="I48" i="1" s="1"/>
  <c r="H47" i="1"/>
  <c r="C47" i="1"/>
  <c r="I47" i="1" s="1"/>
  <c r="H46" i="1"/>
  <c r="F46" i="1"/>
  <c r="E46" i="1"/>
  <c r="D46" i="1"/>
  <c r="H45" i="1"/>
  <c r="D45" i="1"/>
  <c r="C45" i="1" s="1"/>
  <c r="I45" i="1" s="1"/>
  <c r="H44" i="1"/>
  <c r="D44" i="1"/>
  <c r="C44" i="1" s="1"/>
  <c r="I44" i="1" s="1"/>
  <c r="H43" i="1"/>
  <c r="C43" i="1"/>
  <c r="I43" i="1" s="1"/>
  <c r="H42" i="1"/>
  <c r="C42" i="1"/>
  <c r="I42" i="1" s="1"/>
  <c r="H41" i="1"/>
  <c r="C41" i="1"/>
  <c r="I41" i="1" s="1"/>
  <c r="H40" i="1"/>
  <c r="D40" i="1"/>
  <c r="C40" i="1"/>
  <c r="I40" i="1" s="1"/>
  <c r="H39" i="1"/>
  <c r="C39" i="1"/>
  <c r="I39" i="1" s="1"/>
  <c r="H38" i="1"/>
  <c r="D38" i="1"/>
  <c r="C38" i="1" s="1"/>
  <c r="I38" i="1" s="1"/>
  <c r="H37" i="1"/>
  <c r="D37" i="1"/>
  <c r="C37" i="1" s="1"/>
  <c r="I37" i="1" s="1"/>
  <c r="H36" i="1"/>
  <c r="D36" i="1"/>
  <c r="C36" i="1" s="1"/>
  <c r="I36" i="1" s="1"/>
  <c r="H35" i="1"/>
  <c r="D35" i="1"/>
  <c r="C35" i="1" s="1"/>
  <c r="H34" i="1"/>
  <c r="F34" i="1"/>
  <c r="E34" i="1"/>
  <c r="D34" i="1"/>
  <c r="H33" i="1"/>
  <c r="C33" i="1"/>
  <c r="I33" i="1" s="1"/>
  <c r="H32" i="1"/>
  <c r="C32" i="1"/>
  <c r="I32" i="1" s="1"/>
  <c r="H31" i="1"/>
  <c r="D31" i="1"/>
  <c r="C31" i="1" s="1"/>
  <c r="I31" i="1" s="1"/>
  <c r="H30" i="1"/>
  <c r="C30" i="1"/>
  <c r="I30" i="1" s="1"/>
  <c r="H29" i="1"/>
  <c r="C29" i="1"/>
  <c r="I29" i="1" s="1"/>
  <c r="H28" i="1"/>
  <c r="D28" i="1"/>
  <c r="C28" i="1" s="1"/>
  <c r="H27" i="1"/>
  <c r="D27" i="1"/>
  <c r="H26" i="1"/>
  <c r="F26" i="1"/>
  <c r="E26" i="1"/>
  <c r="D26" i="1"/>
  <c r="H25" i="1"/>
  <c r="C25" i="1"/>
  <c r="I25" i="1" s="1"/>
  <c r="H24" i="1"/>
  <c r="D24" i="1"/>
  <c r="C24" i="1"/>
  <c r="I24" i="1" s="1"/>
  <c r="H23" i="1"/>
  <c r="C23" i="1"/>
  <c r="I23" i="1" s="1"/>
  <c r="H22" i="1"/>
  <c r="C22" i="1"/>
  <c r="I22" i="1" s="1"/>
  <c r="H21" i="1"/>
  <c r="C21" i="1"/>
  <c r="I21" i="1" s="1"/>
  <c r="H20" i="1"/>
  <c r="C20" i="1"/>
  <c r="I20" i="1" s="1"/>
  <c r="H19" i="1"/>
  <c r="F19" i="1"/>
  <c r="E19" i="1"/>
  <c r="D19" i="1"/>
  <c r="C19" i="1"/>
  <c r="I19" i="1" s="1"/>
  <c r="H18" i="1"/>
  <c r="C18" i="1"/>
  <c r="I18" i="1" s="1"/>
  <c r="H17" i="1"/>
  <c r="D17" i="1"/>
  <c r="C17" i="1" s="1"/>
  <c r="I17" i="1" s="1"/>
  <c r="H16" i="1"/>
  <c r="C16" i="1"/>
  <c r="I16" i="1" s="1"/>
  <c r="H15" i="1"/>
  <c r="C15" i="1"/>
  <c r="I15" i="1" s="1"/>
  <c r="H14" i="1"/>
  <c r="C14" i="1"/>
  <c r="C12" i="1" s="1"/>
  <c r="I12" i="1" s="1"/>
  <c r="H13" i="1"/>
  <c r="C13" i="1"/>
  <c r="I13" i="1" s="1"/>
  <c r="H12" i="1"/>
  <c r="F12" i="1"/>
  <c r="E12" i="1"/>
  <c r="D12" i="1"/>
  <c r="H11" i="1"/>
  <c r="C11" i="1"/>
  <c r="I11" i="1" s="1"/>
  <c r="H10" i="1"/>
  <c r="D10" i="1"/>
  <c r="C10" i="1"/>
  <c r="I10" i="1" s="1"/>
  <c r="H9" i="1"/>
  <c r="D9" i="1"/>
  <c r="C9" i="1"/>
  <c r="I9" i="1" s="1"/>
  <c r="H8" i="1"/>
  <c r="D8" i="1"/>
  <c r="C8" i="1"/>
  <c r="I8" i="1" s="1"/>
  <c r="H7" i="1"/>
  <c r="C7" i="1"/>
  <c r="I7" i="1" s="1"/>
  <c r="H6" i="1"/>
  <c r="C6" i="1"/>
  <c r="I6" i="1" s="1"/>
  <c r="H5" i="1"/>
  <c r="F5" i="1"/>
  <c r="E5" i="1"/>
  <c r="E62" i="1" s="1"/>
  <c r="E87" i="1" s="1"/>
  <c r="D5" i="1"/>
  <c r="C5" i="1"/>
  <c r="I5" i="1" s="1"/>
  <c r="C27" i="1" l="1"/>
  <c r="I28" i="1"/>
  <c r="C34" i="1"/>
  <c r="I34" i="1" s="1"/>
  <c r="I35" i="1"/>
  <c r="I14" i="1"/>
  <c r="I96" i="1"/>
  <c r="C114" i="1"/>
  <c r="I115" i="1"/>
  <c r="I153" i="1"/>
  <c r="F62" i="1"/>
  <c r="F87" i="1" s="1"/>
  <c r="I54" i="1"/>
  <c r="C52" i="1"/>
  <c r="I52" i="1" s="1"/>
  <c r="E154" i="1"/>
  <c r="I110" i="1"/>
  <c r="C98" i="1"/>
  <c r="I98" i="1" s="1"/>
  <c r="C46" i="1"/>
  <c r="I46" i="1" s="1"/>
  <c r="D52" i="1"/>
  <c r="D62" i="1" s="1"/>
  <c r="D87" i="1" s="1"/>
  <c r="I57" i="1"/>
  <c r="C67" i="1"/>
  <c r="I67" i="1" s="1"/>
  <c r="C72" i="1"/>
  <c r="I72" i="1" s="1"/>
  <c r="C75" i="1"/>
  <c r="I75" i="1" s="1"/>
  <c r="C111" i="1"/>
  <c r="I111" i="1" s="1"/>
  <c r="I152" i="1"/>
  <c r="I84" i="1"/>
  <c r="I114" i="1" l="1"/>
  <c r="C86" i="1"/>
  <c r="C93" i="1"/>
  <c r="I93" i="1" s="1"/>
  <c r="C26" i="1"/>
  <c r="I26" i="1" s="1"/>
  <c r="I27" i="1"/>
  <c r="C159" i="1" l="1"/>
  <c r="I86" i="1"/>
  <c r="C128" i="1"/>
  <c r="C62" i="1"/>
  <c r="C158" i="1" l="1"/>
  <c r="C87" i="1"/>
  <c r="I87" i="1" s="1"/>
  <c r="I62" i="1"/>
  <c r="I128" i="1"/>
  <c r="C154" i="1"/>
  <c r="H159" i="1" l="1"/>
  <c r="I154" i="1"/>
</calcChain>
</file>

<file path=xl/sharedStrings.xml><?xml version="1.0" encoding="utf-8"?>
<sst xmlns="http://schemas.openxmlformats.org/spreadsheetml/2006/main" count="316" uniqueCount="274">
  <si>
    <t>B E V É T E L E K</t>
  </si>
  <si>
    <t>1. sz. táblázat</t>
  </si>
  <si>
    <t>Forintban</t>
  </si>
  <si>
    <t>Sor-
szám</t>
  </si>
  <si>
    <t>Bevételi jogcím</t>
  </si>
  <si>
    <t>2017.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</si>
  <si>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</si>
  <si>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</si>
  <si>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</si>
  <si>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</si>
  <si>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</si>
  <si>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</si>
  <si>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</si>
  <si>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</si>
  <si>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</si>
  <si>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</si>
  <si>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</si>
  <si>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</si>
  <si>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</si>
  <si>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</si>
  <si>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</si>
  <si>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</si>
  <si>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</si>
  <si>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</si>
  <si>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</si>
  <si>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</si>
  <si>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</si>
  <si>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</si>
  <si>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</si>
  <si>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</si>
  <si>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</si>
  <si>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</si>
  <si>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</si>
  <si>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</si>
  <si>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</si>
  <si>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</si>
  <si>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</si>
  <si>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</si>
  <si>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</si>
  <si>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</si>
  <si>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</si>
  <si>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</si>
  <si>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</si>
  <si>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</si>
  <si>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</si>
  <si>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</si>
  <si>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</si>
  <si>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</si>
  <si>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</si>
  <si>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</si>
  <si>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</si>
  <si>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</si>
  <si>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</si>
  <si>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</si>
  <si>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</si>
  <si>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</si>
  <si>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</si>
  <si>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</si>
  <si>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</si>
  <si>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</si>
  <si>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</si>
  <si>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 xml:space="preserve">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</si>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</sst>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6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12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</cellStyleXfs>
  <cellXfs count="136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3" fontId="3" fillId="0" borderId="0" xfId="1" applyNumberFormat="1" applyFont="1" applyFill="1" applyProtection="1"/>
    <xf numFmtId="0" fontId="3" fillId="0" borderId="0" xfId="1" applyFont="1" applyFill="1" applyProtection="1"/>
    <xf numFmtId="164" fontId="4" fillId="0" borderId="1" xfId="1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1" fillId="0" borderId="0" xfId="1" applyFont="1" applyFill="1" applyProtection="1"/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9" fillId="0" borderId="0" xfId="1" applyFont="1" applyFill="1" applyProtection="1"/>
    <xf numFmtId="0" fontId="8" fillId="0" borderId="2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8" xfId="1" applyNumberFormat="1" applyFont="1" applyFill="1" applyBorder="1" applyAlignment="1" applyProtection="1">
      <alignment horizontal="right" vertical="center" wrapText="1" indent="1"/>
    </xf>
    <xf numFmtId="0" fontId="10" fillId="0" borderId="0" xfId="1" applyFont="1" applyFill="1" applyProtection="1"/>
    <xf numFmtId="3" fontId="11" fillId="0" borderId="9" xfId="1" applyNumberFormat="1" applyFont="1" applyFill="1" applyBorder="1" applyProtection="1"/>
    <xf numFmtId="49" fontId="9" fillId="0" borderId="10" xfId="1" applyNumberFormat="1" applyFont="1" applyFill="1" applyBorder="1" applyAlignment="1" applyProtection="1">
      <alignment horizontal="left" vertical="center" wrapText="1" indent="1"/>
    </xf>
    <xf numFmtId="0" fontId="12" fillId="0" borderId="11" xfId="0" applyFont="1" applyBorder="1" applyAlignment="1" applyProtection="1">
      <alignment horizontal="left" wrapText="1" indent="1"/>
    </xf>
    <xf numFmtId="164" fontId="3" fillId="0" borderId="12" xfId="1" applyNumberFormat="1" applyFont="1" applyFill="1" applyBorder="1" applyAlignment="1" applyProtection="1">
      <alignment horizontal="right" vertical="center" wrapText="1" indent="1"/>
    </xf>
    <xf numFmtId="164" fontId="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0" xfId="1" applyNumberFormat="1" applyFont="1" applyFill="1" applyBorder="1" applyProtection="1"/>
    <xf numFmtId="3" fontId="3" fillId="0" borderId="12" xfId="1" applyNumberFormat="1" applyFont="1" applyFill="1" applyBorder="1" applyProtection="1"/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2" fillId="0" borderId="15" xfId="0" applyFont="1" applyBorder="1" applyAlignment="1" applyProtection="1">
      <alignment horizontal="left" wrapText="1" indent="1"/>
    </xf>
    <xf numFmtId="164" fontId="3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4" xfId="1" applyNumberFormat="1" applyFont="1" applyFill="1" applyBorder="1" applyProtection="1"/>
    <xf numFmtId="3" fontId="3" fillId="0" borderId="16" xfId="1" applyNumberFormat="1" applyFont="1" applyFill="1" applyBorder="1" applyProtection="1"/>
    <xf numFmtId="164" fontId="13" fillId="0" borderId="16" xfId="1" applyNumberFormat="1" applyFont="1" applyFill="1" applyBorder="1" applyAlignment="1" applyProtection="1">
      <alignment horizontal="right" vertical="center" wrapText="1" indent="1"/>
    </xf>
    <xf numFmtId="0" fontId="12" fillId="0" borderId="15" xfId="0" applyFont="1" applyBorder="1" applyAlignment="1" applyProtection="1">
      <alignment horizontal="left" vertical="center" wrapText="1" indent="1"/>
    </xf>
    <xf numFmtId="49" fontId="9" fillId="0" borderId="18" xfId="1" applyNumberFormat="1" applyFont="1" applyFill="1" applyBorder="1" applyAlignment="1" applyProtection="1">
      <alignment horizontal="left" vertical="center" wrapText="1" indent="1"/>
    </xf>
    <xf numFmtId="0" fontId="12" fillId="0" borderId="19" xfId="0" applyFont="1" applyBorder="1" applyAlignment="1" applyProtection="1">
      <alignment horizontal="left" vertical="center" wrapText="1" indent="1"/>
    </xf>
    <xf numFmtId="164" fontId="3" fillId="0" borderId="20" xfId="1" applyNumberFormat="1" applyFont="1" applyFill="1" applyBorder="1" applyAlignment="1" applyProtection="1">
      <alignment horizontal="right" vertical="center" wrapText="1" indent="1"/>
    </xf>
    <xf numFmtId="164" fontId="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8" xfId="1" applyNumberFormat="1" applyFont="1" applyFill="1" applyBorder="1" applyProtection="1"/>
    <xf numFmtId="3" fontId="3" fillId="0" borderId="20" xfId="1" applyNumberFormat="1" applyFont="1" applyFill="1" applyBorder="1" applyProtection="1"/>
    <xf numFmtId="0" fontId="14" fillId="0" borderId="3" xfId="0" applyFont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1" applyNumberFormat="1" applyFont="1" applyFill="1" applyBorder="1" applyAlignment="1" applyProtection="1">
      <alignment horizontal="right" vertical="center" wrapText="1" indent="1"/>
    </xf>
    <xf numFmtId="164" fontId="15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16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9" xfId="0" applyFont="1" applyBorder="1" applyAlignment="1" applyProtection="1">
      <alignment horizontal="left" wrapText="1" indent="1"/>
    </xf>
    <xf numFmtId="164" fontId="11" fillId="0" borderId="8" xfId="1" applyNumberFormat="1" applyFont="1" applyFill="1" applyBorder="1" applyAlignment="1" applyProtection="1">
      <alignment horizontal="right" vertical="center" wrapText="1" indent="1"/>
    </xf>
    <xf numFmtId="164" fontId="9" fillId="0" borderId="13" xfId="1" applyNumberFormat="1" applyFont="1" applyFill="1" applyBorder="1" applyAlignment="1" applyProtection="1">
      <alignment horizontal="right" vertical="center" wrapText="1" indent="1"/>
    </xf>
    <xf numFmtId="164" fontId="13" fillId="0" borderId="12" xfId="1" applyNumberFormat="1" applyFont="1" applyFill="1" applyBorder="1" applyAlignment="1" applyProtection="1">
      <alignment horizontal="right" vertical="center" wrapText="1" indent="1"/>
    </xf>
    <xf numFmtId="164" fontId="13" fillId="0" borderId="20" xfId="1" applyNumberFormat="1" applyFont="1" applyFill="1" applyBorder="1" applyAlignment="1" applyProtection="1">
      <alignment horizontal="right" vertical="center" wrapText="1" indent="1"/>
    </xf>
    <xf numFmtId="164" fontId="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" xfId="1" applyFont="1" applyFill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vertical="center" wrapText="1"/>
    </xf>
    <xf numFmtId="164" fontId="11" fillId="0" borderId="22" xfId="1" applyNumberFormat="1" applyFont="1" applyFill="1" applyBorder="1" applyAlignment="1" applyProtection="1">
      <alignment horizontal="right" vertical="center" wrapText="1" indent="1"/>
    </xf>
    <xf numFmtId="0" fontId="12" fillId="0" borderId="19" xfId="0" applyFont="1" applyBorder="1" applyAlignment="1" applyProtection="1">
      <alignment vertical="center" wrapText="1"/>
    </xf>
    <xf numFmtId="164" fontId="3" fillId="0" borderId="4" xfId="1" applyNumberFormat="1" applyFont="1" applyFill="1" applyBorder="1" applyAlignment="1" applyProtection="1">
      <alignment horizontal="right" vertical="center" wrapText="1" indent="1"/>
    </xf>
    <xf numFmtId="0" fontId="12" fillId="0" borderId="10" xfId="0" applyFont="1" applyBorder="1" applyAlignment="1" applyProtection="1">
      <alignment wrapText="1"/>
    </xf>
    <xf numFmtId="0" fontId="12" fillId="0" borderId="14" xfId="0" applyFont="1" applyBorder="1" applyAlignment="1" applyProtection="1">
      <alignment wrapText="1"/>
    </xf>
    <xf numFmtId="0" fontId="12" fillId="0" borderId="18" xfId="0" applyFont="1" applyBorder="1" applyAlignment="1" applyProtection="1">
      <alignment wrapText="1"/>
    </xf>
    <xf numFmtId="164" fontId="11" fillId="0" borderId="7" xfId="1" applyNumberFormat="1" applyFont="1" applyFill="1" applyBorder="1" applyAlignment="1" applyProtection="1">
      <alignment horizontal="right" vertical="center" wrapText="1" indent="1"/>
    </xf>
    <xf numFmtId="164" fontId="8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3" xfId="0" applyFont="1" applyBorder="1" applyAlignment="1" applyProtection="1">
      <alignment wrapText="1"/>
    </xf>
    <xf numFmtId="0" fontId="14" fillId="0" borderId="23" xfId="0" applyFont="1" applyBorder="1" applyAlignment="1" applyProtection="1">
      <alignment vertical="center" wrapText="1"/>
    </xf>
    <xf numFmtId="0" fontId="14" fillId="0" borderId="24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17" fillId="0" borderId="0" xfId="1" applyNumberFormat="1" applyFont="1" applyFill="1" applyBorder="1" applyAlignment="1" applyProtection="1">
      <alignment horizontal="right" vertical="center" wrapText="1" indent="1"/>
    </xf>
    <xf numFmtId="164" fontId="4" fillId="0" borderId="1" xfId="1" applyNumberFormat="1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vertical="center" wrapText="1"/>
    </xf>
    <xf numFmtId="164" fontId="8" fillId="0" borderId="4" xfId="1" applyNumberFormat="1" applyFont="1" applyFill="1" applyBorder="1" applyAlignment="1" applyProtection="1">
      <alignment horizontal="center" vertical="center" wrapText="1"/>
    </xf>
    <xf numFmtId="164" fontId="8" fillId="0" borderId="25" xfId="1" applyNumberFormat="1" applyFont="1" applyFill="1" applyBorder="1" applyAlignment="1" applyProtection="1">
      <alignment horizontal="right" vertical="center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164" fontId="8" fillId="0" borderId="9" xfId="1" applyNumberFormat="1" applyFont="1" applyFill="1" applyBorder="1" applyAlignment="1" applyProtection="1">
      <alignment horizontal="right" vertical="center" wrapText="1" indent="1"/>
    </xf>
    <xf numFmtId="49" fontId="9" fillId="0" borderId="26" xfId="1" applyNumberFormat="1" applyFont="1" applyFill="1" applyBorder="1" applyAlignment="1" applyProtection="1">
      <alignment horizontal="left" vertical="center" wrapText="1" indent="1"/>
    </xf>
    <xf numFmtId="0" fontId="9" fillId="0" borderId="27" xfId="1" applyFont="1" applyFill="1" applyBorder="1" applyAlignment="1" applyProtection="1">
      <alignment horizontal="left" vertical="center" wrapText="1" indent="1"/>
    </xf>
    <xf numFmtId="164" fontId="13" fillId="0" borderId="12" xfId="1" applyNumberFormat="1" applyFont="1" applyFill="1" applyBorder="1" applyAlignment="1" applyProtection="1">
      <alignment horizontal="center" vertical="center" wrapText="1"/>
    </xf>
    <xf numFmtId="164" fontId="3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1" applyFont="1" applyFill="1" applyBorder="1" applyAlignment="1" applyProtection="1">
      <alignment horizontal="left" vertical="center" wrapText="1" indent="1"/>
    </xf>
    <xf numFmtId="164" fontId="13" fillId="0" borderId="16" xfId="1" applyNumberFormat="1" applyFont="1" applyFill="1" applyBorder="1" applyAlignment="1" applyProtection="1">
      <alignment horizontal="center" vertical="center" wrapText="1"/>
    </xf>
    <xf numFmtId="164" fontId="15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0" xfId="1" applyFont="1" applyFill="1" applyBorder="1" applyAlignment="1" applyProtection="1">
      <alignment horizontal="left" vertical="center" wrapText="1" indent="1"/>
    </xf>
    <xf numFmtId="164" fontId="3" fillId="0" borderId="16" xfId="1" applyNumberFormat="1" applyFont="1" applyFill="1" applyBorder="1" applyAlignment="1" applyProtection="1">
      <alignment horizontal="center" vertical="center" wrapText="1"/>
    </xf>
    <xf numFmtId="0" fontId="9" fillId="0" borderId="19" xfId="1" applyFont="1" applyFill="1" applyBorder="1" applyAlignment="1" applyProtection="1">
      <alignment horizontal="left" vertical="center" wrapText="1" indent="6"/>
    </xf>
    <xf numFmtId="0" fontId="9" fillId="0" borderId="15" xfId="1" applyFont="1" applyFill="1" applyBorder="1" applyAlignment="1" applyProtection="1">
      <alignment horizontal="left" indent="6"/>
    </xf>
    <xf numFmtId="0" fontId="9" fillId="0" borderId="15" xfId="1" applyFont="1" applyFill="1" applyBorder="1" applyAlignment="1" applyProtection="1">
      <alignment horizontal="left" vertical="center" wrapText="1" indent="6"/>
    </xf>
    <xf numFmtId="49" fontId="9" fillId="0" borderId="31" xfId="1" applyNumberFormat="1" applyFont="1" applyFill="1" applyBorder="1" applyAlignment="1" applyProtection="1">
      <alignment horizontal="left" vertical="center" wrapText="1" indent="1"/>
    </xf>
    <xf numFmtId="49" fontId="9" fillId="0" borderId="32" xfId="1" applyNumberFormat="1" applyFont="1" applyFill="1" applyBorder="1" applyAlignment="1" applyProtection="1">
      <alignment horizontal="left" vertical="center" wrapText="1" indent="1"/>
    </xf>
    <xf numFmtId="0" fontId="9" fillId="0" borderId="33" xfId="1" applyFont="1" applyFill="1" applyBorder="1" applyAlignment="1" applyProtection="1">
      <alignment horizontal="left" vertical="center" wrapText="1" indent="7"/>
    </xf>
    <xf numFmtId="164" fontId="13" fillId="0" borderId="20" xfId="1" applyNumberFormat="1" applyFont="1" applyFill="1" applyBorder="1" applyAlignment="1" applyProtection="1">
      <alignment horizontal="center" vertical="center" wrapText="1"/>
    </xf>
    <xf numFmtId="164" fontId="3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3" xfId="1" applyFont="1" applyFill="1" applyBorder="1" applyAlignment="1" applyProtection="1">
      <alignment horizontal="left" vertical="center" wrapText="1" indent="1"/>
    </xf>
    <xf numFmtId="0" fontId="8" fillId="0" borderId="24" xfId="1" applyFont="1" applyFill="1" applyBorder="1" applyAlignment="1" applyProtection="1">
      <alignment vertical="center" wrapText="1"/>
    </xf>
    <xf numFmtId="164" fontId="8" fillId="0" borderId="22" xfId="1" applyNumberFormat="1" applyFont="1" applyFill="1" applyBorder="1" applyAlignment="1" applyProtection="1">
      <alignment horizontal="right" vertical="center" wrapText="1" indent="1"/>
    </xf>
    <xf numFmtId="164" fontId="15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9" xfId="1" applyFont="1" applyFill="1" applyBorder="1" applyAlignment="1" applyProtection="1">
      <alignment horizontal="left" vertical="center" wrapText="1" indent="1"/>
    </xf>
    <xf numFmtId="164" fontId="16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horizontal="left" vertical="center" wrapText="1" indent="6"/>
    </xf>
    <xf numFmtId="0" fontId="11" fillId="0" borderId="3" xfId="1" applyFont="1" applyFill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center" vertical="center" wrapText="1"/>
    </xf>
    <xf numFmtId="164" fontId="9" fillId="0" borderId="16" xfId="1" applyNumberFormat="1" applyFont="1" applyFill="1" applyBorder="1" applyAlignment="1" applyProtection="1">
      <alignment horizontal="center" vertical="center" wrapText="1"/>
    </xf>
    <xf numFmtId="164" fontId="9" fillId="0" borderId="20" xfId="1" applyNumberFormat="1" applyFont="1" applyFill="1" applyBorder="1" applyAlignment="1" applyProtection="1">
      <alignment horizontal="center" vertical="center" wrapText="1"/>
    </xf>
    <xf numFmtId="164" fontId="9" fillId="0" borderId="4" xfId="1" applyNumberFormat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14" fillId="0" borderId="8" xfId="0" applyNumberFormat="1" applyFont="1" applyBorder="1" applyAlignment="1" applyProtection="1">
      <alignment horizontal="right" vertical="center" wrapText="1" indent="1"/>
    </xf>
    <xf numFmtId="164" fontId="14" fillId="0" borderId="4" xfId="0" applyNumberFormat="1" applyFont="1" applyBorder="1" applyAlignment="1" applyProtection="1">
      <alignment horizontal="right" vertical="center" wrapText="1" indent="1"/>
    </xf>
    <xf numFmtId="164" fontId="14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8" xfId="0" quotePrefix="1" applyNumberFormat="1" applyFont="1" applyBorder="1" applyAlignment="1" applyProtection="1">
      <alignment horizontal="right" vertical="center" wrapText="1" indent="1"/>
    </xf>
    <xf numFmtId="164" fontId="18" fillId="0" borderId="4" xfId="0" quotePrefix="1" applyNumberFormat="1" applyFont="1" applyBorder="1" applyAlignment="1" applyProtection="1">
      <alignment horizontal="right" vertical="center" wrapText="1" indent="1"/>
    </xf>
    <xf numFmtId="0" fontId="17" fillId="0" borderId="0" xfId="1" applyFont="1" applyFill="1" applyProtection="1"/>
    <xf numFmtId="0" fontId="14" fillId="0" borderId="23" xfId="0" applyFont="1" applyBorder="1" applyAlignment="1" applyProtection="1">
      <alignment horizontal="left" vertical="center" wrapText="1" indent="1"/>
    </xf>
    <xf numFmtId="0" fontId="18" fillId="0" borderId="24" xfId="0" applyFont="1" applyBorder="1" applyAlignment="1" applyProtection="1">
      <alignment horizontal="left" vertical="center" wrapText="1" indent="1"/>
    </xf>
    <xf numFmtId="0" fontId="19" fillId="0" borderId="0" xfId="1" applyFont="1" applyFill="1" applyAlignment="1" applyProtection="1">
      <alignment horizontal="right" vertical="center" indent="1"/>
    </xf>
    <xf numFmtId="0" fontId="17" fillId="0" borderId="0" xfId="1" applyFont="1" applyFill="1" applyAlignment="1" applyProtection="1">
      <alignment horizontal="center"/>
    </xf>
    <xf numFmtId="0" fontId="8" fillId="0" borderId="3" xfId="1" applyFont="1" applyFill="1" applyBorder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7/Rendelet%20m&#243;dos&#237;t&#225;s/2017.11.30/30_2017.(XI.30)&#214;nk.rend.-k&#246;lts%20m&#243;d.%20mell&#233;klete%20-2017.11.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8. sz. mell. "/>
      <sheetName val="9.1. sz. mell."/>
      <sheetName val="9.1.1. sz. mell. "/>
      <sheetName val="9.1.2. sz. mell."/>
      <sheetName val="9.2. sz. mell. 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engedélyezett álláshelyek "/>
      <sheetName val="tartalék"/>
      <sheetName val="1.sz tájékoztató t "/>
      <sheetName val="4.sz tájékoztató t "/>
      <sheetName val="5.sz. tájékoztató"/>
      <sheetName val="6.sz tájékoztató t "/>
      <sheetName val="feladatos Önk. "/>
    </sheetNames>
    <sheetDataSet>
      <sheetData sheetId="0"/>
      <sheetData sheetId="1">
        <row r="5">
          <cell r="C5">
            <v>1074943262</v>
          </cell>
        </row>
        <row r="6">
          <cell r="C6">
            <v>228418282</v>
          </cell>
        </row>
        <row r="7">
          <cell r="C7">
            <v>219569080</v>
          </cell>
        </row>
        <row r="8">
          <cell r="C8">
            <v>400844435</v>
          </cell>
        </row>
        <row r="9">
          <cell r="C9">
            <v>31342308</v>
          </cell>
        </row>
        <row r="10">
          <cell r="C10">
            <v>194769157</v>
          </cell>
        </row>
        <row r="11">
          <cell r="C11">
            <v>0</v>
          </cell>
        </row>
        <row r="12">
          <cell r="C12">
            <v>176167657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176167657</v>
          </cell>
        </row>
        <row r="18">
          <cell r="C18">
            <v>0</v>
          </cell>
        </row>
        <row r="19">
          <cell r="C19">
            <v>327444368</v>
          </cell>
        </row>
        <row r="20">
          <cell r="C20">
            <v>15690532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311753836</v>
          </cell>
        </row>
        <row r="25">
          <cell r="C25">
            <v>309470679</v>
          </cell>
        </row>
        <row r="26">
          <cell r="C26">
            <v>356490000</v>
          </cell>
        </row>
        <row r="27">
          <cell r="C27">
            <v>317830000</v>
          </cell>
        </row>
        <row r="28">
          <cell r="C28">
            <v>78990000</v>
          </cell>
        </row>
        <row r="29">
          <cell r="C29">
            <v>238840000</v>
          </cell>
        </row>
        <row r="30">
          <cell r="C30">
            <v>0</v>
          </cell>
        </row>
        <row r="31">
          <cell r="C31">
            <v>27000000</v>
          </cell>
        </row>
        <row r="32">
          <cell r="C32">
            <v>60000</v>
          </cell>
        </row>
        <row r="33">
          <cell r="C33">
            <v>11600000</v>
          </cell>
        </row>
        <row r="34">
          <cell r="C34">
            <v>231492885</v>
          </cell>
        </row>
        <row r="35">
          <cell r="C35">
            <v>6301172</v>
          </cell>
        </row>
        <row r="36">
          <cell r="C36">
            <v>51660975</v>
          </cell>
        </row>
        <row r="37">
          <cell r="C37">
            <v>82521218</v>
          </cell>
        </row>
        <row r="38">
          <cell r="C38">
            <v>430000</v>
          </cell>
        </row>
        <row r="39">
          <cell r="C39">
            <v>22018748</v>
          </cell>
        </row>
        <row r="40">
          <cell r="C40">
            <v>44142077</v>
          </cell>
        </row>
        <row r="41">
          <cell r="C41">
            <v>21672793</v>
          </cell>
        </row>
        <row r="42">
          <cell r="C42">
            <v>10000</v>
          </cell>
        </row>
        <row r="43">
          <cell r="C43">
            <v>0</v>
          </cell>
        </row>
        <row r="44">
          <cell r="C44">
            <v>500000</v>
          </cell>
        </row>
        <row r="45">
          <cell r="C45">
            <v>2235902</v>
          </cell>
        </row>
        <row r="46">
          <cell r="C46">
            <v>47179000</v>
          </cell>
        </row>
        <row r="47">
          <cell r="C47">
            <v>0</v>
          </cell>
        </row>
        <row r="48">
          <cell r="C48">
            <v>47179000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22678433</v>
          </cell>
        </row>
        <row r="53">
          <cell r="C53">
            <v>0</v>
          </cell>
        </row>
        <row r="54">
          <cell r="C54">
            <v>18383000</v>
          </cell>
        </row>
        <row r="55">
          <cell r="C55">
            <v>4295433</v>
          </cell>
        </row>
        <row r="56">
          <cell r="C56">
            <v>0</v>
          </cell>
        </row>
        <row r="57">
          <cell r="C57">
            <v>200000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200000</v>
          </cell>
        </row>
        <row r="61">
          <cell r="C61">
            <v>0</v>
          </cell>
        </row>
        <row r="62">
          <cell r="C62">
            <v>2236595605</v>
          </cell>
        </row>
        <row r="63">
          <cell r="C63">
            <v>5500000</v>
          </cell>
        </row>
        <row r="64">
          <cell r="C64">
            <v>5500000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292133965</v>
          </cell>
        </row>
        <row r="73">
          <cell r="C73">
            <v>292133965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297633965</v>
          </cell>
        </row>
        <row r="87">
          <cell r="C87">
            <v>2534229570</v>
          </cell>
        </row>
        <row r="93">
          <cell r="C93">
            <v>1687995429</v>
          </cell>
        </row>
        <row r="94">
          <cell r="C94">
            <v>645810582</v>
          </cell>
        </row>
        <row r="95">
          <cell r="C95">
            <v>126290483</v>
          </cell>
        </row>
        <row r="96">
          <cell r="C96">
            <v>667455797</v>
          </cell>
        </row>
        <row r="97">
          <cell r="C97">
            <v>79248740</v>
          </cell>
        </row>
        <row r="98">
          <cell r="C98">
            <v>71420007</v>
          </cell>
        </row>
        <row r="99">
          <cell r="C99">
            <v>7358007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64062000</v>
          </cell>
        </row>
        <row r="111">
          <cell r="C111">
            <v>97769820</v>
          </cell>
        </row>
        <row r="112">
          <cell r="C112">
            <v>30975496</v>
          </cell>
        </row>
        <row r="113">
          <cell r="C113">
            <v>66794324</v>
          </cell>
        </row>
        <row r="114">
          <cell r="C114">
            <v>508553917</v>
          </cell>
        </row>
        <row r="115">
          <cell r="C115">
            <v>352545199</v>
          </cell>
        </row>
        <row r="116">
          <cell r="C116">
            <v>318346132</v>
          </cell>
        </row>
        <row r="117">
          <cell r="C117">
            <v>108104218</v>
          </cell>
        </row>
        <row r="118">
          <cell r="C118">
            <v>57931800</v>
          </cell>
        </row>
        <row r="119">
          <cell r="C119">
            <v>47904500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5000</v>
          </cell>
        </row>
        <row r="126">
          <cell r="C126">
            <v>0</v>
          </cell>
        </row>
        <row r="127">
          <cell r="C127">
            <v>47899500</v>
          </cell>
        </row>
        <row r="128">
          <cell r="C128">
            <v>2196549346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35164932</v>
          </cell>
        </row>
        <row r="141">
          <cell r="C141">
            <v>0</v>
          </cell>
        </row>
        <row r="142">
          <cell r="C142">
            <v>35164932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35164932</v>
          </cell>
        </row>
        <row r="154">
          <cell r="C154">
            <v>2231714278</v>
          </cell>
        </row>
      </sheetData>
      <sheetData sheetId="2">
        <row r="5">
          <cell r="C5">
            <v>139623633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133737400</v>
          </cell>
        </row>
        <row r="9">
          <cell r="C9">
            <v>0</v>
          </cell>
        </row>
        <row r="10">
          <cell r="C10">
            <v>5886233</v>
          </cell>
        </row>
        <row r="11">
          <cell r="C11">
            <v>0</v>
          </cell>
        </row>
        <row r="12">
          <cell r="C12">
            <v>159681666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159681666</v>
          </cell>
        </row>
        <row r="18">
          <cell r="C18">
            <v>16877134</v>
          </cell>
        </row>
        <row r="19">
          <cell r="C19">
            <v>204815930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204815930</v>
          </cell>
        </row>
        <row r="25">
          <cell r="C25">
            <v>202150930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230806968</v>
          </cell>
        </row>
        <row r="35">
          <cell r="C35">
            <v>13443677</v>
          </cell>
        </row>
        <row r="36">
          <cell r="C36">
            <v>40174581</v>
          </cell>
        </row>
        <row r="37">
          <cell r="C37">
            <v>12471520</v>
          </cell>
        </row>
        <row r="38">
          <cell r="C38">
            <v>0</v>
          </cell>
        </row>
        <row r="39">
          <cell r="C39">
            <v>158991720</v>
          </cell>
        </row>
        <row r="40">
          <cell r="C40">
            <v>5267145</v>
          </cell>
        </row>
        <row r="41">
          <cell r="C41">
            <v>0</v>
          </cell>
        </row>
        <row r="42">
          <cell r="C42">
            <v>30000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428325</v>
          </cell>
        </row>
        <row r="46">
          <cell r="C46">
            <v>250000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250000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1566000</v>
          </cell>
        </row>
        <row r="53">
          <cell r="C53">
            <v>0</v>
          </cell>
        </row>
        <row r="54">
          <cell r="C54">
            <v>1566000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1200000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1200000</v>
          </cell>
        </row>
        <row r="61">
          <cell r="C61">
            <v>0</v>
          </cell>
        </row>
        <row r="62">
          <cell r="C62">
            <v>737944197</v>
          </cell>
        </row>
        <row r="63">
          <cell r="C63">
            <v>182000000</v>
          </cell>
        </row>
        <row r="64">
          <cell r="C64">
            <v>82000000</v>
          </cell>
        </row>
        <row r="65">
          <cell r="C65">
            <v>100000000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418046</v>
          </cell>
        </row>
        <row r="73">
          <cell r="C73">
            <v>418046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182418046</v>
          </cell>
        </row>
        <row r="87">
          <cell r="C87">
            <v>920362243</v>
          </cell>
        </row>
        <row r="93">
          <cell r="C93">
            <v>686565738</v>
          </cell>
        </row>
        <row r="94">
          <cell r="C94">
            <v>325934053</v>
          </cell>
        </row>
        <row r="95">
          <cell r="C95">
            <v>77004687</v>
          </cell>
        </row>
        <row r="96">
          <cell r="C96">
            <v>269916994</v>
          </cell>
        </row>
        <row r="97">
          <cell r="C97">
            <v>0</v>
          </cell>
        </row>
        <row r="98">
          <cell r="C98">
            <v>13710004</v>
          </cell>
        </row>
        <row r="99">
          <cell r="C99">
            <v>2799004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10911000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241310939</v>
          </cell>
        </row>
        <row r="115">
          <cell r="C115">
            <v>11280605</v>
          </cell>
        </row>
        <row r="116">
          <cell r="C116">
            <v>0</v>
          </cell>
        </row>
        <row r="117">
          <cell r="C117">
            <v>229430334</v>
          </cell>
        </row>
        <row r="118">
          <cell r="C118">
            <v>189429682</v>
          </cell>
        </row>
        <row r="119">
          <cell r="C119">
            <v>600000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600000</v>
          </cell>
        </row>
        <row r="128">
          <cell r="C128">
            <v>927876677</v>
          </cell>
        </row>
        <row r="129">
          <cell r="C129">
            <v>103161000</v>
          </cell>
        </row>
        <row r="130">
          <cell r="C130">
            <v>3161000</v>
          </cell>
        </row>
        <row r="131">
          <cell r="C131">
            <v>100000000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103161000</v>
          </cell>
        </row>
        <row r="154">
          <cell r="C154">
            <v>1031037677</v>
          </cell>
        </row>
      </sheetData>
      <sheetData sheetId="3">
        <row r="5">
          <cell r="C5">
            <v>0</v>
          </cell>
        </row>
        <row r="12">
          <cell r="C12">
            <v>0</v>
          </cell>
        </row>
        <row r="19">
          <cell r="C19">
            <v>0</v>
          </cell>
        </row>
        <row r="26">
          <cell r="C26">
            <v>0</v>
          </cell>
        </row>
        <row r="27">
          <cell r="C27">
            <v>0</v>
          </cell>
        </row>
        <row r="34">
          <cell r="C34">
            <v>6951292</v>
          </cell>
        </row>
        <row r="36">
          <cell r="C36">
            <v>4873064</v>
          </cell>
        </row>
        <row r="37">
          <cell r="C37">
            <v>500000</v>
          </cell>
        </row>
        <row r="40">
          <cell r="C40">
            <v>1478228</v>
          </cell>
        </row>
        <row r="45">
          <cell r="C45">
            <v>100000</v>
          </cell>
        </row>
        <row r="46">
          <cell r="C46">
            <v>0</v>
          </cell>
        </row>
        <row r="52">
          <cell r="C52">
            <v>0</v>
          </cell>
        </row>
        <row r="57">
          <cell r="C57">
            <v>0</v>
          </cell>
        </row>
        <row r="62">
          <cell r="C62">
            <v>6951292</v>
          </cell>
        </row>
        <row r="63">
          <cell r="C63">
            <v>0</v>
          </cell>
        </row>
        <row r="67">
          <cell r="C67">
            <v>0</v>
          </cell>
        </row>
        <row r="72">
          <cell r="C72">
            <v>447404</v>
          </cell>
        </row>
        <row r="73">
          <cell r="C73">
            <v>447404</v>
          </cell>
        </row>
        <row r="75">
          <cell r="C75">
            <v>0</v>
          </cell>
        </row>
        <row r="79">
          <cell r="C79">
            <v>0</v>
          </cell>
        </row>
        <row r="86">
          <cell r="C86">
            <v>447404</v>
          </cell>
        </row>
        <row r="87">
          <cell r="C87">
            <v>7398696</v>
          </cell>
        </row>
        <row r="93">
          <cell r="C93">
            <v>196880354</v>
          </cell>
        </row>
        <row r="94">
          <cell r="C94">
            <v>122218420</v>
          </cell>
        </row>
        <row r="95">
          <cell r="C95">
            <v>28875872</v>
          </cell>
        </row>
        <row r="96">
          <cell r="C96">
            <v>45786062</v>
          </cell>
        </row>
        <row r="114">
          <cell r="C114">
            <v>2358200</v>
          </cell>
        </row>
        <row r="115">
          <cell r="C115">
            <v>2358200</v>
          </cell>
        </row>
        <row r="128">
          <cell r="C128">
            <v>199238554</v>
          </cell>
        </row>
        <row r="129">
          <cell r="C129">
            <v>0</v>
          </cell>
        </row>
        <row r="133">
          <cell r="C133">
            <v>0</v>
          </cell>
        </row>
        <row r="140">
          <cell r="C140">
            <v>0</v>
          </cell>
        </row>
        <row r="145">
          <cell r="C145">
            <v>0</v>
          </cell>
        </row>
        <row r="153">
          <cell r="C153">
            <v>0</v>
          </cell>
        </row>
        <row r="154">
          <cell r="C154">
            <v>199238554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theme="4"/>
  </sheetPr>
  <dimension ref="A1:I159"/>
  <sheetViews>
    <sheetView tabSelected="1" topLeftCell="B1" zoomScaleNormal="100" zoomScaleSheetLayoutView="100" workbookViewId="0">
      <selection activeCell="D1" sqref="D1:I1048576"/>
    </sheetView>
  </sheetViews>
  <sheetFormatPr defaultRowHeight="15.75" x14ac:dyDescent="0.25"/>
  <cols>
    <col min="1" max="1" width="9.5" style="10" customWidth="1"/>
    <col min="2" max="2" width="91.6640625" style="10" customWidth="1"/>
    <col min="3" max="3" width="21.6640625" style="133" customWidth="1"/>
    <col min="4" max="5" width="14.5" style="2" hidden="1" customWidth="1"/>
    <col min="6" max="6" width="15.33203125" style="2" hidden="1" customWidth="1"/>
    <col min="7" max="7" width="11.1640625" style="2" hidden="1" customWidth="1"/>
    <col min="8" max="8" width="13.5" style="3" hidden="1" customWidth="1"/>
    <col min="9" max="9" width="17.83203125" style="4" hidden="1" customWidth="1"/>
    <col min="10" max="10" width="9.33203125" style="2" customWidth="1"/>
    <col min="11" max="16384" width="9.33203125" style="2"/>
  </cols>
  <sheetData>
    <row r="1" spans="1:9" ht="15.95" customHeight="1" x14ac:dyDescent="0.25">
      <c r="A1" s="1" t="s">
        <v>0</v>
      </c>
      <c r="B1" s="1"/>
      <c r="C1" s="1"/>
    </row>
    <row r="2" spans="1:9" ht="15.95" customHeight="1" thickBot="1" x14ac:dyDescent="0.3">
      <c r="A2" s="5" t="s">
        <v>1</v>
      </c>
      <c r="B2" s="5"/>
      <c r="C2" s="6" t="s">
        <v>2</v>
      </c>
    </row>
    <row r="3" spans="1:9" ht="38.1" customHeight="1" thickBot="1" x14ac:dyDescent="0.3">
      <c r="A3" s="7" t="s">
        <v>3</v>
      </c>
      <c r="B3" s="8" t="s">
        <v>4</v>
      </c>
      <c r="C3" s="9" t="s">
        <v>5</v>
      </c>
      <c r="D3" s="10" t="s">
        <v>6</v>
      </c>
      <c r="E3" s="10" t="s">
        <v>7</v>
      </c>
      <c r="F3" s="10" t="s">
        <v>8</v>
      </c>
      <c r="G3" s="10"/>
    </row>
    <row r="4" spans="1:9" s="14" customFormat="1" ht="12" customHeight="1" thickBot="1" x14ac:dyDescent="0.25">
      <c r="A4" s="11" t="s">
        <v>9</v>
      </c>
      <c r="B4" s="12" t="s">
        <v>10</v>
      </c>
      <c r="C4" s="13" t="s">
        <v>11</v>
      </c>
      <c r="H4" s="3"/>
      <c r="I4" s="4"/>
    </row>
    <row r="5" spans="1:9" s="19" customFormat="1" ht="12" customHeight="1" thickBot="1" x14ac:dyDescent="0.25">
      <c r="A5" s="15" t="s">
        <v>12</v>
      </c>
      <c r="B5" s="16" t="s">
        <v>13</v>
      </c>
      <c r="C5" s="17">
        <f>SUM(C6:C11)</f>
        <v>1214566895</v>
      </c>
      <c r="D5" s="18">
        <f>+D6+D7+D8+D9+D10+D11</f>
        <v>1190343400</v>
      </c>
      <c r="E5" s="17">
        <f>+E6+E7+E8+E9+E10+E11</f>
        <v>0</v>
      </c>
      <c r="F5" s="17">
        <f>+F6+F7+F8+F9+F10+F11</f>
        <v>0</v>
      </c>
      <c r="H5" s="20">
        <f>'[1]1.2.sz.mell. '!C5+'[1]1.3.sz.mell.'!C5+'[1]1.4.sz.mell. '!C5</f>
        <v>1214566895</v>
      </c>
      <c r="I5" s="20">
        <f t="shared" ref="I5:I68" si="0">C5-H5</f>
        <v>0</v>
      </c>
    </row>
    <row r="6" spans="1:9" s="19" customFormat="1" ht="12" customHeight="1" x14ac:dyDescent="0.2">
      <c r="A6" s="21" t="s">
        <v>14</v>
      </c>
      <c r="B6" s="22" t="s">
        <v>15</v>
      </c>
      <c r="C6" s="23">
        <f>SUM(D6:F6)+905743</f>
        <v>228418282</v>
      </c>
      <c r="D6" s="24">
        <v>227512539</v>
      </c>
      <c r="E6" s="25"/>
      <c r="F6" s="25"/>
      <c r="H6" s="26">
        <f>'[1]1.2.sz.mell. '!C6+'[1]1.3.sz.mell.'!C6+'[1]1.4.sz.mell. '!C6</f>
        <v>228418282</v>
      </c>
      <c r="I6" s="27">
        <f t="shared" si="0"/>
        <v>0</v>
      </c>
    </row>
    <row r="7" spans="1:9" s="19" customFormat="1" ht="12" customHeight="1" x14ac:dyDescent="0.2">
      <c r="A7" s="28" t="s">
        <v>16</v>
      </c>
      <c r="B7" s="29" t="s">
        <v>17</v>
      </c>
      <c r="C7" s="30">
        <f>SUM(D7:F7)+10461768-4721982-4278000</f>
        <v>219569080</v>
      </c>
      <c r="D7" s="31">
        <v>218107294</v>
      </c>
      <c r="E7" s="32"/>
      <c r="F7" s="32"/>
      <c r="H7" s="33">
        <f>'[1]1.2.sz.mell. '!C7+'[1]1.3.sz.mell.'!C7+'[1]1.4.sz.mell. '!C7</f>
        <v>219569080</v>
      </c>
      <c r="I7" s="34">
        <f t="shared" si="0"/>
        <v>0</v>
      </c>
    </row>
    <row r="8" spans="1:9" s="19" customFormat="1" ht="12" customHeight="1" x14ac:dyDescent="0.2">
      <c r="A8" s="28" t="s">
        <v>18</v>
      </c>
      <c r="B8" s="29" t="s">
        <v>19</v>
      </c>
      <c r="C8" s="35">
        <f>SUM(D8:F8)-35761000-1921230+31350000</f>
        <v>534581835</v>
      </c>
      <c r="D8" s="31">
        <f>121200000+67844165+118423160+15562200+177597260+4526280+11511000+24250000</f>
        <v>540914065</v>
      </c>
      <c r="E8" s="32"/>
      <c r="F8" s="32"/>
      <c r="H8" s="33">
        <f>'[1]1.2.sz.mell. '!C8+'[1]1.3.sz.mell.'!C8+'[1]1.4.sz.mell. '!C8</f>
        <v>534581835</v>
      </c>
      <c r="I8" s="34">
        <f t="shared" si="0"/>
        <v>0</v>
      </c>
    </row>
    <row r="9" spans="1:9" s="19" customFormat="1" ht="12" customHeight="1" x14ac:dyDescent="0.2">
      <c r="A9" s="28" t="s">
        <v>20</v>
      </c>
      <c r="B9" s="29" t="s">
        <v>21</v>
      </c>
      <c r="C9" s="30">
        <f>SUM(D9:F9)-4412740+4412740+1038248</f>
        <v>31342308</v>
      </c>
      <c r="D9" s="31">
        <f>4412740+15262320+10629000</f>
        <v>30304060</v>
      </c>
      <c r="E9" s="32"/>
      <c r="F9" s="32"/>
      <c r="H9" s="33">
        <f>'[1]1.2.sz.mell. '!C9+'[1]1.3.sz.mell.'!C9+'[1]1.4.sz.mell. '!C9</f>
        <v>31342308</v>
      </c>
      <c r="I9" s="34">
        <f t="shared" si="0"/>
        <v>0</v>
      </c>
    </row>
    <row r="10" spans="1:9" s="19" customFormat="1" ht="12" customHeight="1" x14ac:dyDescent="0.2">
      <c r="A10" s="28" t="s">
        <v>22</v>
      </c>
      <c r="B10" s="36" t="s">
        <v>23</v>
      </c>
      <c r="C10" s="35">
        <f>SUM(D10:F10)+23885805+49094027+4501192-4412740-15000000+306000-31224336</f>
        <v>200655390</v>
      </c>
      <c r="D10" s="31">
        <f>3551000+1060845+168707597+58000+128000</f>
        <v>173505442</v>
      </c>
      <c r="E10" s="32"/>
      <c r="F10" s="32"/>
      <c r="H10" s="33">
        <f>'[1]1.2.sz.mell. '!C10+'[1]1.3.sz.mell.'!C10+'[1]1.4.sz.mell. '!C10</f>
        <v>200655390</v>
      </c>
      <c r="I10" s="34">
        <f t="shared" si="0"/>
        <v>0</v>
      </c>
    </row>
    <row r="11" spans="1:9" s="19" customFormat="1" ht="12" customHeight="1" thickBot="1" x14ac:dyDescent="0.25">
      <c r="A11" s="37" t="s">
        <v>24</v>
      </c>
      <c r="B11" s="38" t="s">
        <v>25</v>
      </c>
      <c r="C11" s="39">
        <f>SUM(D11:F11)</f>
        <v>0</v>
      </c>
      <c r="D11" s="40"/>
      <c r="E11" s="41"/>
      <c r="F11" s="41"/>
      <c r="H11" s="42">
        <f>'[1]1.2.sz.mell. '!C11+'[1]1.3.sz.mell.'!C11+'[1]1.4.sz.mell. '!C11</f>
        <v>0</v>
      </c>
      <c r="I11" s="43">
        <f t="shared" si="0"/>
        <v>0</v>
      </c>
    </row>
    <row r="12" spans="1:9" s="19" customFormat="1" ht="12" customHeight="1" thickBot="1" x14ac:dyDescent="0.25">
      <c r="A12" s="15" t="s">
        <v>26</v>
      </c>
      <c r="B12" s="44" t="s">
        <v>27</v>
      </c>
      <c r="C12" s="17">
        <f>SUM(C13:C17)</f>
        <v>335849323</v>
      </c>
      <c r="D12" s="18">
        <f>+D13+D14+D15+D16+D17</f>
        <v>-145452435</v>
      </c>
      <c r="E12" s="17">
        <f>+E13+E14+E15+E16+E17</f>
        <v>0</v>
      </c>
      <c r="F12" s="17">
        <f>+F13+F14+F15+F16+F17</f>
        <v>5485000</v>
      </c>
      <c r="H12" s="20">
        <f>'[1]1.2.sz.mell. '!C12+'[1]1.3.sz.mell.'!C12+'[1]1.4.sz.mell. '!C12</f>
        <v>335849323</v>
      </c>
      <c r="I12" s="20">
        <f t="shared" si="0"/>
        <v>0</v>
      </c>
    </row>
    <row r="13" spans="1:9" s="19" customFormat="1" ht="12" customHeight="1" x14ac:dyDescent="0.2">
      <c r="A13" s="21" t="s">
        <v>28</v>
      </c>
      <c r="B13" s="22" t="s">
        <v>29</v>
      </c>
      <c r="C13" s="45">
        <f>SUM(D13:F13)</f>
        <v>0</v>
      </c>
      <c r="D13" s="46"/>
      <c r="E13" s="47"/>
      <c r="F13" s="47"/>
      <c r="H13" s="26">
        <f>'[1]1.2.sz.mell. '!C13+'[1]1.3.sz.mell.'!C13+'[1]1.4.sz.mell. '!C13</f>
        <v>0</v>
      </c>
      <c r="I13" s="27">
        <f t="shared" si="0"/>
        <v>0</v>
      </c>
    </row>
    <row r="14" spans="1:9" s="19" customFormat="1" ht="12" customHeight="1" x14ac:dyDescent="0.2">
      <c r="A14" s="28" t="s">
        <v>30</v>
      </c>
      <c r="B14" s="29" t="s">
        <v>31</v>
      </c>
      <c r="C14" s="48">
        <f>SUM(D14:F14)</f>
        <v>0</v>
      </c>
      <c r="D14" s="40"/>
      <c r="E14" s="41"/>
      <c r="F14" s="41"/>
      <c r="H14" s="33">
        <f>'[1]1.2.sz.mell. '!C14+'[1]1.3.sz.mell.'!C14+'[1]1.4.sz.mell. '!C14</f>
        <v>0</v>
      </c>
      <c r="I14" s="34">
        <f t="shared" si="0"/>
        <v>0</v>
      </c>
    </row>
    <row r="15" spans="1:9" s="19" customFormat="1" ht="12" customHeight="1" x14ac:dyDescent="0.2">
      <c r="A15" s="28" t="s">
        <v>32</v>
      </c>
      <c r="B15" s="29" t="s">
        <v>33</v>
      </c>
      <c r="C15" s="30">
        <f>SUM(D15:F15)</f>
        <v>0</v>
      </c>
      <c r="D15" s="40"/>
      <c r="E15" s="41"/>
      <c r="F15" s="41"/>
      <c r="H15" s="33">
        <f>'[1]1.2.sz.mell. '!C15+'[1]1.3.sz.mell.'!C15+'[1]1.4.sz.mell. '!C15</f>
        <v>0</v>
      </c>
      <c r="I15" s="34">
        <f t="shared" si="0"/>
        <v>0</v>
      </c>
    </row>
    <row r="16" spans="1:9" s="19" customFormat="1" ht="12" customHeight="1" x14ac:dyDescent="0.2">
      <c r="A16" s="28" t="s">
        <v>34</v>
      </c>
      <c r="B16" s="29" t="s">
        <v>35</v>
      </c>
      <c r="C16" s="30">
        <f>SUM(D16:F16)</f>
        <v>0</v>
      </c>
      <c r="D16" s="40"/>
      <c r="E16" s="41"/>
      <c r="F16" s="41"/>
      <c r="H16" s="33">
        <f>'[1]1.2.sz.mell. '!C16+'[1]1.3.sz.mell.'!C16+'[1]1.4.sz.mell. '!C16</f>
        <v>0</v>
      </c>
      <c r="I16" s="34">
        <f t="shared" si="0"/>
        <v>0</v>
      </c>
    </row>
    <row r="17" spans="1:9" s="19" customFormat="1" ht="12" customHeight="1" x14ac:dyDescent="0.2">
      <c r="A17" s="28" t="s">
        <v>36</v>
      </c>
      <c r="B17" s="29" t="s">
        <v>37</v>
      </c>
      <c r="C17" s="35">
        <f>SUM(D17:F17)+326152588+94906504+10325405+7215044+33734217+3483000</f>
        <v>335849323</v>
      </c>
      <c r="D17" s="49">
        <f>2285000+210000+110446000+65342000-323735435</f>
        <v>-145452435</v>
      </c>
      <c r="E17" s="50"/>
      <c r="F17" s="32">
        <v>5485000</v>
      </c>
      <c r="H17" s="33">
        <f>'[1]1.2.sz.mell. '!C17+'[1]1.3.sz.mell.'!C17+'[1]1.4.sz.mell. '!C17</f>
        <v>335849323</v>
      </c>
      <c r="I17" s="34">
        <f t="shared" si="0"/>
        <v>0</v>
      </c>
    </row>
    <row r="18" spans="1:9" s="19" customFormat="1" ht="12" customHeight="1" thickBot="1" x14ac:dyDescent="0.25">
      <c r="A18" s="37" t="s">
        <v>38</v>
      </c>
      <c r="B18" s="38" t="s">
        <v>39</v>
      </c>
      <c r="C18" s="39">
        <f>374405+16502729</f>
        <v>16877134</v>
      </c>
      <c r="D18" s="51"/>
      <c r="E18" s="52"/>
      <c r="F18" s="52"/>
      <c r="H18" s="42">
        <f>'[1]1.2.sz.mell. '!C18+'[1]1.3.sz.mell.'!C18+'[1]1.4.sz.mell. '!C18</f>
        <v>16877134</v>
      </c>
      <c r="I18" s="43">
        <f t="shared" si="0"/>
        <v>0</v>
      </c>
    </row>
    <row r="19" spans="1:9" s="19" customFormat="1" ht="12" customHeight="1" thickBot="1" x14ac:dyDescent="0.25">
      <c r="A19" s="15" t="s">
        <v>40</v>
      </c>
      <c r="B19" s="16" t="s">
        <v>41</v>
      </c>
      <c r="C19" s="53">
        <f>SUM(C20:C24)</f>
        <v>532260298</v>
      </c>
      <c r="D19" s="18">
        <f>+D20+D21+D22+D23+D24</f>
        <v>-11381976</v>
      </c>
      <c r="E19" s="17">
        <f>+E20+E21+E22+E23+E24</f>
        <v>0</v>
      </c>
      <c r="F19" s="17">
        <f>+F20+F21+F22+F23+F24</f>
        <v>0</v>
      </c>
      <c r="H19" s="20">
        <f>'[1]1.2.sz.mell. '!C19+'[1]1.3.sz.mell.'!C19+'[1]1.4.sz.mell. '!C19</f>
        <v>532260298</v>
      </c>
      <c r="I19" s="20">
        <f t="shared" si="0"/>
        <v>0</v>
      </c>
    </row>
    <row r="20" spans="1:9" s="19" customFormat="1" ht="12" customHeight="1" x14ac:dyDescent="0.2">
      <c r="A20" s="21" t="s">
        <v>42</v>
      </c>
      <c r="B20" s="22" t="s">
        <v>43</v>
      </c>
      <c r="C20" s="23">
        <f>SUM(D20:F20)+15690532</f>
        <v>15690532</v>
      </c>
      <c r="D20" s="54"/>
      <c r="E20" s="55"/>
      <c r="F20" s="55"/>
      <c r="H20" s="26">
        <f>'[1]1.2.sz.mell. '!C20+'[1]1.3.sz.mell.'!C20+'[1]1.4.sz.mell. '!C20</f>
        <v>15690532</v>
      </c>
      <c r="I20" s="27">
        <f t="shared" si="0"/>
        <v>0</v>
      </c>
    </row>
    <row r="21" spans="1:9" s="19" customFormat="1" ht="12" customHeight="1" x14ac:dyDescent="0.2">
      <c r="A21" s="28" t="s">
        <v>44</v>
      </c>
      <c r="B21" s="29" t="s">
        <v>45</v>
      </c>
      <c r="C21" s="30">
        <f>SUM(D21:F21)</f>
        <v>0</v>
      </c>
      <c r="D21" s="31"/>
      <c r="E21" s="32"/>
      <c r="F21" s="32"/>
      <c r="H21" s="33">
        <f>'[1]1.2.sz.mell. '!C21+'[1]1.3.sz.mell.'!C21+'[1]1.4.sz.mell. '!C21</f>
        <v>0</v>
      </c>
      <c r="I21" s="34">
        <f t="shared" si="0"/>
        <v>0</v>
      </c>
    </row>
    <row r="22" spans="1:9" s="19" customFormat="1" ht="12" customHeight="1" x14ac:dyDescent="0.2">
      <c r="A22" s="28" t="s">
        <v>46</v>
      </c>
      <c r="B22" s="29" t="s">
        <v>47</v>
      </c>
      <c r="C22" s="30">
        <f>SUM(D22:F22)</f>
        <v>0</v>
      </c>
      <c r="D22" s="31"/>
      <c r="E22" s="32"/>
      <c r="F22" s="32"/>
      <c r="H22" s="33">
        <f>'[1]1.2.sz.mell. '!C22+'[1]1.3.sz.mell.'!C22+'[1]1.4.sz.mell. '!C22</f>
        <v>0</v>
      </c>
      <c r="I22" s="34">
        <f t="shared" si="0"/>
        <v>0</v>
      </c>
    </row>
    <row r="23" spans="1:9" s="19" customFormat="1" ht="12" customHeight="1" x14ac:dyDescent="0.2">
      <c r="A23" s="28" t="s">
        <v>48</v>
      </c>
      <c r="B23" s="29" t="s">
        <v>49</v>
      </c>
      <c r="C23" s="30">
        <f>SUM(D23:F23)</f>
        <v>0</v>
      </c>
      <c r="D23" s="31"/>
      <c r="E23" s="32"/>
      <c r="F23" s="32"/>
      <c r="H23" s="33">
        <f>'[1]1.2.sz.mell. '!C23+'[1]1.3.sz.mell.'!C23+'[1]1.4.sz.mell. '!C23</f>
        <v>0</v>
      </c>
      <c r="I23" s="34">
        <f t="shared" si="0"/>
        <v>0</v>
      </c>
    </row>
    <row r="24" spans="1:9" s="19" customFormat="1" ht="12" customHeight="1" x14ac:dyDescent="0.2">
      <c r="A24" s="28" t="s">
        <v>50</v>
      </c>
      <c r="B24" s="29" t="s">
        <v>51</v>
      </c>
      <c r="C24" s="30">
        <f>SUM(D24:F24)+15179276+93705029+216916507+202150930</f>
        <v>516569766</v>
      </c>
      <c r="D24" s="31">
        <f>3797300-15179276</f>
        <v>-11381976</v>
      </c>
      <c r="E24" s="32"/>
      <c r="F24" s="32"/>
      <c r="H24" s="33">
        <f>'[1]1.2.sz.mell. '!C24+'[1]1.3.sz.mell.'!C24+'[1]1.4.sz.mell. '!C24</f>
        <v>516569766</v>
      </c>
      <c r="I24" s="34">
        <f t="shared" si="0"/>
        <v>0</v>
      </c>
    </row>
    <row r="25" spans="1:9" s="19" customFormat="1" ht="12" customHeight="1" thickBot="1" x14ac:dyDescent="0.25">
      <c r="A25" s="37" t="s">
        <v>52</v>
      </c>
      <c r="B25" s="56" t="s">
        <v>53</v>
      </c>
      <c r="C25" s="39">
        <f>SUM(D25:F25)+91545029+214128350+202150930</f>
        <v>511621609</v>
      </c>
      <c r="D25" s="51">
        <v>3797300</v>
      </c>
      <c r="E25" s="52"/>
      <c r="F25" s="52"/>
      <c r="H25" s="42">
        <f>'[1]1.2.sz.mell. '!C25+'[1]1.3.sz.mell.'!C25+'[1]1.4.sz.mell. '!C25</f>
        <v>511621609</v>
      </c>
      <c r="I25" s="43">
        <f t="shared" si="0"/>
        <v>0</v>
      </c>
    </row>
    <row r="26" spans="1:9" s="19" customFormat="1" ht="12" customHeight="1" thickBot="1" x14ac:dyDescent="0.25">
      <c r="A26" s="15" t="s">
        <v>54</v>
      </c>
      <c r="B26" s="16" t="s">
        <v>55</v>
      </c>
      <c r="C26" s="53">
        <f>SUM(C27)+SUM(C30:C33)</f>
        <v>356490000</v>
      </c>
      <c r="D26" s="57">
        <f>+D27+D31+D32+D33</f>
        <v>319390000</v>
      </c>
      <c r="E26" s="53">
        <f>+E27+E31+E32+E33</f>
        <v>0</v>
      </c>
      <c r="F26" s="53">
        <f>+F27+F31+F32+F33</f>
        <v>0</v>
      </c>
      <c r="H26" s="20">
        <f>'[1]1.2.sz.mell. '!C26+'[1]1.3.sz.mell.'!C26+'[1]1.4.sz.mell. '!C26</f>
        <v>356490000</v>
      </c>
      <c r="I26" s="20">
        <f t="shared" si="0"/>
        <v>0</v>
      </c>
    </row>
    <row r="27" spans="1:9" s="19" customFormat="1" ht="12" customHeight="1" x14ac:dyDescent="0.2">
      <c r="A27" s="21" t="s">
        <v>56</v>
      </c>
      <c r="B27" s="22" t="s">
        <v>57</v>
      </c>
      <c r="C27" s="23">
        <f>SUM(C28:C29)</f>
        <v>317830000</v>
      </c>
      <c r="D27" s="58">
        <f>SUM(D28:D30)</f>
        <v>282830000</v>
      </c>
      <c r="E27" s="45"/>
      <c r="F27" s="45"/>
      <c r="H27" s="26">
        <f>'[1]1.2.sz.mell. '!C27+'[1]1.3.sz.mell.'!C27+'[1]1.4.sz.mell. '!C27</f>
        <v>317830000</v>
      </c>
      <c r="I27" s="27">
        <f t="shared" si="0"/>
        <v>0</v>
      </c>
    </row>
    <row r="28" spans="1:9" s="19" customFormat="1" ht="12" customHeight="1" x14ac:dyDescent="0.2">
      <c r="A28" s="28" t="s">
        <v>58</v>
      </c>
      <c r="B28" s="29" t="s">
        <v>59</v>
      </c>
      <c r="C28" s="30">
        <f>SUM(D28:F28)</f>
        <v>78990000</v>
      </c>
      <c r="D28" s="40">
        <f>8990000+70000000</f>
        <v>78990000</v>
      </c>
      <c r="E28" s="41"/>
      <c r="F28" s="41"/>
      <c r="H28" s="33">
        <f>'[1]1.2.sz.mell. '!C28+'[1]1.3.sz.mell.'!C28+'[1]1.4.sz.mell. '!C28</f>
        <v>78990000</v>
      </c>
      <c r="I28" s="34">
        <f t="shared" si="0"/>
        <v>0</v>
      </c>
    </row>
    <row r="29" spans="1:9" s="19" customFormat="1" ht="12" customHeight="1" x14ac:dyDescent="0.2">
      <c r="A29" s="28" t="s">
        <v>60</v>
      </c>
      <c r="B29" s="29" t="s">
        <v>61</v>
      </c>
      <c r="C29" s="30">
        <f>SUM(D29:F29)+35000000</f>
        <v>238840000</v>
      </c>
      <c r="D29" s="40">
        <v>203840000</v>
      </c>
      <c r="E29" s="41"/>
      <c r="F29" s="41"/>
      <c r="H29" s="33">
        <f>'[1]1.2.sz.mell. '!C29+'[1]1.3.sz.mell.'!C29+'[1]1.4.sz.mell. '!C29</f>
        <v>238840000</v>
      </c>
      <c r="I29" s="34">
        <f t="shared" si="0"/>
        <v>0</v>
      </c>
    </row>
    <row r="30" spans="1:9" s="19" customFormat="1" ht="12" customHeight="1" x14ac:dyDescent="0.2">
      <c r="A30" s="28" t="s">
        <v>62</v>
      </c>
      <c r="B30" s="29" t="s">
        <v>63</v>
      </c>
      <c r="C30" s="30">
        <f>SUM(D30:F30)</f>
        <v>0</v>
      </c>
      <c r="D30" s="31"/>
      <c r="E30" s="32"/>
      <c r="F30" s="32"/>
      <c r="H30" s="33">
        <f>'[1]1.2.sz.mell. '!C30+'[1]1.3.sz.mell.'!C30+'[1]1.4.sz.mell. '!C30</f>
        <v>0</v>
      </c>
      <c r="I30" s="34">
        <f t="shared" si="0"/>
        <v>0</v>
      </c>
    </row>
    <row r="31" spans="1:9" s="19" customFormat="1" ht="12" customHeight="1" x14ac:dyDescent="0.2">
      <c r="A31" s="28" t="s">
        <v>64</v>
      </c>
      <c r="B31" s="29" t="s">
        <v>65</v>
      </c>
      <c r="C31" s="30">
        <f>SUM(D31:F31)</f>
        <v>27000000</v>
      </c>
      <c r="D31" s="40">
        <f>27000000</f>
        <v>27000000</v>
      </c>
      <c r="E31" s="41"/>
      <c r="F31" s="41"/>
      <c r="H31" s="33">
        <f>'[1]1.2.sz.mell. '!C31+'[1]1.3.sz.mell.'!C31+'[1]1.4.sz.mell. '!C31</f>
        <v>27000000</v>
      </c>
      <c r="I31" s="34">
        <f t="shared" si="0"/>
        <v>0</v>
      </c>
    </row>
    <row r="32" spans="1:9" s="19" customFormat="1" ht="12" customHeight="1" x14ac:dyDescent="0.2">
      <c r="A32" s="28" t="s">
        <v>66</v>
      </c>
      <c r="B32" s="29" t="s">
        <v>67</v>
      </c>
      <c r="C32" s="30">
        <f>SUM(D32:F32)-4000000</f>
        <v>60000</v>
      </c>
      <c r="D32" s="40">
        <v>4060000</v>
      </c>
      <c r="E32" s="41"/>
      <c r="F32" s="41"/>
      <c r="H32" s="33">
        <f>'[1]1.2.sz.mell. '!C32+'[1]1.3.sz.mell.'!C32+'[1]1.4.sz.mell. '!C32</f>
        <v>60000</v>
      </c>
      <c r="I32" s="34">
        <f t="shared" si="0"/>
        <v>0</v>
      </c>
    </row>
    <row r="33" spans="1:9" s="19" customFormat="1" ht="12" customHeight="1" thickBot="1" x14ac:dyDescent="0.25">
      <c r="A33" s="37" t="s">
        <v>68</v>
      </c>
      <c r="B33" s="56" t="s">
        <v>69</v>
      </c>
      <c r="C33" s="39">
        <f>SUM(D33:F33)+4000000+2100000</f>
        <v>11600000</v>
      </c>
      <c r="D33" s="51">
        <v>5500000</v>
      </c>
      <c r="E33" s="52"/>
      <c r="F33" s="52"/>
      <c r="H33" s="42">
        <f>'[1]1.2.sz.mell. '!C33+'[1]1.3.sz.mell.'!C33+'[1]1.4.sz.mell. '!C33</f>
        <v>11600000</v>
      </c>
      <c r="I33" s="43">
        <f t="shared" si="0"/>
        <v>0</v>
      </c>
    </row>
    <row r="34" spans="1:9" s="19" customFormat="1" ht="12" customHeight="1" thickBot="1" x14ac:dyDescent="0.25">
      <c r="A34" s="15" t="s">
        <v>70</v>
      </c>
      <c r="B34" s="16" t="s">
        <v>71</v>
      </c>
      <c r="C34" s="53">
        <f>SUM(C35:C45)</f>
        <v>469251145</v>
      </c>
      <c r="D34" s="18">
        <f>SUM(D35:D45)</f>
        <v>54395907</v>
      </c>
      <c r="E34" s="17">
        <f>SUM(E35:E45)</f>
        <v>9416500</v>
      </c>
      <c r="F34" s="17">
        <f>SUM(F35:F45)</f>
        <v>389838178</v>
      </c>
      <c r="H34" s="20">
        <f>'[1]1.2.sz.mell. '!C34+'[1]1.3.sz.mell.'!C34+'[1]1.4.sz.mell. '!C34</f>
        <v>469251145</v>
      </c>
      <c r="I34" s="20">
        <f t="shared" si="0"/>
        <v>0</v>
      </c>
    </row>
    <row r="35" spans="1:9" s="19" customFormat="1" ht="12" customHeight="1" x14ac:dyDescent="0.2">
      <c r="A35" s="21" t="s">
        <v>72</v>
      </c>
      <c r="B35" s="22" t="s">
        <v>73</v>
      </c>
      <c r="C35" s="59">
        <f>SUM(D35:F35)+5500000+275371-130000+3954000</f>
        <v>19744849</v>
      </c>
      <c r="D35" s="24">
        <f>3937000+4000000+5000000-2941522</f>
        <v>9995478</v>
      </c>
      <c r="E35" s="25"/>
      <c r="F35" s="25">
        <v>150000</v>
      </c>
      <c r="H35" s="26">
        <f>'[1]1.2.sz.mell. '!C35+'[1]1.3.sz.mell.'!C35+'[1]1.4.sz.mell. '!C35</f>
        <v>19744849</v>
      </c>
      <c r="I35" s="27">
        <f t="shared" si="0"/>
        <v>0</v>
      </c>
    </row>
    <row r="36" spans="1:9" s="19" customFormat="1" ht="12" customHeight="1" x14ac:dyDescent="0.2">
      <c r="A36" s="28" t="s">
        <v>74</v>
      </c>
      <c r="B36" s="29" t="s">
        <v>75</v>
      </c>
      <c r="C36" s="35">
        <f>SUM(D36:F36)+1813568-195228+4055000-5885856+1800934</f>
        <v>96708620</v>
      </c>
      <c r="D36" s="31">
        <f>100000+12004000+160000+7128864</f>
        <v>19392864</v>
      </c>
      <c r="E36" s="32">
        <v>7533500</v>
      </c>
      <c r="F36" s="25">
        <v>68193838</v>
      </c>
      <c r="H36" s="33">
        <f>'[1]1.2.sz.mell. '!C36+'[1]1.3.sz.mell.'!C36+'[1]1.4.sz.mell. '!C36</f>
        <v>96708620</v>
      </c>
      <c r="I36" s="34">
        <f t="shared" si="0"/>
        <v>0</v>
      </c>
    </row>
    <row r="37" spans="1:9" s="19" customFormat="1" ht="12" customHeight="1" x14ac:dyDescent="0.2">
      <c r="A37" s="28" t="s">
        <v>76</v>
      </c>
      <c r="B37" s="29" t="s">
        <v>77</v>
      </c>
      <c r="C37" s="35">
        <f>SUM(D37:F37)+1061599-195228+364027-3376000-189000-42520+2246520</f>
        <v>95492738</v>
      </c>
      <c r="D37" s="31">
        <f>8458000+947000</f>
        <v>9405000</v>
      </c>
      <c r="E37" s="32">
        <v>500000</v>
      </c>
      <c r="F37" s="25">
        <v>85718340</v>
      </c>
      <c r="H37" s="33">
        <f>'[1]1.2.sz.mell. '!C37+'[1]1.3.sz.mell.'!C37+'[1]1.4.sz.mell. '!C37</f>
        <v>95492738</v>
      </c>
      <c r="I37" s="34">
        <f t="shared" si="0"/>
        <v>0</v>
      </c>
    </row>
    <row r="38" spans="1:9" s="19" customFormat="1" ht="12" customHeight="1" x14ac:dyDescent="0.2">
      <c r="A38" s="28" t="s">
        <v>78</v>
      </c>
      <c r="B38" s="29" t="s">
        <v>79</v>
      </c>
      <c r="C38" s="30">
        <f>SUM(D38:F38)</f>
        <v>430000</v>
      </c>
      <c r="D38" s="31">
        <f>430000</f>
        <v>430000</v>
      </c>
      <c r="E38" s="32"/>
      <c r="F38" s="25"/>
      <c r="H38" s="33">
        <f>'[1]1.2.sz.mell. '!C38+'[1]1.3.sz.mell.'!C38+'[1]1.4.sz.mell. '!C38</f>
        <v>430000</v>
      </c>
      <c r="I38" s="34">
        <f t="shared" si="0"/>
        <v>0</v>
      </c>
    </row>
    <row r="39" spans="1:9" s="19" customFormat="1" ht="12" customHeight="1" x14ac:dyDescent="0.2">
      <c r="A39" s="28" t="s">
        <v>80</v>
      </c>
      <c r="B39" s="29" t="s">
        <v>81</v>
      </c>
      <c r="C39" s="35">
        <f>SUM(D39:F39)-1800934</f>
        <v>181010468</v>
      </c>
      <c r="D39" s="31"/>
      <c r="E39" s="32"/>
      <c r="F39" s="25">
        <v>182811402</v>
      </c>
      <c r="H39" s="33">
        <f>'[1]1.2.sz.mell. '!C39+'[1]1.3.sz.mell.'!C39+'[1]1.4.sz.mell. '!C39</f>
        <v>181010468</v>
      </c>
      <c r="I39" s="34">
        <f t="shared" si="0"/>
        <v>0</v>
      </c>
    </row>
    <row r="40" spans="1:9" s="19" customFormat="1" ht="12" customHeight="1" x14ac:dyDescent="0.2">
      <c r="A40" s="28" t="s">
        <v>82</v>
      </c>
      <c r="B40" s="29" t="s">
        <v>83</v>
      </c>
      <c r="C40" s="35">
        <f>SUM(D40:F40)+270000+1485000+976640+195228+195228+246410+2609072+189000+42520-2463811</f>
        <v>50887450</v>
      </c>
      <c r="D40" s="31">
        <f>1063000+3242000+5853000+44000+378000+600000+1350000+1408565</f>
        <v>13938565</v>
      </c>
      <c r="E40" s="32">
        <v>1283000</v>
      </c>
      <c r="F40" s="25">
        <v>31920598</v>
      </c>
      <c r="H40" s="33">
        <f>'[1]1.2.sz.mell. '!C40+'[1]1.3.sz.mell.'!C40+'[1]1.4.sz.mell. '!C40</f>
        <v>50887450</v>
      </c>
      <c r="I40" s="34">
        <f t="shared" si="0"/>
        <v>0</v>
      </c>
    </row>
    <row r="41" spans="1:9" s="19" customFormat="1" ht="12" customHeight="1" x14ac:dyDescent="0.2">
      <c r="A41" s="28" t="s">
        <v>84</v>
      </c>
      <c r="B41" s="29" t="s">
        <v>85</v>
      </c>
      <c r="C41" s="30">
        <f>SUM(D41:F41)-1286000+1924793</f>
        <v>21672793</v>
      </c>
      <c r="D41" s="31"/>
      <c r="E41" s="32"/>
      <c r="F41" s="25">
        <v>21034000</v>
      </c>
      <c r="H41" s="33">
        <f>'[1]1.2.sz.mell. '!C41+'[1]1.3.sz.mell.'!C41+'[1]1.4.sz.mell. '!C41</f>
        <v>21672793</v>
      </c>
      <c r="I41" s="34">
        <f t="shared" si="0"/>
        <v>0</v>
      </c>
    </row>
    <row r="42" spans="1:9" s="19" customFormat="1" ht="12" customHeight="1" x14ac:dyDescent="0.2">
      <c r="A42" s="28" t="s">
        <v>86</v>
      </c>
      <c r="B42" s="29" t="s">
        <v>87</v>
      </c>
      <c r="C42" s="30">
        <f>SUM(D42:F42)</f>
        <v>40000</v>
      </c>
      <c r="D42" s="31">
        <v>30000</v>
      </c>
      <c r="E42" s="32"/>
      <c r="F42" s="25">
        <v>10000</v>
      </c>
      <c r="H42" s="33">
        <f>'[1]1.2.sz.mell. '!C42+'[1]1.3.sz.mell.'!C42+'[1]1.4.sz.mell. '!C42</f>
        <v>40000</v>
      </c>
      <c r="I42" s="34">
        <f t="shared" si="0"/>
        <v>0</v>
      </c>
    </row>
    <row r="43" spans="1:9" s="19" customFormat="1" ht="12" customHeight="1" x14ac:dyDescent="0.2">
      <c r="A43" s="28" t="s">
        <v>88</v>
      </c>
      <c r="B43" s="29" t="s">
        <v>89</v>
      </c>
      <c r="C43" s="30">
        <f>SUM(D43:F43)</f>
        <v>0</v>
      </c>
      <c r="D43" s="31"/>
      <c r="E43" s="32"/>
      <c r="F43" s="25"/>
      <c r="H43" s="33">
        <f>'[1]1.2.sz.mell. '!C43+'[1]1.3.sz.mell.'!C43+'[1]1.4.sz.mell. '!C43</f>
        <v>0</v>
      </c>
      <c r="I43" s="34">
        <f t="shared" si="0"/>
        <v>0</v>
      </c>
    </row>
    <row r="44" spans="1:9" s="19" customFormat="1" ht="12" customHeight="1" x14ac:dyDescent="0.2">
      <c r="A44" s="37" t="s">
        <v>90</v>
      </c>
      <c r="B44" s="56" t="s">
        <v>91</v>
      </c>
      <c r="C44" s="30">
        <f>SUM(D44:F44)</f>
        <v>500000</v>
      </c>
      <c r="D44" s="51">
        <f>500000</f>
        <v>500000</v>
      </c>
      <c r="E44" s="52"/>
      <c r="F44" s="25"/>
      <c r="H44" s="33">
        <f>'[1]1.2.sz.mell. '!C44+'[1]1.3.sz.mell.'!C44+'[1]1.4.sz.mell. '!C44</f>
        <v>500000</v>
      </c>
      <c r="I44" s="34">
        <f t="shared" si="0"/>
        <v>0</v>
      </c>
    </row>
    <row r="45" spans="1:9" s="19" customFormat="1" ht="12" customHeight="1" thickBot="1" x14ac:dyDescent="0.25">
      <c r="A45" s="37" t="s">
        <v>92</v>
      </c>
      <c r="B45" s="38" t="s">
        <v>93</v>
      </c>
      <c r="C45" s="60">
        <f>SUM(D45:F45)+200318+416514+1343395</f>
        <v>2764227</v>
      </c>
      <c r="D45" s="51">
        <f>704000</f>
        <v>704000</v>
      </c>
      <c r="E45" s="52">
        <v>100000</v>
      </c>
      <c r="F45" s="25"/>
      <c r="H45" s="42">
        <f>'[1]1.2.sz.mell. '!C45+'[1]1.3.sz.mell.'!C45+'[1]1.4.sz.mell. '!C45</f>
        <v>2764227</v>
      </c>
      <c r="I45" s="43">
        <f t="shared" si="0"/>
        <v>0</v>
      </c>
    </row>
    <row r="46" spans="1:9" s="19" customFormat="1" ht="12" customHeight="1" thickBot="1" x14ac:dyDescent="0.25">
      <c r="A46" s="15" t="s">
        <v>94</v>
      </c>
      <c r="B46" s="16" t="s">
        <v>95</v>
      </c>
      <c r="C46" s="53">
        <f>SUM(C47:C51)</f>
        <v>47429000</v>
      </c>
      <c r="D46" s="18">
        <f>SUM(D47:D51)</f>
        <v>25179000</v>
      </c>
      <c r="E46" s="17">
        <f>SUM(E47:E51)</f>
        <v>0</v>
      </c>
      <c r="F46" s="17">
        <f>SUM(F47:F51)</f>
        <v>0</v>
      </c>
      <c r="H46" s="20">
        <f>'[1]1.2.sz.mell. '!C46+'[1]1.3.sz.mell.'!C46+'[1]1.4.sz.mell. '!C46</f>
        <v>47429000</v>
      </c>
      <c r="I46" s="20">
        <f t="shared" si="0"/>
        <v>0</v>
      </c>
    </row>
    <row r="47" spans="1:9" s="19" customFormat="1" ht="12" customHeight="1" x14ac:dyDescent="0.2">
      <c r="A47" s="21" t="s">
        <v>96</v>
      </c>
      <c r="B47" s="22" t="s">
        <v>97</v>
      </c>
      <c r="C47" s="23">
        <f>SUM(D47:F47)</f>
        <v>0</v>
      </c>
      <c r="D47" s="24"/>
      <c r="E47" s="25"/>
      <c r="F47" s="25"/>
      <c r="H47" s="26">
        <f>'[1]1.2.sz.mell. '!C47+'[1]1.3.sz.mell.'!C47+'[1]1.4.sz.mell. '!C47</f>
        <v>0</v>
      </c>
      <c r="I47" s="27">
        <f t="shared" si="0"/>
        <v>0</v>
      </c>
    </row>
    <row r="48" spans="1:9" s="19" customFormat="1" ht="12" customHeight="1" x14ac:dyDescent="0.2">
      <c r="A48" s="28" t="s">
        <v>98</v>
      </c>
      <c r="B48" s="29" t="s">
        <v>99</v>
      </c>
      <c r="C48" s="30">
        <f>SUM(D48:F48)+22000000</f>
        <v>47179000</v>
      </c>
      <c r="D48" s="31">
        <f>25179000</f>
        <v>25179000</v>
      </c>
      <c r="E48" s="32"/>
      <c r="F48" s="32"/>
      <c r="H48" s="33">
        <f>'[1]1.2.sz.mell. '!C48+'[1]1.3.sz.mell.'!C48+'[1]1.4.sz.mell. '!C48</f>
        <v>47179000</v>
      </c>
      <c r="I48" s="34">
        <f t="shared" si="0"/>
        <v>0</v>
      </c>
    </row>
    <row r="49" spans="1:9" s="19" customFormat="1" ht="12" customHeight="1" x14ac:dyDescent="0.2">
      <c r="A49" s="28" t="s">
        <v>100</v>
      </c>
      <c r="B49" s="29" t="s">
        <v>101</v>
      </c>
      <c r="C49" s="30">
        <v>250000</v>
      </c>
      <c r="D49" s="31"/>
      <c r="E49" s="32"/>
      <c r="F49" s="32"/>
      <c r="H49" s="33">
        <f>'[1]1.2.sz.mell. '!C49+'[1]1.3.sz.mell.'!C49+'[1]1.4.sz.mell. '!C49</f>
        <v>250000</v>
      </c>
      <c r="I49" s="34">
        <f t="shared" si="0"/>
        <v>0</v>
      </c>
    </row>
    <row r="50" spans="1:9" s="19" customFormat="1" ht="12" customHeight="1" x14ac:dyDescent="0.2">
      <c r="A50" s="28" t="s">
        <v>102</v>
      </c>
      <c r="B50" s="29" t="s">
        <v>103</v>
      </c>
      <c r="C50" s="30">
        <f>SUM(D50:F50)</f>
        <v>0</v>
      </c>
      <c r="D50" s="31"/>
      <c r="E50" s="32"/>
      <c r="F50" s="32"/>
      <c r="H50" s="33">
        <f>'[1]1.2.sz.mell. '!C50+'[1]1.3.sz.mell.'!C50+'[1]1.4.sz.mell. '!C50</f>
        <v>0</v>
      </c>
      <c r="I50" s="34">
        <f t="shared" si="0"/>
        <v>0</v>
      </c>
    </row>
    <row r="51" spans="1:9" s="19" customFormat="1" ht="12" customHeight="1" thickBot="1" x14ac:dyDescent="0.25">
      <c r="A51" s="37" t="s">
        <v>104</v>
      </c>
      <c r="B51" s="38" t="s">
        <v>105</v>
      </c>
      <c r="C51" s="39">
        <f>SUM(D51:F51)</f>
        <v>0</v>
      </c>
      <c r="D51" s="51"/>
      <c r="E51" s="52"/>
      <c r="F51" s="52"/>
      <c r="H51" s="42">
        <f>'[1]1.2.sz.mell. '!C51+'[1]1.3.sz.mell.'!C51+'[1]1.4.sz.mell. '!C51</f>
        <v>0</v>
      </c>
      <c r="I51" s="43">
        <f t="shared" si="0"/>
        <v>0</v>
      </c>
    </row>
    <row r="52" spans="1:9" s="19" customFormat="1" ht="12" customHeight="1" thickBot="1" x14ac:dyDescent="0.25">
      <c r="A52" s="15" t="s">
        <v>106</v>
      </c>
      <c r="B52" s="16" t="s">
        <v>107</v>
      </c>
      <c r="C52" s="53">
        <f>SUM(C53:C55)</f>
        <v>24244433</v>
      </c>
      <c r="D52" s="18">
        <f>SUM(D53:D55)</f>
        <v>6164433</v>
      </c>
      <c r="E52" s="17">
        <f>SUM(E53:E55)</f>
        <v>0</v>
      </c>
      <c r="F52" s="17">
        <f>SUM(F53:F55)</f>
        <v>0</v>
      </c>
      <c r="H52" s="20">
        <f>'[1]1.2.sz.mell. '!C52+'[1]1.3.sz.mell.'!C52+'[1]1.4.sz.mell. '!C52</f>
        <v>24244433</v>
      </c>
      <c r="I52" s="20">
        <f t="shared" si="0"/>
        <v>0</v>
      </c>
    </row>
    <row r="53" spans="1:9" s="19" customFormat="1" ht="12" customHeight="1" x14ac:dyDescent="0.2">
      <c r="A53" s="21" t="s">
        <v>108</v>
      </c>
      <c r="B53" s="22" t="s">
        <v>109</v>
      </c>
      <c r="C53" s="23">
        <f>SUM(D53:F53)</f>
        <v>0</v>
      </c>
      <c r="D53" s="46"/>
      <c r="E53" s="47"/>
      <c r="F53" s="47"/>
      <c r="H53" s="26">
        <f>'[1]1.2.sz.mell. '!C53+'[1]1.3.sz.mell.'!C53+'[1]1.4.sz.mell. '!C53</f>
        <v>0</v>
      </c>
      <c r="I53" s="27">
        <f t="shared" si="0"/>
        <v>0</v>
      </c>
    </row>
    <row r="54" spans="1:9" s="19" customFormat="1" ht="12" customHeight="1" x14ac:dyDescent="0.2">
      <c r="A54" s="28" t="s">
        <v>110</v>
      </c>
      <c r="B54" s="29" t="s">
        <v>111</v>
      </c>
      <c r="C54" s="35">
        <f>SUM(D54:F54)+18000000</f>
        <v>19949000</v>
      </c>
      <c r="D54" s="31">
        <f>383000+1566000</f>
        <v>1949000</v>
      </c>
      <c r="E54" s="32"/>
      <c r="F54" s="32"/>
      <c r="H54" s="33">
        <f>'[1]1.2.sz.mell. '!C54+'[1]1.3.sz.mell.'!C54+'[1]1.4.sz.mell. '!C54</f>
        <v>19949000</v>
      </c>
      <c r="I54" s="34">
        <f t="shared" si="0"/>
        <v>0</v>
      </c>
    </row>
    <row r="55" spans="1:9" s="19" customFormat="1" ht="12" customHeight="1" x14ac:dyDescent="0.2">
      <c r="A55" s="28" t="s">
        <v>112</v>
      </c>
      <c r="B55" s="29" t="s">
        <v>113</v>
      </c>
      <c r="C55" s="30">
        <f>SUM(D55:F55)+80000</f>
        <v>4295433</v>
      </c>
      <c r="D55" s="31">
        <f>4075000+140433</f>
        <v>4215433</v>
      </c>
      <c r="E55" s="32"/>
      <c r="F55" s="32"/>
      <c r="H55" s="33">
        <f>'[1]1.2.sz.mell. '!C55+'[1]1.3.sz.mell.'!C55+'[1]1.4.sz.mell. '!C55</f>
        <v>4295433</v>
      </c>
      <c r="I55" s="34">
        <f t="shared" si="0"/>
        <v>0</v>
      </c>
    </row>
    <row r="56" spans="1:9" s="19" customFormat="1" ht="12" customHeight="1" thickBot="1" x14ac:dyDescent="0.25">
      <c r="A56" s="37" t="s">
        <v>114</v>
      </c>
      <c r="B56" s="38" t="s">
        <v>115</v>
      </c>
      <c r="C56" s="39">
        <f>SUM(D56:F56)</f>
        <v>0</v>
      </c>
      <c r="D56" s="61"/>
      <c r="E56" s="62"/>
      <c r="F56" s="62"/>
      <c r="H56" s="42">
        <f>'[1]1.2.sz.mell. '!C56+'[1]1.3.sz.mell.'!C56+'[1]1.4.sz.mell. '!C56</f>
        <v>0</v>
      </c>
      <c r="I56" s="43">
        <f t="shared" si="0"/>
        <v>0</v>
      </c>
    </row>
    <row r="57" spans="1:9" s="19" customFormat="1" ht="12" customHeight="1" thickBot="1" x14ac:dyDescent="0.25">
      <c r="A57" s="15" t="s">
        <v>116</v>
      </c>
      <c r="B57" s="44" t="s">
        <v>117</v>
      </c>
      <c r="C57" s="53">
        <f>SUM(C58:C60)</f>
        <v>1400000</v>
      </c>
      <c r="D57" s="18">
        <f>SUM(D58:D60)</f>
        <v>0</v>
      </c>
      <c r="E57" s="17">
        <f>SUM(E58:E60)</f>
        <v>0</v>
      </c>
      <c r="F57" s="17">
        <f>SUM(F58:F60)</f>
        <v>0</v>
      </c>
      <c r="H57" s="20">
        <f>'[1]1.2.sz.mell. '!C57+'[1]1.3.sz.mell.'!C57+'[1]1.4.sz.mell. '!C57</f>
        <v>1400000</v>
      </c>
      <c r="I57" s="20">
        <f t="shared" si="0"/>
        <v>0</v>
      </c>
    </row>
    <row r="58" spans="1:9" s="19" customFormat="1" ht="12" customHeight="1" x14ac:dyDescent="0.2">
      <c r="A58" s="21" t="s">
        <v>118</v>
      </c>
      <c r="B58" s="22" t="s">
        <v>119</v>
      </c>
      <c r="C58" s="23">
        <f>SUM(D58:F58)</f>
        <v>0</v>
      </c>
      <c r="D58" s="31"/>
      <c r="E58" s="32"/>
      <c r="F58" s="32"/>
      <c r="H58" s="26">
        <f>'[1]1.2.sz.mell. '!C58+'[1]1.3.sz.mell.'!C58+'[1]1.4.sz.mell. '!C58</f>
        <v>0</v>
      </c>
      <c r="I58" s="27">
        <f t="shared" si="0"/>
        <v>0</v>
      </c>
    </row>
    <row r="59" spans="1:9" s="19" customFormat="1" ht="12" customHeight="1" x14ac:dyDescent="0.2">
      <c r="A59" s="28" t="s">
        <v>120</v>
      </c>
      <c r="B59" s="29" t="s">
        <v>121</v>
      </c>
      <c r="C59" s="30">
        <f>SUM(D59:F59)</f>
        <v>0</v>
      </c>
      <c r="D59" s="31"/>
      <c r="E59" s="32"/>
      <c r="F59" s="32"/>
      <c r="H59" s="33">
        <f>'[1]1.2.sz.mell. '!C59+'[1]1.3.sz.mell.'!C59+'[1]1.4.sz.mell. '!C59</f>
        <v>0</v>
      </c>
      <c r="I59" s="34">
        <f t="shared" si="0"/>
        <v>0</v>
      </c>
    </row>
    <row r="60" spans="1:9" s="19" customFormat="1" ht="12" customHeight="1" x14ac:dyDescent="0.2">
      <c r="A60" s="28" t="s">
        <v>122</v>
      </c>
      <c r="B60" s="29" t="s">
        <v>123</v>
      </c>
      <c r="C60" s="35">
        <f>1200000+200000</f>
        <v>1400000</v>
      </c>
      <c r="D60" s="31"/>
      <c r="E60" s="32"/>
      <c r="F60" s="32"/>
      <c r="H60" s="33">
        <f>'[1]1.2.sz.mell. '!C60+'[1]1.3.sz.mell.'!C60+'[1]1.4.sz.mell. '!C60</f>
        <v>1400000</v>
      </c>
      <c r="I60" s="34">
        <f t="shared" si="0"/>
        <v>0</v>
      </c>
    </row>
    <row r="61" spans="1:9" s="19" customFormat="1" ht="12" customHeight="1" thickBot="1" x14ac:dyDescent="0.25">
      <c r="A61" s="37" t="s">
        <v>124</v>
      </c>
      <c r="B61" s="38" t="s">
        <v>125</v>
      </c>
      <c r="C61" s="39">
        <f>SUM(D61:F61)</f>
        <v>0</v>
      </c>
      <c r="D61" s="31"/>
      <c r="E61" s="32"/>
      <c r="F61" s="32"/>
      <c r="H61" s="42">
        <f>'[1]1.2.sz.mell. '!C61+'[1]1.3.sz.mell.'!C61+'[1]1.4.sz.mell. '!C61</f>
        <v>0</v>
      </c>
      <c r="I61" s="43">
        <f t="shared" si="0"/>
        <v>0</v>
      </c>
    </row>
    <row r="62" spans="1:9" s="19" customFormat="1" ht="12" customHeight="1" thickBot="1" x14ac:dyDescent="0.25">
      <c r="A62" s="63" t="s">
        <v>126</v>
      </c>
      <c r="B62" s="16" t="s">
        <v>127</v>
      </c>
      <c r="C62" s="53">
        <f>C57+C52+C46+C34+C26+C19+C12+C5</f>
        <v>2981491094</v>
      </c>
      <c r="D62" s="57">
        <f>+D5+D12+D19+D26+D34+D46+D52+D57</f>
        <v>1438638329</v>
      </c>
      <c r="E62" s="53">
        <f>+E5+E12+E19+E26+E34+E46+E52+E57</f>
        <v>9416500</v>
      </c>
      <c r="F62" s="53">
        <f>+F5+F12+F19+F26+F34+F46+F52+F57</f>
        <v>395323178</v>
      </c>
      <c r="H62" s="20">
        <f>'[1]1.2.sz.mell. '!C62+'[1]1.3.sz.mell.'!C62+'[1]1.4.sz.mell. '!C62</f>
        <v>2981491094</v>
      </c>
      <c r="I62" s="20">
        <f t="shared" si="0"/>
        <v>0</v>
      </c>
    </row>
    <row r="63" spans="1:9" s="19" customFormat="1" ht="12" customHeight="1" thickBot="1" x14ac:dyDescent="0.25">
      <c r="A63" s="64" t="s">
        <v>128</v>
      </c>
      <c r="B63" s="44" t="s">
        <v>129</v>
      </c>
      <c r="C63" s="65">
        <f>SUM(C64:C66)</f>
        <v>187500000</v>
      </c>
      <c r="D63" s="18">
        <f>SUM(D64:D66)</f>
        <v>144100000</v>
      </c>
      <c r="E63" s="17">
        <f>SUM(E64:E66)</f>
        <v>0</v>
      </c>
      <c r="F63" s="17">
        <f>SUM(F64:F66)</f>
        <v>0</v>
      </c>
      <c r="H63" s="20">
        <f>'[1]1.2.sz.mell. '!C63+'[1]1.3.sz.mell.'!C63+'[1]1.4.sz.mell. '!C63</f>
        <v>187500000</v>
      </c>
      <c r="I63" s="20">
        <f t="shared" si="0"/>
        <v>0</v>
      </c>
    </row>
    <row r="64" spans="1:9" s="19" customFormat="1" ht="12" customHeight="1" x14ac:dyDescent="0.2">
      <c r="A64" s="21" t="s">
        <v>130</v>
      </c>
      <c r="B64" s="22" t="s">
        <v>131</v>
      </c>
      <c r="C64" s="23">
        <f>SUM(D64:F64)+37900000+5500000</f>
        <v>87500000</v>
      </c>
      <c r="D64" s="31">
        <v>44100000</v>
      </c>
      <c r="E64" s="32"/>
      <c r="F64" s="32"/>
      <c r="H64" s="26">
        <f>'[1]1.2.sz.mell. '!C64+'[1]1.3.sz.mell.'!C64+'[1]1.4.sz.mell. '!C64</f>
        <v>87500000</v>
      </c>
      <c r="I64" s="27">
        <f t="shared" si="0"/>
        <v>0</v>
      </c>
    </row>
    <row r="65" spans="1:9" s="19" customFormat="1" ht="12" customHeight="1" x14ac:dyDescent="0.2">
      <c r="A65" s="28" t="s">
        <v>132</v>
      </c>
      <c r="B65" s="29" t="s">
        <v>133</v>
      </c>
      <c r="C65" s="30">
        <f>SUM(D65:F65)</f>
        <v>100000000</v>
      </c>
      <c r="D65" s="31">
        <v>100000000</v>
      </c>
      <c r="E65" s="32"/>
      <c r="F65" s="32"/>
      <c r="H65" s="33">
        <f>'[1]1.2.sz.mell. '!C65+'[1]1.3.sz.mell.'!C65+'[1]1.4.sz.mell. '!C65</f>
        <v>100000000</v>
      </c>
      <c r="I65" s="34">
        <f t="shared" si="0"/>
        <v>0</v>
      </c>
    </row>
    <row r="66" spans="1:9" s="19" customFormat="1" ht="12" customHeight="1" thickBot="1" x14ac:dyDescent="0.25">
      <c r="A66" s="37" t="s">
        <v>134</v>
      </c>
      <c r="B66" s="66" t="s">
        <v>135</v>
      </c>
      <c r="C66" s="39">
        <f>SUM(D66:F66)</f>
        <v>0</v>
      </c>
      <c r="D66" s="31"/>
      <c r="E66" s="32"/>
      <c r="F66" s="32"/>
      <c r="H66" s="42">
        <f>'[1]1.2.sz.mell. '!C66+'[1]1.3.sz.mell.'!C66+'[1]1.4.sz.mell. '!C66</f>
        <v>0</v>
      </c>
      <c r="I66" s="43">
        <f t="shared" si="0"/>
        <v>0</v>
      </c>
    </row>
    <row r="67" spans="1:9" s="19" customFormat="1" ht="12" customHeight="1" thickBot="1" x14ac:dyDescent="0.25">
      <c r="A67" s="64" t="s">
        <v>136</v>
      </c>
      <c r="B67" s="44" t="s">
        <v>137</v>
      </c>
      <c r="C67" s="67">
        <f>SUM(C68:C71)</f>
        <v>0</v>
      </c>
      <c r="D67" s="18">
        <f>SUM(D68:D71)</f>
        <v>0</v>
      </c>
      <c r="E67" s="17">
        <f>SUM(E68:E71)</f>
        <v>0</v>
      </c>
      <c r="F67" s="17">
        <f>SUM(F68:F71)</f>
        <v>0</v>
      </c>
      <c r="H67" s="20">
        <f>'[1]1.2.sz.mell. '!C67+'[1]1.3.sz.mell.'!C67+'[1]1.4.sz.mell. '!C67</f>
        <v>0</v>
      </c>
      <c r="I67" s="20">
        <f t="shared" si="0"/>
        <v>0</v>
      </c>
    </row>
    <row r="68" spans="1:9" s="19" customFormat="1" ht="12" customHeight="1" x14ac:dyDescent="0.2">
      <c r="A68" s="21" t="s">
        <v>138</v>
      </c>
      <c r="B68" s="22" t="s">
        <v>139</v>
      </c>
      <c r="C68" s="23">
        <f>SUM(D68:F68)</f>
        <v>0</v>
      </c>
      <c r="D68" s="31"/>
      <c r="E68" s="32"/>
      <c r="F68" s="32"/>
      <c r="H68" s="26">
        <f>'[1]1.2.sz.mell. '!C68+'[1]1.3.sz.mell.'!C68+'[1]1.4.sz.mell. '!C68</f>
        <v>0</v>
      </c>
      <c r="I68" s="27">
        <f t="shared" si="0"/>
        <v>0</v>
      </c>
    </row>
    <row r="69" spans="1:9" s="19" customFormat="1" ht="12" customHeight="1" x14ac:dyDescent="0.2">
      <c r="A69" s="28" t="s">
        <v>140</v>
      </c>
      <c r="B69" s="29" t="s">
        <v>141</v>
      </c>
      <c r="C69" s="30">
        <f>SUM(D69:F69)</f>
        <v>0</v>
      </c>
      <c r="D69" s="31"/>
      <c r="E69" s="32"/>
      <c r="F69" s="32"/>
      <c r="H69" s="33">
        <f>'[1]1.2.sz.mell. '!C69+'[1]1.3.sz.mell.'!C69+'[1]1.4.sz.mell. '!C69</f>
        <v>0</v>
      </c>
      <c r="I69" s="34">
        <f t="shared" ref="I69:I87" si="1">C69-H69</f>
        <v>0</v>
      </c>
    </row>
    <row r="70" spans="1:9" s="19" customFormat="1" ht="12" customHeight="1" x14ac:dyDescent="0.2">
      <c r="A70" s="28" t="s">
        <v>142</v>
      </c>
      <c r="B70" s="29" t="s">
        <v>143</v>
      </c>
      <c r="C70" s="30">
        <f>SUM(D70:F70)</f>
        <v>0</v>
      </c>
      <c r="D70" s="31"/>
      <c r="E70" s="32"/>
      <c r="F70" s="32"/>
      <c r="H70" s="33">
        <f>'[1]1.2.sz.mell. '!C70+'[1]1.3.sz.mell.'!C70+'[1]1.4.sz.mell. '!C70</f>
        <v>0</v>
      </c>
      <c r="I70" s="34">
        <f t="shared" si="1"/>
        <v>0</v>
      </c>
    </row>
    <row r="71" spans="1:9" s="19" customFormat="1" ht="12" customHeight="1" thickBot="1" x14ac:dyDescent="0.25">
      <c r="A71" s="37" t="s">
        <v>144</v>
      </c>
      <c r="B71" s="38" t="s">
        <v>145</v>
      </c>
      <c r="C71" s="39">
        <f>SUM(D71:F71)</f>
        <v>0</v>
      </c>
      <c r="D71" s="31"/>
      <c r="E71" s="32"/>
      <c r="F71" s="32"/>
      <c r="H71" s="42">
        <f>'[1]1.2.sz.mell. '!C71+'[1]1.3.sz.mell.'!C71+'[1]1.4.sz.mell. '!C71</f>
        <v>0</v>
      </c>
      <c r="I71" s="43">
        <f t="shared" si="1"/>
        <v>0</v>
      </c>
    </row>
    <row r="72" spans="1:9" s="19" customFormat="1" ht="12" customHeight="1" thickBot="1" x14ac:dyDescent="0.25">
      <c r="A72" s="64" t="s">
        <v>146</v>
      </c>
      <c r="B72" s="44" t="s">
        <v>147</v>
      </c>
      <c r="C72" s="53">
        <f>SUM(C73:C74)</f>
        <v>292999415</v>
      </c>
      <c r="D72" s="18">
        <f>SUM(D73:D74)</f>
        <v>289331423</v>
      </c>
      <c r="E72" s="17">
        <f>SUM(E73:E74)</f>
        <v>447404</v>
      </c>
      <c r="F72" s="17">
        <f>SUM(F73:F74)</f>
        <v>3220588</v>
      </c>
      <c r="H72" s="20">
        <f>'[1]1.2.sz.mell. '!C72+'[1]1.3.sz.mell.'!C72+'[1]1.4.sz.mell. '!C72</f>
        <v>292999415</v>
      </c>
      <c r="I72" s="20">
        <f t="shared" si="1"/>
        <v>0</v>
      </c>
    </row>
    <row r="73" spans="1:9" s="19" customFormat="1" ht="12" customHeight="1" x14ac:dyDescent="0.2">
      <c r="A73" s="21" t="s">
        <v>148</v>
      </c>
      <c r="B73" s="22" t="s">
        <v>149</v>
      </c>
      <c r="C73" s="23">
        <f>SUM(D73:F73)</f>
        <v>292999415</v>
      </c>
      <c r="D73" s="31">
        <v>289331423</v>
      </c>
      <c r="E73" s="32">
        <v>447404</v>
      </c>
      <c r="F73" s="32">
        <v>3220588</v>
      </c>
      <c r="H73" s="26">
        <f>'[1]1.2.sz.mell. '!C73+'[1]1.3.sz.mell.'!C73+'[1]1.4.sz.mell. '!C73</f>
        <v>292999415</v>
      </c>
      <c r="I73" s="27">
        <f t="shared" si="1"/>
        <v>0</v>
      </c>
    </row>
    <row r="74" spans="1:9" s="19" customFormat="1" ht="12" customHeight="1" thickBot="1" x14ac:dyDescent="0.25">
      <c r="A74" s="37" t="s">
        <v>150</v>
      </c>
      <c r="B74" s="38" t="s">
        <v>151</v>
      </c>
      <c r="C74" s="39">
        <f>SUM(D74:F74)</f>
        <v>0</v>
      </c>
      <c r="D74" s="31"/>
      <c r="E74" s="32"/>
      <c r="F74" s="32"/>
      <c r="H74" s="42">
        <f>'[1]1.2.sz.mell. '!C74+'[1]1.3.sz.mell.'!C74+'[1]1.4.sz.mell. '!C74</f>
        <v>0</v>
      </c>
      <c r="I74" s="43">
        <f t="shared" si="1"/>
        <v>0</v>
      </c>
    </row>
    <row r="75" spans="1:9" s="19" customFormat="1" ht="12" customHeight="1" thickBot="1" x14ac:dyDescent="0.25">
      <c r="A75" s="64" t="s">
        <v>152</v>
      </c>
      <c r="B75" s="44" t="s">
        <v>153</v>
      </c>
      <c r="C75" s="67">
        <f>SUM(C76:C78)</f>
        <v>0</v>
      </c>
      <c r="D75" s="18">
        <f>SUM(D76:D78)</f>
        <v>0</v>
      </c>
      <c r="E75" s="17">
        <f>SUM(E76:E78)</f>
        <v>0</v>
      </c>
      <c r="F75" s="17">
        <f>SUM(F76:F78)</f>
        <v>0</v>
      </c>
      <c r="H75" s="20">
        <f>'[1]1.2.sz.mell. '!C75+'[1]1.3.sz.mell.'!C75+'[1]1.4.sz.mell. '!C75</f>
        <v>0</v>
      </c>
      <c r="I75" s="20">
        <f t="shared" si="1"/>
        <v>0</v>
      </c>
    </row>
    <row r="76" spans="1:9" s="19" customFormat="1" ht="12" customHeight="1" x14ac:dyDescent="0.2">
      <c r="A76" s="21" t="s">
        <v>154</v>
      </c>
      <c r="B76" s="22" t="s">
        <v>155</v>
      </c>
      <c r="C76" s="23">
        <f>SUM(D76:F76)</f>
        <v>0</v>
      </c>
      <c r="D76" s="31"/>
      <c r="E76" s="32"/>
      <c r="F76" s="32"/>
      <c r="H76" s="26">
        <f>'[1]1.2.sz.mell. '!C76+'[1]1.3.sz.mell.'!C76+'[1]1.4.sz.mell. '!C76</f>
        <v>0</v>
      </c>
      <c r="I76" s="27">
        <f t="shared" si="1"/>
        <v>0</v>
      </c>
    </row>
    <row r="77" spans="1:9" s="19" customFormat="1" ht="12" customHeight="1" x14ac:dyDescent="0.2">
      <c r="A77" s="28" t="s">
        <v>156</v>
      </c>
      <c r="B77" s="29" t="s">
        <v>157</v>
      </c>
      <c r="C77" s="30">
        <f>SUM(D77:F77)</f>
        <v>0</v>
      </c>
      <c r="D77" s="31"/>
      <c r="E77" s="32"/>
      <c r="F77" s="32"/>
      <c r="H77" s="33">
        <f>'[1]1.2.sz.mell. '!C77+'[1]1.3.sz.mell.'!C77+'[1]1.4.sz.mell. '!C77</f>
        <v>0</v>
      </c>
      <c r="I77" s="34">
        <f t="shared" si="1"/>
        <v>0</v>
      </c>
    </row>
    <row r="78" spans="1:9" s="19" customFormat="1" ht="12" customHeight="1" thickBot="1" x14ac:dyDescent="0.25">
      <c r="A78" s="37" t="s">
        <v>158</v>
      </c>
      <c r="B78" s="38" t="s">
        <v>159</v>
      </c>
      <c r="C78" s="39">
        <f>SUM(D78:F78)</f>
        <v>0</v>
      </c>
      <c r="D78" s="31"/>
      <c r="E78" s="32"/>
      <c r="F78" s="32"/>
      <c r="H78" s="42">
        <f>'[1]1.2.sz.mell. '!C78+'[1]1.3.sz.mell.'!C78+'[1]1.4.sz.mell. '!C78</f>
        <v>0</v>
      </c>
      <c r="I78" s="43">
        <f t="shared" si="1"/>
        <v>0</v>
      </c>
    </row>
    <row r="79" spans="1:9" s="19" customFormat="1" ht="12" customHeight="1" thickBot="1" x14ac:dyDescent="0.25">
      <c r="A79" s="64" t="s">
        <v>160</v>
      </c>
      <c r="B79" s="44" t="s">
        <v>161</v>
      </c>
      <c r="C79" s="67">
        <f>SUM(C80:C83)</f>
        <v>0</v>
      </c>
      <c r="D79" s="18">
        <f>SUM(D80:D83)</f>
        <v>0</v>
      </c>
      <c r="E79" s="17">
        <f>SUM(E80:E83)</f>
        <v>0</v>
      </c>
      <c r="F79" s="17">
        <f>SUM(F80:F83)</f>
        <v>0</v>
      </c>
      <c r="H79" s="20">
        <f>'[1]1.2.sz.mell. '!C79+'[1]1.3.sz.mell.'!C79+'[1]1.4.sz.mell. '!C79</f>
        <v>0</v>
      </c>
      <c r="I79" s="20">
        <f t="shared" si="1"/>
        <v>0</v>
      </c>
    </row>
    <row r="80" spans="1:9" s="19" customFormat="1" ht="12" customHeight="1" x14ac:dyDescent="0.2">
      <c r="A80" s="68" t="s">
        <v>162</v>
      </c>
      <c r="B80" s="22" t="s">
        <v>163</v>
      </c>
      <c r="C80" s="23">
        <f t="shared" ref="C80:C85" si="2">SUM(D80:F80)</f>
        <v>0</v>
      </c>
      <c r="D80" s="31"/>
      <c r="E80" s="32"/>
      <c r="F80" s="32"/>
      <c r="H80" s="26">
        <f>'[1]1.2.sz.mell. '!C80+'[1]1.3.sz.mell.'!C80+'[1]1.4.sz.mell. '!C80</f>
        <v>0</v>
      </c>
      <c r="I80" s="27">
        <f t="shared" si="1"/>
        <v>0</v>
      </c>
    </row>
    <row r="81" spans="1:9" s="19" customFormat="1" ht="12" customHeight="1" x14ac:dyDescent="0.2">
      <c r="A81" s="69" t="s">
        <v>164</v>
      </c>
      <c r="B81" s="29" t="s">
        <v>165</v>
      </c>
      <c r="C81" s="30">
        <f t="shared" si="2"/>
        <v>0</v>
      </c>
      <c r="D81" s="31"/>
      <c r="E81" s="32"/>
      <c r="F81" s="32"/>
      <c r="H81" s="33">
        <f>'[1]1.2.sz.mell. '!C81+'[1]1.3.sz.mell.'!C81+'[1]1.4.sz.mell. '!C81</f>
        <v>0</v>
      </c>
      <c r="I81" s="34">
        <f t="shared" si="1"/>
        <v>0</v>
      </c>
    </row>
    <row r="82" spans="1:9" s="19" customFormat="1" ht="12" customHeight="1" x14ac:dyDescent="0.2">
      <c r="A82" s="69" t="s">
        <v>166</v>
      </c>
      <c r="B82" s="29" t="s">
        <v>167</v>
      </c>
      <c r="C82" s="30">
        <f t="shared" si="2"/>
        <v>0</v>
      </c>
      <c r="D82" s="31"/>
      <c r="E82" s="32"/>
      <c r="F82" s="32"/>
      <c r="H82" s="33">
        <f>'[1]1.2.sz.mell. '!C82+'[1]1.3.sz.mell.'!C82+'[1]1.4.sz.mell. '!C82</f>
        <v>0</v>
      </c>
      <c r="I82" s="34">
        <f t="shared" si="1"/>
        <v>0</v>
      </c>
    </row>
    <row r="83" spans="1:9" s="19" customFormat="1" ht="12" customHeight="1" thickBot="1" x14ac:dyDescent="0.25">
      <c r="A83" s="70" t="s">
        <v>168</v>
      </c>
      <c r="B83" s="38" t="s">
        <v>169</v>
      </c>
      <c r="C83" s="39">
        <f t="shared" si="2"/>
        <v>0</v>
      </c>
      <c r="D83" s="31"/>
      <c r="E83" s="32"/>
      <c r="F83" s="32"/>
      <c r="H83" s="42">
        <f>'[1]1.2.sz.mell. '!C83+'[1]1.3.sz.mell.'!C83+'[1]1.4.sz.mell. '!C83</f>
        <v>0</v>
      </c>
      <c r="I83" s="43">
        <f t="shared" si="1"/>
        <v>0</v>
      </c>
    </row>
    <row r="84" spans="1:9" s="19" customFormat="1" ht="12" customHeight="1" thickBot="1" x14ac:dyDescent="0.25">
      <c r="A84" s="64" t="s">
        <v>170</v>
      </c>
      <c r="B84" s="44" t="s">
        <v>171</v>
      </c>
      <c r="C84" s="71">
        <f t="shared" si="2"/>
        <v>0</v>
      </c>
      <c r="D84" s="72"/>
      <c r="E84" s="73"/>
      <c r="F84" s="73"/>
      <c r="H84" s="20">
        <f>'[1]1.2.sz.mell. '!C84+'[1]1.3.sz.mell.'!C84+'[1]1.4.sz.mell. '!C84</f>
        <v>0</v>
      </c>
      <c r="I84" s="20">
        <f t="shared" si="1"/>
        <v>0</v>
      </c>
    </row>
    <row r="85" spans="1:9" s="19" customFormat="1" ht="13.5" customHeight="1" thickBot="1" x14ac:dyDescent="0.25">
      <c r="A85" s="64" t="s">
        <v>172</v>
      </c>
      <c r="B85" s="44" t="s">
        <v>173</v>
      </c>
      <c r="C85" s="53">
        <f t="shared" si="2"/>
        <v>0</v>
      </c>
      <c r="D85" s="72"/>
      <c r="E85" s="73"/>
      <c r="F85" s="73"/>
      <c r="H85" s="20">
        <f>'[1]1.2.sz.mell. '!C85+'[1]1.3.sz.mell.'!C85+'[1]1.4.sz.mell. '!C85</f>
        <v>0</v>
      </c>
      <c r="I85" s="20">
        <f t="shared" si="1"/>
        <v>0</v>
      </c>
    </row>
    <row r="86" spans="1:9" s="19" customFormat="1" ht="15.75" customHeight="1" thickBot="1" x14ac:dyDescent="0.25">
      <c r="A86" s="64" t="s">
        <v>174</v>
      </c>
      <c r="B86" s="74" t="s">
        <v>175</v>
      </c>
      <c r="C86" s="53">
        <f>C85+C84+C79+C75+C72+C67+C63</f>
        <v>480499415</v>
      </c>
      <c r="D86" s="57">
        <f>+D63+D67+D72+D75+D79+D85+D84</f>
        <v>433431423</v>
      </c>
      <c r="E86" s="53">
        <f>+E63+E67+E72+E75+E79+E85+E84</f>
        <v>447404</v>
      </c>
      <c r="F86" s="53">
        <f>+F63+F67+F72+F75+F79+F85+F84</f>
        <v>3220588</v>
      </c>
      <c r="H86" s="20">
        <f>'[1]1.2.sz.mell. '!C86+'[1]1.3.sz.mell.'!C86+'[1]1.4.sz.mell. '!C86</f>
        <v>480499415</v>
      </c>
      <c r="I86" s="20">
        <f t="shared" si="1"/>
        <v>0</v>
      </c>
    </row>
    <row r="87" spans="1:9" s="19" customFormat="1" ht="16.5" customHeight="1" thickBot="1" x14ac:dyDescent="0.25">
      <c r="A87" s="75" t="s">
        <v>176</v>
      </c>
      <c r="B87" s="76" t="s">
        <v>177</v>
      </c>
      <c r="C87" s="53">
        <f>C62+C86</f>
        <v>3461990509</v>
      </c>
      <c r="D87" s="57">
        <f>+D62+D86</f>
        <v>1872069752</v>
      </c>
      <c r="E87" s="53">
        <f>+E62+E86</f>
        <v>9863904</v>
      </c>
      <c r="F87" s="53">
        <f>+F62+F86</f>
        <v>398543766</v>
      </c>
      <c r="H87" s="20">
        <f>'[1]1.2.sz.mell. '!C87+'[1]1.3.sz.mell.'!C87+'[1]1.4.sz.mell. '!C87</f>
        <v>3461990509</v>
      </c>
      <c r="I87" s="20">
        <f t="shared" si="1"/>
        <v>0</v>
      </c>
    </row>
    <row r="88" spans="1:9" s="19" customFormat="1" ht="83.25" customHeight="1" x14ac:dyDescent="0.2">
      <c r="A88" s="77"/>
      <c r="B88" s="78"/>
      <c r="C88" s="79"/>
      <c r="H88" s="3"/>
      <c r="I88" s="3"/>
    </row>
    <row r="89" spans="1:9" ht="16.5" customHeight="1" x14ac:dyDescent="0.25">
      <c r="A89" s="1" t="s">
        <v>178</v>
      </c>
      <c r="B89" s="1"/>
      <c r="C89" s="1"/>
      <c r="I89" s="3"/>
    </row>
    <row r="90" spans="1:9" s="82" customFormat="1" ht="16.5" customHeight="1" thickBot="1" x14ac:dyDescent="0.3">
      <c r="A90" s="80" t="s">
        <v>179</v>
      </c>
      <c r="B90" s="80"/>
      <c r="C90" s="81" t="s">
        <v>2</v>
      </c>
      <c r="H90" s="3"/>
      <c r="I90" s="3"/>
    </row>
    <row r="91" spans="1:9" ht="38.1" customHeight="1" thickBot="1" x14ac:dyDescent="0.3">
      <c r="A91" s="7" t="s">
        <v>3</v>
      </c>
      <c r="B91" s="8" t="s">
        <v>180</v>
      </c>
      <c r="C91" s="9" t="str">
        <f>+C3</f>
        <v>2017. évi előirányzat</v>
      </c>
      <c r="I91" s="3"/>
    </row>
    <row r="92" spans="1:9" s="14" customFormat="1" ht="12" customHeight="1" thickBot="1" x14ac:dyDescent="0.25">
      <c r="A92" s="83" t="s">
        <v>9</v>
      </c>
      <c r="B92" s="84" t="s">
        <v>10</v>
      </c>
      <c r="C92" s="13" t="s">
        <v>11</v>
      </c>
      <c r="H92" s="3"/>
      <c r="I92" s="3"/>
    </row>
    <row r="93" spans="1:9" ht="12" customHeight="1" thickBot="1" x14ac:dyDescent="0.3">
      <c r="A93" s="85" t="s">
        <v>12</v>
      </c>
      <c r="B93" s="86" t="s">
        <v>181</v>
      </c>
      <c r="C93" s="87">
        <f>SUM(C94:C98)+SUM(C111)</f>
        <v>2571441521</v>
      </c>
      <c r="D93" s="88">
        <f>+D94+D95+D96+D97+D98+D111</f>
        <v>370628367</v>
      </c>
      <c r="E93" s="89">
        <f>+E94+E95+E96+E97+E98+E111</f>
        <v>223822850</v>
      </c>
      <c r="F93" s="90">
        <f>F94+F95+F96+F97+F98+F111</f>
        <v>1388014694</v>
      </c>
      <c r="H93" s="20">
        <f>'[1]1.2.sz.mell. '!C93+'[1]1.3.sz.mell.'!C93+'[1]1.4.sz.mell. '!C93</f>
        <v>2571441521</v>
      </c>
      <c r="I93" s="20">
        <f>C93-H93</f>
        <v>0</v>
      </c>
    </row>
    <row r="94" spans="1:9" ht="12" customHeight="1" x14ac:dyDescent="0.25">
      <c r="A94" s="91" t="s">
        <v>14</v>
      </c>
      <c r="B94" s="92" t="s">
        <v>182</v>
      </c>
      <c r="C94" s="93">
        <f>SUM(D94:F94)+252096521+85501355+27232396-1393308+7410662+5711096+12960546+166800</f>
        <v>1093963055</v>
      </c>
      <c r="D94" s="94">
        <f>25364000+485000+6010000+3749000+165142000+48000+105000-275033584</f>
        <v>-74130584</v>
      </c>
      <c r="E94" s="95">
        <v>119212000</v>
      </c>
      <c r="F94" s="96">
        <v>659195571</v>
      </c>
      <c r="H94" s="26">
        <f>'[1]1.2.sz.mell. '!C94+'[1]1.3.sz.mell.'!C94+'[1]1.4.sz.mell. '!C94</f>
        <v>1093963055</v>
      </c>
      <c r="I94" s="27">
        <f t="shared" ref="I94:I154" si="3">C94-H94</f>
        <v>0</v>
      </c>
    </row>
    <row r="95" spans="1:9" ht="12" customHeight="1" x14ac:dyDescent="0.25">
      <c r="A95" s="28" t="s">
        <v>16</v>
      </c>
      <c r="B95" s="97" t="s">
        <v>183</v>
      </c>
      <c r="C95" s="98">
        <f>SUM(D95:F95)+28812821+9405149+5800271-280382+2089507-570939+1438961+3013037+175648</f>
        <v>232171042</v>
      </c>
      <c r="D95" s="31">
        <f>5239000+143000+1233000+14000+1652000+19299000+10000+23000-28480392</f>
        <v>-867392</v>
      </c>
      <c r="E95" s="32">
        <v>28323500</v>
      </c>
      <c r="F95" s="50">
        <v>154830861</v>
      </c>
      <c r="H95" s="33">
        <f>'[1]1.2.sz.mell. '!C95+'[1]1.3.sz.mell.'!C95+'[1]1.4.sz.mell. '!C95</f>
        <v>232171042</v>
      </c>
      <c r="I95" s="34">
        <f t="shared" si="3"/>
        <v>0</v>
      </c>
    </row>
    <row r="96" spans="1:9" ht="12" customHeight="1" x14ac:dyDescent="0.25">
      <c r="A96" s="28" t="s">
        <v>18</v>
      </c>
      <c r="B96" s="97" t="s">
        <v>184</v>
      </c>
      <c r="C96" s="98">
        <f>SUM(D96:F96)+41579904+1600000+22320920+28158088+9295882+11813400+570939+10565807+4029458+20547308</f>
        <v>983158853</v>
      </c>
      <c r="D96" s="51">
        <f>11475000+835000+4801000+2722822+944166+8715000+1817000+17736000+735000+300000+8485000+34925000+628800+40773000+3429000+11212000+576000+3351000+1682000+16980000+46750042+1200000+4573000+1350000+376000-19720295</f>
        <v>206651535</v>
      </c>
      <c r="E96" s="52">
        <v>52037350</v>
      </c>
      <c r="F96" s="50">
        <v>573988262</v>
      </c>
      <c r="H96" s="33">
        <f>'[1]1.2.sz.mell. '!C96+'[1]1.3.sz.mell.'!C96+'[1]1.4.sz.mell. '!C96</f>
        <v>983158853</v>
      </c>
      <c r="I96" s="34">
        <f t="shared" si="3"/>
        <v>0</v>
      </c>
    </row>
    <row r="97" spans="1:9" ht="12" customHeight="1" x14ac:dyDescent="0.25">
      <c r="A97" s="28" t="s">
        <v>20</v>
      </c>
      <c r="B97" s="97" t="s">
        <v>185</v>
      </c>
      <c r="C97" s="98">
        <f>SUM(D97:F97)-6901260-4000000</f>
        <v>79248740</v>
      </c>
      <c r="D97" s="51">
        <f>70980000-5080000</f>
        <v>65900000</v>
      </c>
      <c r="E97" s="52">
        <v>24250000</v>
      </c>
      <c r="F97" s="99"/>
      <c r="H97" s="33">
        <f>'[1]1.2.sz.mell. '!C97+'[1]1.3.sz.mell.'!C97+'[1]1.4.sz.mell. '!C97</f>
        <v>79248740</v>
      </c>
      <c r="I97" s="34">
        <f t="shared" si="3"/>
        <v>0</v>
      </c>
    </row>
    <row r="98" spans="1:9" ht="12" customHeight="1" x14ac:dyDescent="0.25">
      <c r="A98" s="28" t="s">
        <v>186</v>
      </c>
      <c r="B98" s="100" t="s">
        <v>187</v>
      </c>
      <c r="C98" s="101">
        <f>SUM(C99:C110)</f>
        <v>85130011</v>
      </c>
      <c r="D98" s="51">
        <f>SUM(D99:D110)</f>
        <v>43566000</v>
      </c>
      <c r="E98" s="52">
        <f>SUM(E99:E110)</f>
        <v>0</v>
      </c>
      <c r="F98" s="99"/>
      <c r="H98" s="33">
        <f>'[1]1.2.sz.mell. '!C98+'[1]1.3.sz.mell.'!C98+'[1]1.4.sz.mell. '!C98</f>
        <v>85130011</v>
      </c>
      <c r="I98" s="34">
        <f t="shared" si="3"/>
        <v>0</v>
      </c>
    </row>
    <row r="99" spans="1:9" ht="12" customHeight="1" x14ac:dyDescent="0.25">
      <c r="A99" s="28" t="s">
        <v>24</v>
      </c>
      <c r="B99" s="97" t="s">
        <v>188</v>
      </c>
      <c r="C99" s="101">
        <f>SUM(D99:F99)+1500+7242044+114463+2792500+6504</f>
        <v>10157011</v>
      </c>
      <c r="D99" s="51"/>
      <c r="E99" s="52"/>
      <c r="F99" s="99"/>
      <c r="H99" s="33">
        <f>'[1]1.2.sz.mell. '!C99+'[1]1.3.sz.mell.'!C99+'[1]1.4.sz.mell. '!C99</f>
        <v>10157011</v>
      </c>
      <c r="I99" s="34">
        <f t="shared" si="3"/>
        <v>0</v>
      </c>
    </row>
    <row r="100" spans="1:9" ht="12" customHeight="1" x14ac:dyDescent="0.25">
      <c r="A100" s="28" t="s">
        <v>189</v>
      </c>
      <c r="B100" s="102" t="s">
        <v>190</v>
      </c>
      <c r="C100" s="101">
        <f>SUM(D100:F100)</f>
        <v>0</v>
      </c>
      <c r="D100" s="51"/>
      <c r="E100" s="52"/>
      <c r="F100" s="99"/>
      <c r="H100" s="33">
        <f>'[1]1.2.sz.mell. '!C100+'[1]1.3.sz.mell.'!C100+'[1]1.4.sz.mell. '!C100</f>
        <v>0</v>
      </c>
      <c r="I100" s="34">
        <f t="shared" si="3"/>
        <v>0</v>
      </c>
    </row>
    <row r="101" spans="1:9" ht="12" customHeight="1" x14ac:dyDescent="0.25">
      <c r="A101" s="28" t="s">
        <v>191</v>
      </c>
      <c r="B101" s="102" t="s">
        <v>192</v>
      </c>
      <c r="C101" s="101">
        <f>SUM(D101:F101)</f>
        <v>0</v>
      </c>
      <c r="D101" s="51"/>
      <c r="E101" s="52"/>
      <c r="F101" s="99"/>
      <c r="H101" s="33">
        <f>'[1]1.2.sz.mell. '!C101+'[1]1.3.sz.mell.'!C101+'[1]1.4.sz.mell. '!C101</f>
        <v>0</v>
      </c>
      <c r="I101" s="34">
        <f t="shared" si="3"/>
        <v>0</v>
      </c>
    </row>
    <row r="102" spans="1:9" ht="12" customHeight="1" x14ac:dyDescent="0.25">
      <c r="A102" s="28" t="s">
        <v>193</v>
      </c>
      <c r="B102" s="103" t="s">
        <v>194</v>
      </c>
      <c r="C102" s="101">
        <f>SUM(D102:F102)</f>
        <v>0</v>
      </c>
      <c r="D102" s="51"/>
      <c r="E102" s="52"/>
      <c r="F102" s="99"/>
      <c r="H102" s="33">
        <f>'[1]1.2.sz.mell. '!C102+'[1]1.3.sz.mell.'!C102+'[1]1.4.sz.mell. '!C102</f>
        <v>0</v>
      </c>
      <c r="I102" s="34">
        <f t="shared" si="3"/>
        <v>0</v>
      </c>
    </row>
    <row r="103" spans="1:9" ht="12" customHeight="1" x14ac:dyDescent="0.25">
      <c r="A103" s="28" t="s">
        <v>195</v>
      </c>
      <c r="B103" s="104" t="s">
        <v>196</v>
      </c>
      <c r="C103" s="101">
        <f>SUM(D103:F103)</f>
        <v>0</v>
      </c>
      <c r="D103" s="51"/>
      <c r="E103" s="52"/>
      <c r="F103" s="99"/>
      <c r="H103" s="33">
        <f>'[1]1.2.sz.mell. '!C103+'[1]1.3.sz.mell.'!C103+'[1]1.4.sz.mell. '!C103</f>
        <v>0</v>
      </c>
      <c r="I103" s="34">
        <f t="shared" si="3"/>
        <v>0</v>
      </c>
    </row>
    <row r="104" spans="1:9" ht="12" customHeight="1" x14ac:dyDescent="0.25">
      <c r="A104" s="28" t="s">
        <v>197</v>
      </c>
      <c r="B104" s="104" t="s">
        <v>198</v>
      </c>
      <c r="C104" s="101">
        <f>SUM(D104:F104)</f>
        <v>0</v>
      </c>
      <c r="D104" s="51"/>
      <c r="E104" s="52"/>
      <c r="F104" s="99"/>
      <c r="H104" s="33">
        <f>'[1]1.2.sz.mell. '!C104+'[1]1.3.sz.mell.'!C104+'[1]1.4.sz.mell. '!C104</f>
        <v>0</v>
      </c>
      <c r="I104" s="34">
        <f t="shared" si="3"/>
        <v>0</v>
      </c>
    </row>
    <row r="105" spans="1:9" ht="12" customHeight="1" x14ac:dyDescent="0.25">
      <c r="A105" s="28" t="s">
        <v>199</v>
      </c>
      <c r="B105" s="103" t="s">
        <v>200</v>
      </c>
      <c r="C105" s="101">
        <f>SUM(D105:F105)+60754-60754</f>
        <v>0</v>
      </c>
      <c r="D105" s="51"/>
      <c r="E105" s="52"/>
      <c r="F105" s="99"/>
      <c r="H105" s="33">
        <f>'[1]1.2.sz.mell. '!C105+'[1]1.3.sz.mell.'!C105+'[1]1.4.sz.mell. '!C105</f>
        <v>0</v>
      </c>
      <c r="I105" s="34">
        <f t="shared" si="3"/>
        <v>0</v>
      </c>
    </row>
    <row r="106" spans="1:9" ht="12" customHeight="1" x14ac:dyDescent="0.25">
      <c r="A106" s="28" t="s">
        <v>201</v>
      </c>
      <c r="B106" s="103" t="s">
        <v>202</v>
      </c>
      <c r="C106" s="101">
        <f>SUM(D106:F106)</f>
        <v>0</v>
      </c>
      <c r="D106" s="51"/>
      <c r="E106" s="52"/>
      <c r="F106" s="99"/>
      <c r="H106" s="33">
        <f>'[1]1.2.sz.mell. '!C106+'[1]1.3.sz.mell.'!C106+'[1]1.4.sz.mell. '!C106</f>
        <v>0</v>
      </c>
      <c r="I106" s="34">
        <f t="shared" si="3"/>
        <v>0</v>
      </c>
    </row>
    <row r="107" spans="1:9" ht="12" customHeight="1" x14ac:dyDescent="0.25">
      <c r="A107" s="28" t="s">
        <v>203</v>
      </c>
      <c r="B107" s="104" t="s">
        <v>204</v>
      </c>
      <c r="C107" s="101">
        <f>SUM(D107:F107)</f>
        <v>0</v>
      </c>
      <c r="D107" s="51"/>
      <c r="E107" s="52"/>
      <c r="F107" s="99"/>
      <c r="H107" s="33">
        <f>'[1]1.2.sz.mell. '!C107+'[1]1.3.sz.mell.'!C107+'[1]1.4.sz.mell. '!C107</f>
        <v>0</v>
      </c>
      <c r="I107" s="34">
        <f t="shared" si="3"/>
        <v>0</v>
      </c>
    </row>
    <row r="108" spans="1:9" ht="12" customHeight="1" x14ac:dyDescent="0.25">
      <c r="A108" s="105" t="s">
        <v>205</v>
      </c>
      <c r="B108" s="102" t="s">
        <v>206</v>
      </c>
      <c r="C108" s="101">
        <f>SUM(D108:F108)</f>
        <v>0</v>
      </c>
      <c r="D108" s="51"/>
      <c r="E108" s="52"/>
      <c r="F108" s="99"/>
      <c r="H108" s="33">
        <f>'[1]1.2.sz.mell. '!C108+'[1]1.3.sz.mell.'!C108+'[1]1.4.sz.mell. '!C108</f>
        <v>0</v>
      </c>
      <c r="I108" s="34">
        <f t="shared" si="3"/>
        <v>0</v>
      </c>
    </row>
    <row r="109" spans="1:9" ht="12" customHeight="1" x14ac:dyDescent="0.25">
      <c r="A109" s="28" t="s">
        <v>207</v>
      </c>
      <c r="B109" s="102" t="s">
        <v>208</v>
      </c>
      <c r="C109" s="101">
        <f>SUM(D109:F109)</f>
        <v>0</v>
      </c>
      <c r="D109" s="51"/>
      <c r="E109" s="52"/>
      <c r="F109" s="99"/>
      <c r="H109" s="33">
        <f>'[1]1.2.sz.mell. '!C109+'[1]1.3.sz.mell.'!C109+'[1]1.4.sz.mell. '!C109</f>
        <v>0</v>
      </c>
      <c r="I109" s="34">
        <f t="shared" si="3"/>
        <v>0</v>
      </c>
    </row>
    <row r="110" spans="1:9" ht="12" customHeight="1" x14ac:dyDescent="0.25">
      <c r="A110" s="37" t="s">
        <v>209</v>
      </c>
      <c r="B110" s="102" t="s">
        <v>210</v>
      </c>
      <c r="C110" s="98">
        <f>SUM(D110:F110)+3500000+6600000+2000000+16082000+3225000</f>
        <v>74973000</v>
      </c>
      <c r="D110" s="31">
        <f>536000+11389000+8562000+16678000+6401000</f>
        <v>43566000</v>
      </c>
      <c r="E110" s="32"/>
      <c r="F110" s="99"/>
      <c r="H110" s="33">
        <f>'[1]1.2.sz.mell. '!C110+'[1]1.3.sz.mell.'!C110+'[1]1.4.sz.mell. '!C110</f>
        <v>74973000</v>
      </c>
      <c r="I110" s="34">
        <f t="shared" si="3"/>
        <v>0</v>
      </c>
    </row>
    <row r="111" spans="1:9" ht="12" customHeight="1" x14ac:dyDescent="0.25">
      <c r="A111" s="28" t="s">
        <v>211</v>
      </c>
      <c r="B111" s="97" t="s">
        <v>212</v>
      </c>
      <c r="C111" s="101">
        <f>SUM(C112:C113)</f>
        <v>97769820</v>
      </c>
      <c r="D111" s="31">
        <f>D112+D113</f>
        <v>129508808</v>
      </c>
      <c r="E111" s="32"/>
      <c r="F111" s="50">
        <f>F112+F113</f>
        <v>0</v>
      </c>
      <c r="H111" s="33">
        <f>'[1]1.2.sz.mell. '!C111+'[1]1.3.sz.mell.'!C111+'[1]1.4.sz.mell. '!C111</f>
        <v>97769820</v>
      </c>
      <c r="I111" s="34">
        <f t="shared" si="3"/>
        <v>0</v>
      </c>
    </row>
    <row r="112" spans="1:9" ht="12" customHeight="1" x14ac:dyDescent="0.25">
      <c r="A112" s="28" t="s">
        <v>213</v>
      </c>
      <c r="B112" s="97" t="s">
        <v>214</v>
      </c>
      <c r="C112" s="98">
        <f>SUM(D112:F112)-9172313+8719388-4010722-1042502-1846399+5485909+8185627+3000000</f>
        <v>30975496</v>
      </c>
      <c r="D112" s="51">
        <f>20000000+1656508</f>
        <v>21656508</v>
      </c>
      <c r="E112" s="52"/>
      <c r="F112" s="50"/>
      <c r="H112" s="33">
        <f>'[1]1.2.sz.mell. '!C112+'[1]1.3.sz.mell.'!C112+'[1]1.4.sz.mell. '!C112</f>
        <v>30975496</v>
      </c>
      <c r="I112" s="34">
        <f t="shared" si="3"/>
        <v>0</v>
      </c>
    </row>
    <row r="113" spans="1:9" ht="12" customHeight="1" thickBot="1" x14ac:dyDescent="0.3">
      <c r="A113" s="106" t="s">
        <v>215</v>
      </c>
      <c r="B113" s="107" t="s">
        <v>216</v>
      </c>
      <c r="C113" s="108">
        <f>SUM(D113:F113)-8373330-1600000-8539600-6323156-7948000-7343244+31158286-32066515+411581-433998</f>
        <v>66794324</v>
      </c>
      <c r="D113" s="109">
        <f>110613300+500000-3261000</f>
        <v>107852300</v>
      </c>
      <c r="E113" s="110"/>
      <c r="F113" s="111"/>
      <c r="H113" s="42">
        <f>'[1]1.2.sz.mell. '!C113+'[1]1.3.sz.mell.'!C113+'[1]1.4.sz.mell. '!C113</f>
        <v>66794324</v>
      </c>
      <c r="I113" s="43">
        <f t="shared" si="3"/>
        <v>0</v>
      </c>
    </row>
    <row r="114" spans="1:9" ht="12" customHeight="1" thickBot="1" x14ac:dyDescent="0.3">
      <c r="A114" s="112" t="s">
        <v>26</v>
      </c>
      <c r="B114" s="113" t="s">
        <v>217</v>
      </c>
      <c r="C114" s="87">
        <f>C115+C117+C119</f>
        <v>752223056</v>
      </c>
      <c r="D114" s="18">
        <f>+D115+D117+D119</f>
        <v>150430581</v>
      </c>
      <c r="E114" s="17">
        <f>+E115+E117+E119</f>
        <v>1901000</v>
      </c>
      <c r="F114" s="114">
        <f>+F115+F117+F119</f>
        <v>9272287</v>
      </c>
      <c r="H114" s="20">
        <f>'[1]1.2.sz.mell. '!C114+'[1]1.3.sz.mell.'!C114+'[1]1.4.sz.mell. '!C114</f>
        <v>752223056</v>
      </c>
      <c r="I114" s="20">
        <f t="shared" si="3"/>
        <v>0</v>
      </c>
    </row>
    <row r="115" spans="1:9" ht="12" customHeight="1" x14ac:dyDescent="0.25">
      <c r="A115" s="21" t="s">
        <v>28</v>
      </c>
      <c r="B115" s="97" t="s">
        <v>218</v>
      </c>
      <c r="C115" s="93">
        <f>SUM(D115:F115)+15239176+979170-265000+63976+93988736+220065714+8904148-1752617</f>
        <v>366184004</v>
      </c>
      <c r="D115" s="24">
        <f>6621000+2963001+787402+10624171+3081125+300001+529000+1654000+447000+2237000+90200+6604000+301000+204000-18155486</f>
        <v>18287414</v>
      </c>
      <c r="E115" s="25">
        <v>1901000</v>
      </c>
      <c r="F115" s="115">
        <v>8772287</v>
      </c>
      <c r="H115" s="26">
        <f>'[1]1.2.sz.mell. '!C115+'[1]1.3.sz.mell.'!C115+'[1]1.4.sz.mell. '!C115</f>
        <v>366184004</v>
      </c>
      <c r="I115" s="27">
        <f t="shared" si="3"/>
        <v>0</v>
      </c>
    </row>
    <row r="116" spans="1:9" ht="12" customHeight="1" x14ac:dyDescent="0.25">
      <c r="A116" s="21" t="s">
        <v>30</v>
      </c>
      <c r="B116" s="116" t="s">
        <v>219</v>
      </c>
      <c r="C116" s="98">
        <f>SUM(D116:F116)-1000000+87765636+214128350+2959448</f>
        <v>318346132</v>
      </c>
      <c r="D116" s="24">
        <v>14492698</v>
      </c>
      <c r="E116" s="25"/>
      <c r="F116" s="115"/>
      <c r="H116" s="33">
        <f>'[1]1.2.sz.mell. '!C116+'[1]1.3.sz.mell.'!C116+'[1]1.4.sz.mell. '!C116</f>
        <v>318346132</v>
      </c>
      <c r="I116" s="34">
        <f t="shared" si="3"/>
        <v>0</v>
      </c>
    </row>
    <row r="117" spans="1:9" ht="12" customHeight="1" x14ac:dyDescent="0.25">
      <c r="A117" s="21" t="s">
        <v>32</v>
      </c>
      <c r="B117" s="116" t="s">
        <v>220</v>
      </c>
      <c r="C117" s="101">
        <f>SUM(D117:F117)-134607+7509510+735000+1000000+839841+49594413+188498728</f>
        <v>337534552</v>
      </c>
      <c r="D117" s="31">
        <f>53340000+21000000+1513000+2996000+809000+9333667</f>
        <v>88991667</v>
      </c>
      <c r="E117" s="32"/>
      <c r="F117" s="50">
        <v>500000</v>
      </c>
      <c r="H117" s="33">
        <f>'[1]1.2.sz.mell. '!C117+'[1]1.3.sz.mell.'!C117+'[1]1.4.sz.mell. '!C117</f>
        <v>337534552</v>
      </c>
      <c r="I117" s="34">
        <f t="shared" si="3"/>
        <v>0</v>
      </c>
    </row>
    <row r="118" spans="1:9" ht="12" customHeight="1" x14ac:dyDescent="0.25">
      <c r="A118" s="21" t="s">
        <v>34</v>
      </c>
      <c r="B118" s="116" t="s">
        <v>221</v>
      </c>
      <c r="C118" s="101">
        <f>SUM(D118:F118)+1000000+3795044+189429682-203244</f>
        <v>247361482</v>
      </c>
      <c r="D118" s="31">
        <v>53340000</v>
      </c>
      <c r="E118" s="117"/>
      <c r="F118" s="31"/>
      <c r="H118" s="33">
        <f>'[1]1.2.sz.mell. '!C118+'[1]1.3.sz.mell.'!C118+'[1]1.4.sz.mell. '!C118</f>
        <v>247361482</v>
      </c>
      <c r="I118" s="34">
        <f t="shared" si="3"/>
        <v>0</v>
      </c>
    </row>
    <row r="119" spans="1:9" ht="12" customHeight="1" x14ac:dyDescent="0.25">
      <c r="A119" s="21" t="s">
        <v>36</v>
      </c>
      <c r="B119" s="38" t="s">
        <v>222</v>
      </c>
      <c r="C119" s="101">
        <f>SUM(C120:C127)</f>
        <v>48504500</v>
      </c>
      <c r="D119" s="31">
        <f>SUM(D120:D127)</f>
        <v>43151500</v>
      </c>
      <c r="E119" s="31"/>
      <c r="F119" s="31"/>
      <c r="H119" s="33">
        <f>'[1]1.2.sz.mell. '!C119+'[1]1.3.sz.mell.'!C119+'[1]1.4.sz.mell. '!C119</f>
        <v>48504500</v>
      </c>
      <c r="I119" s="34">
        <f t="shared" si="3"/>
        <v>0</v>
      </c>
    </row>
    <row r="120" spans="1:9" ht="12" customHeight="1" x14ac:dyDescent="0.25">
      <c r="A120" s="21" t="s">
        <v>38</v>
      </c>
      <c r="B120" s="36" t="s">
        <v>223</v>
      </c>
      <c r="C120" s="101">
        <f t="shared" ref="C120:C126" si="4">SUM(D120:F120)</f>
        <v>0</v>
      </c>
      <c r="D120" s="40"/>
      <c r="E120" s="40"/>
      <c r="F120" s="31"/>
      <c r="H120" s="33">
        <f>'[1]1.2.sz.mell. '!C120+'[1]1.3.sz.mell.'!C120+'[1]1.4.sz.mell. '!C120</f>
        <v>0</v>
      </c>
      <c r="I120" s="34">
        <f t="shared" si="3"/>
        <v>0</v>
      </c>
    </row>
    <row r="121" spans="1:9" ht="12" customHeight="1" x14ac:dyDescent="0.25">
      <c r="A121" s="21" t="s">
        <v>224</v>
      </c>
      <c r="B121" s="118" t="s">
        <v>225</v>
      </c>
      <c r="C121" s="101">
        <f t="shared" si="4"/>
        <v>0</v>
      </c>
      <c r="D121" s="40"/>
      <c r="E121" s="40"/>
      <c r="F121" s="31"/>
      <c r="H121" s="33">
        <f>'[1]1.2.sz.mell. '!C121+'[1]1.3.sz.mell.'!C121+'[1]1.4.sz.mell. '!C121</f>
        <v>0</v>
      </c>
      <c r="I121" s="34">
        <f t="shared" si="3"/>
        <v>0</v>
      </c>
    </row>
    <row r="122" spans="1:9" x14ac:dyDescent="0.25">
      <c r="A122" s="21" t="s">
        <v>226</v>
      </c>
      <c r="B122" s="104" t="s">
        <v>198</v>
      </c>
      <c r="C122" s="101">
        <f t="shared" si="4"/>
        <v>0</v>
      </c>
      <c r="D122" s="40"/>
      <c r="E122" s="40"/>
      <c r="F122" s="31"/>
      <c r="H122" s="33">
        <f>'[1]1.2.sz.mell. '!C122+'[1]1.3.sz.mell.'!C122+'[1]1.4.sz.mell. '!C122</f>
        <v>0</v>
      </c>
      <c r="I122" s="34">
        <f t="shared" si="3"/>
        <v>0</v>
      </c>
    </row>
    <row r="123" spans="1:9" ht="12" customHeight="1" x14ac:dyDescent="0.25">
      <c r="A123" s="21" t="s">
        <v>227</v>
      </c>
      <c r="B123" s="104" t="s">
        <v>228</v>
      </c>
      <c r="C123" s="101">
        <f t="shared" si="4"/>
        <v>0</v>
      </c>
      <c r="D123" s="40"/>
      <c r="E123" s="40"/>
      <c r="F123" s="31"/>
      <c r="H123" s="33">
        <f>'[1]1.2.sz.mell. '!C123+'[1]1.3.sz.mell.'!C123+'[1]1.4.sz.mell. '!C123</f>
        <v>0</v>
      </c>
      <c r="I123" s="34">
        <f t="shared" si="3"/>
        <v>0</v>
      </c>
    </row>
    <row r="124" spans="1:9" ht="12" customHeight="1" x14ac:dyDescent="0.25">
      <c r="A124" s="21" t="s">
        <v>229</v>
      </c>
      <c r="B124" s="104" t="s">
        <v>230</v>
      </c>
      <c r="C124" s="101">
        <f t="shared" si="4"/>
        <v>0</v>
      </c>
      <c r="D124" s="40"/>
      <c r="E124" s="40"/>
      <c r="F124" s="31"/>
      <c r="H124" s="33">
        <f>'[1]1.2.sz.mell. '!C124+'[1]1.3.sz.mell.'!C124+'[1]1.4.sz.mell. '!C124</f>
        <v>0</v>
      </c>
      <c r="I124" s="34">
        <f t="shared" si="3"/>
        <v>0</v>
      </c>
    </row>
    <row r="125" spans="1:9" ht="12" customHeight="1" x14ac:dyDescent="0.25">
      <c r="A125" s="21" t="s">
        <v>231</v>
      </c>
      <c r="B125" s="104" t="s">
        <v>204</v>
      </c>
      <c r="C125" s="101">
        <f>SUM(D125:F125)+5000</f>
        <v>5000</v>
      </c>
      <c r="D125" s="40"/>
      <c r="E125" s="40"/>
      <c r="F125" s="31"/>
      <c r="H125" s="33">
        <f>'[1]1.2.sz.mell. '!C125+'[1]1.3.sz.mell.'!C125+'[1]1.4.sz.mell. '!C125</f>
        <v>5000</v>
      </c>
      <c r="I125" s="34">
        <f t="shared" si="3"/>
        <v>0</v>
      </c>
    </row>
    <row r="126" spans="1:9" ht="12" customHeight="1" x14ac:dyDescent="0.25">
      <c r="A126" s="21" t="s">
        <v>232</v>
      </c>
      <c r="B126" s="104" t="s">
        <v>233</v>
      </c>
      <c r="C126" s="101">
        <f t="shared" si="4"/>
        <v>0</v>
      </c>
      <c r="D126" s="40"/>
      <c r="E126" s="40"/>
      <c r="F126" s="31"/>
      <c r="H126" s="33">
        <f>'[1]1.2.sz.mell. '!C126+'[1]1.3.sz.mell.'!C126+'[1]1.4.sz.mell. '!C126</f>
        <v>0</v>
      </c>
      <c r="I126" s="34">
        <f t="shared" si="3"/>
        <v>0</v>
      </c>
    </row>
    <row r="127" spans="1:9" ht="16.5" thickBot="1" x14ac:dyDescent="0.3">
      <c r="A127" s="105" t="s">
        <v>234</v>
      </c>
      <c r="B127" s="104" t="s">
        <v>235</v>
      </c>
      <c r="C127" s="108">
        <f>SUM(D127:F127)+2400000+1348000+600000+1000000</f>
        <v>48499500</v>
      </c>
      <c r="D127" s="51">
        <f>42072000+1079500</f>
        <v>43151500</v>
      </c>
      <c r="E127" s="51"/>
      <c r="F127" s="51"/>
      <c r="H127" s="42">
        <f>'[1]1.2.sz.mell. '!C127+'[1]1.3.sz.mell.'!C127+'[1]1.4.sz.mell. '!C127</f>
        <v>48499500</v>
      </c>
      <c r="I127" s="43">
        <f t="shared" si="3"/>
        <v>0</v>
      </c>
    </row>
    <row r="128" spans="1:9" ht="12" customHeight="1" thickBot="1" x14ac:dyDescent="0.3">
      <c r="A128" s="15" t="s">
        <v>40</v>
      </c>
      <c r="B128" s="119" t="s">
        <v>236</v>
      </c>
      <c r="C128" s="87">
        <f>C114+C93</f>
        <v>3323664577</v>
      </c>
      <c r="D128" s="18">
        <f>+D93+D114</f>
        <v>521058948</v>
      </c>
      <c r="E128" s="17">
        <f>+E93+E114</f>
        <v>225723850</v>
      </c>
      <c r="F128" s="17">
        <f>+F93+F114</f>
        <v>1397286981</v>
      </c>
      <c r="H128" s="20">
        <f>'[1]1.2.sz.mell. '!C128+'[1]1.3.sz.mell.'!C128+'[1]1.4.sz.mell. '!C128</f>
        <v>3323664577</v>
      </c>
      <c r="I128" s="20">
        <f t="shared" si="3"/>
        <v>0</v>
      </c>
    </row>
    <row r="129" spans="1:9" ht="12" customHeight="1" thickBot="1" x14ac:dyDescent="0.3">
      <c r="A129" s="15" t="s">
        <v>237</v>
      </c>
      <c r="B129" s="119" t="s">
        <v>238</v>
      </c>
      <c r="C129" s="87">
        <f>SUM(C130:C132)</f>
        <v>103161000</v>
      </c>
      <c r="D129" s="18">
        <f>+D130+D131+D132</f>
        <v>103161000</v>
      </c>
      <c r="E129" s="17">
        <f>+E130+E131+E132</f>
        <v>0</v>
      </c>
      <c r="F129" s="17">
        <f>+F130+F131+F132</f>
        <v>0</v>
      </c>
      <c r="H129" s="20">
        <f>'[1]1.2.sz.mell. '!C129+'[1]1.3.sz.mell.'!C129+'[1]1.4.sz.mell. '!C129</f>
        <v>103161000</v>
      </c>
      <c r="I129" s="20">
        <f t="shared" si="3"/>
        <v>0</v>
      </c>
    </row>
    <row r="130" spans="1:9" ht="12" customHeight="1" x14ac:dyDescent="0.25">
      <c r="A130" s="21" t="s">
        <v>56</v>
      </c>
      <c r="B130" s="116" t="s">
        <v>239</v>
      </c>
      <c r="C130" s="120">
        <f>SUM(D130:F130)</f>
        <v>3161000</v>
      </c>
      <c r="D130" s="31">
        <v>3161000</v>
      </c>
      <c r="E130" s="31"/>
      <c r="F130" s="31"/>
      <c r="H130" s="26">
        <f>'[1]1.2.sz.mell. '!C130+'[1]1.3.sz.mell.'!C130+'[1]1.4.sz.mell. '!C130</f>
        <v>3161000</v>
      </c>
      <c r="I130" s="27">
        <f t="shared" si="3"/>
        <v>0</v>
      </c>
    </row>
    <row r="131" spans="1:9" ht="12" customHeight="1" x14ac:dyDescent="0.25">
      <c r="A131" s="21" t="s">
        <v>62</v>
      </c>
      <c r="B131" s="116" t="s">
        <v>240</v>
      </c>
      <c r="C131" s="121">
        <f>SUM(D131:F131)</f>
        <v>100000000</v>
      </c>
      <c r="D131" s="40">
        <v>100000000</v>
      </c>
      <c r="E131" s="40"/>
      <c r="F131" s="40"/>
      <c r="H131" s="33">
        <f>'[1]1.2.sz.mell. '!C131+'[1]1.3.sz.mell.'!C131+'[1]1.4.sz.mell. '!C131</f>
        <v>100000000</v>
      </c>
      <c r="I131" s="34">
        <f t="shared" si="3"/>
        <v>0</v>
      </c>
    </row>
    <row r="132" spans="1:9" ht="12" customHeight="1" thickBot="1" x14ac:dyDescent="0.3">
      <c r="A132" s="105" t="s">
        <v>241</v>
      </c>
      <c r="B132" s="116" t="s">
        <v>242</v>
      </c>
      <c r="C132" s="122">
        <f>SUM(D132:F132)</f>
        <v>0</v>
      </c>
      <c r="D132" s="40"/>
      <c r="E132" s="40"/>
      <c r="F132" s="40"/>
      <c r="H132" s="42">
        <f>'[1]1.2.sz.mell. '!C132+'[1]1.3.sz.mell.'!C132+'[1]1.4.sz.mell. '!C132</f>
        <v>0</v>
      </c>
      <c r="I132" s="43">
        <f t="shared" si="3"/>
        <v>0</v>
      </c>
    </row>
    <row r="133" spans="1:9" ht="12" customHeight="1" thickBot="1" x14ac:dyDescent="0.3">
      <c r="A133" s="15" t="s">
        <v>70</v>
      </c>
      <c r="B133" s="119" t="s">
        <v>243</v>
      </c>
      <c r="C133" s="123">
        <f>SUM(C134:C139)</f>
        <v>0</v>
      </c>
      <c r="D133" s="18">
        <f>+D134+D135+D136+D137+D138+D139</f>
        <v>0</v>
      </c>
      <c r="E133" s="17">
        <f>+E134+E135+E136+E137+E138+E139</f>
        <v>0</v>
      </c>
      <c r="F133" s="17">
        <f>SUM(F134:F139)</f>
        <v>0</v>
      </c>
      <c r="H133" s="20">
        <f>'[1]1.2.sz.mell. '!C133+'[1]1.3.sz.mell.'!C133+'[1]1.4.sz.mell. '!C133</f>
        <v>0</v>
      </c>
      <c r="I133" s="20">
        <f t="shared" si="3"/>
        <v>0</v>
      </c>
    </row>
    <row r="134" spans="1:9" ht="12" customHeight="1" x14ac:dyDescent="0.25">
      <c r="A134" s="21" t="s">
        <v>72</v>
      </c>
      <c r="B134" s="124" t="s">
        <v>244</v>
      </c>
      <c r="C134" s="120">
        <f t="shared" ref="C134:C139" si="5">SUM(D134:F134)</f>
        <v>0</v>
      </c>
      <c r="D134" s="40"/>
      <c r="E134" s="40"/>
      <c r="F134" s="40"/>
      <c r="H134" s="26">
        <f>'[1]1.2.sz.mell. '!C134+'[1]1.3.sz.mell.'!C134+'[1]1.4.sz.mell. '!C134</f>
        <v>0</v>
      </c>
      <c r="I134" s="27">
        <f t="shared" si="3"/>
        <v>0</v>
      </c>
    </row>
    <row r="135" spans="1:9" ht="12" customHeight="1" x14ac:dyDescent="0.25">
      <c r="A135" s="21" t="s">
        <v>74</v>
      </c>
      <c r="B135" s="124" t="s">
        <v>245</v>
      </c>
      <c r="C135" s="121">
        <f t="shared" si="5"/>
        <v>0</v>
      </c>
      <c r="D135" s="40"/>
      <c r="E135" s="40"/>
      <c r="F135" s="40"/>
      <c r="H135" s="33">
        <f>'[1]1.2.sz.mell. '!C135+'[1]1.3.sz.mell.'!C135+'[1]1.4.sz.mell. '!C135</f>
        <v>0</v>
      </c>
      <c r="I135" s="34">
        <f t="shared" si="3"/>
        <v>0</v>
      </c>
    </row>
    <row r="136" spans="1:9" ht="12" customHeight="1" x14ac:dyDescent="0.25">
      <c r="A136" s="21" t="s">
        <v>76</v>
      </c>
      <c r="B136" s="124" t="s">
        <v>246</v>
      </c>
      <c r="C136" s="121">
        <f t="shared" si="5"/>
        <v>0</v>
      </c>
      <c r="D136" s="40"/>
      <c r="E136" s="40"/>
      <c r="F136" s="40"/>
      <c r="H136" s="33">
        <f>'[1]1.2.sz.mell. '!C136+'[1]1.3.sz.mell.'!C136+'[1]1.4.sz.mell. '!C136</f>
        <v>0</v>
      </c>
      <c r="I136" s="34">
        <f t="shared" si="3"/>
        <v>0</v>
      </c>
    </row>
    <row r="137" spans="1:9" ht="12" customHeight="1" x14ac:dyDescent="0.25">
      <c r="A137" s="21" t="s">
        <v>78</v>
      </c>
      <c r="B137" s="124" t="s">
        <v>247</v>
      </c>
      <c r="C137" s="121">
        <f t="shared" si="5"/>
        <v>0</v>
      </c>
      <c r="D137" s="40"/>
      <c r="E137" s="40"/>
      <c r="F137" s="40"/>
      <c r="H137" s="33">
        <f>'[1]1.2.sz.mell. '!C137+'[1]1.3.sz.mell.'!C137+'[1]1.4.sz.mell. '!C137</f>
        <v>0</v>
      </c>
      <c r="I137" s="34">
        <f t="shared" si="3"/>
        <v>0</v>
      </c>
    </row>
    <row r="138" spans="1:9" ht="12" customHeight="1" x14ac:dyDescent="0.25">
      <c r="A138" s="21" t="s">
        <v>80</v>
      </c>
      <c r="B138" s="124" t="s">
        <v>248</v>
      </c>
      <c r="C138" s="121">
        <f t="shared" si="5"/>
        <v>0</v>
      </c>
      <c r="D138" s="40"/>
      <c r="E138" s="40"/>
      <c r="F138" s="40"/>
      <c r="H138" s="33">
        <f>'[1]1.2.sz.mell. '!C138+'[1]1.3.sz.mell.'!C138+'[1]1.4.sz.mell. '!C138</f>
        <v>0</v>
      </c>
      <c r="I138" s="34">
        <f t="shared" si="3"/>
        <v>0</v>
      </c>
    </row>
    <row r="139" spans="1:9" ht="12" customHeight="1" thickBot="1" x14ac:dyDescent="0.3">
      <c r="A139" s="105" t="s">
        <v>82</v>
      </c>
      <c r="B139" s="124" t="s">
        <v>249</v>
      </c>
      <c r="C139" s="122">
        <f t="shared" si="5"/>
        <v>0</v>
      </c>
      <c r="D139" s="40"/>
      <c r="E139" s="40"/>
      <c r="F139" s="40"/>
      <c r="H139" s="42">
        <f>'[1]1.2.sz.mell. '!C139+'[1]1.3.sz.mell.'!C139+'[1]1.4.sz.mell. '!C139</f>
        <v>0</v>
      </c>
      <c r="I139" s="43">
        <f t="shared" si="3"/>
        <v>0</v>
      </c>
    </row>
    <row r="140" spans="1:9" ht="12" customHeight="1" thickBot="1" x14ac:dyDescent="0.3">
      <c r="A140" s="15" t="s">
        <v>94</v>
      </c>
      <c r="B140" s="119" t="s">
        <v>250</v>
      </c>
      <c r="C140" s="87">
        <f>SUM(C141:C144)</f>
        <v>35164932</v>
      </c>
      <c r="D140" s="57">
        <f>+D141+D142+D143+D144</f>
        <v>35164932</v>
      </c>
      <c r="E140" s="53">
        <f>+E141+E142+E143+E144</f>
        <v>0</v>
      </c>
      <c r="F140" s="53">
        <f>+F141+F142+F143+F144</f>
        <v>0</v>
      </c>
      <c r="H140" s="20">
        <f>'[1]1.2.sz.mell. '!C140+'[1]1.3.sz.mell.'!C140+'[1]1.4.sz.mell. '!C140</f>
        <v>35164932</v>
      </c>
      <c r="I140" s="20">
        <f t="shared" si="3"/>
        <v>0</v>
      </c>
    </row>
    <row r="141" spans="1:9" ht="12" customHeight="1" x14ac:dyDescent="0.25">
      <c r="A141" s="21" t="s">
        <v>96</v>
      </c>
      <c r="B141" s="124" t="s">
        <v>251</v>
      </c>
      <c r="C141" s="120">
        <f>SUM(D141:F141)</f>
        <v>0</v>
      </c>
      <c r="D141" s="40"/>
      <c r="E141" s="40"/>
      <c r="F141" s="40"/>
      <c r="H141" s="26">
        <f>'[1]1.2.sz.mell. '!C141+'[1]1.3.sz.mell.'!C141+'[1]1.4.sz.mell. '!C141</f>
        <v>0</v>
      </c>
      <c r="I141" s="27">
        <f t="shared" si="3"/>
        <v>0</v>
      </c>
    </row>
    <row r="142" spans="1:9" ht="12" customHeight="1" x14ac:dyDescent="0.25">
      <c r="A142" s="21" t="s">
        <v>98</v>
      </c>
      <c r="B142" s="124" t="s">
        <v>252</v>
      </c>
      <c r="C142" s="121">
        <f>SUM(D142:F142)</f>
        <v>35164932</v>
      </c>
      <c r="D142" s="40">
        <f>35164932</f>
        <v>35164932</v>
      </c>
      <c r="E142" s="40"/>
      <c r="F142" s="40"/>
      <c r="H142" s="33">
        <f>'[1]1.2.sz.mell. '!C142+'[1]1.3.sz.mell.'!C142+'[1]1.4.sz.mell. '!C142</f>
        <v>35164932</v>
      </c>
      <c r="I142" s="34">
        <f t="shared" si="3"/>
        <v>0</v>
      </c>
    </row>
    <row r="143" spans="1:9" ht="12" customHeight="1" x14ac:dyDescent="0.25">
      <c r="A143" s="21" t="s">
        <v>100</v>
      </c>
      <c r="B143" s="124" t="s">
        <v>253</v>
      </c>
      <c r="C143" s="121">
        <f>SUM(D143:F143)</f>
        <v>0</v>
      </c>
      <c r="D143" s="40"/>
      <c r="E143" s="40"/>
      <c r="F143" s="40"/>
      <c r="H143" s="33">
        <f>'[1]1.2.sz.mell. '!C143+'[1]1.3.sz.mell.'!C143+'[1]1.4.sz.mell. '!C143</f>
        <v>0</v>
      </c>
      <c r="I143" s="34">
        <f t="shared" si="3"/>
        <v>0</v>
      </c>
    </row>
    <row r="144" spans="1:9" ht="12" customHeight="1" thickBot="1" x14ac:dyDescent="0.3">
      <c r="A144" s="105" t="s">
        <v>102</v>
      </c>
      <c r="B144" s="100" t="s">
        <v>254</v>
      </c>
      <c r="C144" s="122">
        <f>SUM(D144:F144)</f>
        <v>0</v>
      </c>
      <c r="D144" s="40"/>
      <c r="E144" s="40"/>
      <c r="F144" s="40"/>
      <c r="H144" s="42">
        <f>'[1]1.2.sz.mell. '!C144+'[1]1.3.sz.mell.'!C144+'[1]1.4.sz.mell. '!C144</f>
        <v>0</v>
      </c>
      <c r="I144" s="43">
        <f t="shared" si="3"/>
        <v>0</v>
      </c>
    </row>
    <row r="145" spans="1:9" ht="12" customHeight="1" thickBot="1" x14ac:dyDescent="0.3">
      <c r="A145" s="15" t="s">
        <v>255</v>
      </c>
      <c r="B145" s="119" t="s">
        <v>256</v>
      </c>
      <c r="C145" s="123">
        <f>SUM(C146:C150)</f>
        <v>0</v>
      </c>
      <c r="D145" s="125">
        <f>+D146+D147+D148+D149+D150</f>
        <v>0</v>
      </c>
      <c r="E145" s="126">
        <f>+E146+E147+E148+E149+E150</f>
        <v>0</v>
      </c>
      <c r="F145" s="126">
        <f>SUM(F146:F150)</f>
        <v>0</v>
      </c>
      <c r="H145" s="20">
        <f>'[1]1.2.sz.mell. '!C145+'[1]1.3.sz.mell.'!C145+'[1]1.4.sz.mell. '!C145</f>
        <v>0</v>
      </c>
      <c r="I145" s="20">
        <f t="shared" si="3"/>
        <v>0</v>
      </c>
    </row>
    <row r="146" spans="1:9" ht="12" customHeight="1" x14ac:dyDescent="0.25">
      <c r="A146" s="21" t="s">
        <v>108</v>
      </c>
      <c r="B146" s="124" t="s">
        <v>257</v>
      </c>
      <c r="C146" s="120">
        <f t="shared" ref="C146:C152" si="6">SUM(D146:F146)</f>
        <v>0</v>
      </c>
      <c r="D146" s="40"/>
      <c r="E146" s="40"/>
      <c r="F146" s="40"/>
      <c r="H146" s="26">
        <f>'[1]1.2.sz.mell. '!C146+'[1]1.3.sz.mell.'!C146+'[1]1.4.sz.mell. '!C146</f>
        <v>0</v>
      </c>
      <c r="I146" s="27">
        <f t="shared" si="3"/>
        <v>0</v>
      </c>
    </row>
    <row r="147" spans="1:9" ht="12" customHeight="1" x14ac:dyDescent="0.25">
      <c r="A147" s="21" t="s">
        <v>110</v>
      </c>
      <c r="B147" s="124" t="s">
        <v>258</v>
      </c>
      <c r="C147" s="121">
        <f t="shared" si="6"/>
        <v>0</v>
      </c>
      <c r="D147" s="40"/>
      <c r="E147" s="40"/>
      <c r="F147" s="40"/>
      <c r="H147" s="33">
        <f>'[1]1.2.sz.mell. '!C147+'[1]1.3.sz.mell.'!C147+'[1]1.4.sz.mell. '!C147</f>
        <v>0</v>
      </c>
      <c r="I147" s="34">
        <f t="shared" si="3"/>
        <v>0</v>
      </c>
    </row>
    <row r="148" spans="1:9" ht="12" customHeight="1" x14ac:dyDescent="0.25">
      <c r="A148" s="21" t="s">
        <v>112</v>
      </c>
      <c r="B148" s="124" t="s">
        <v>259</v>
      </c>
      <c r="C148" s="121">
        <f t="shared" si="6"/>
        <v>0</v>
      </c>
      <c r="D148" s="40"/>
      <c r="E148" s="40"/>
      <c r="F148" s="40"/>
      <c r="H148" s="33">
        <f>'[1]1.2.sz.mell. '!C148+'[1]1.3.sz.mell.'!C148+'[1]1.4.sz.mell. '!C148</f>
        <v>0</v>
      </c>
      <c r="I148" s="34">
        <f t="shared" si="3"/>
        <v>0</v>
      </c>
    </row>
    <row r="149" spans="1:9" ht="12" customHeight="1" x14ac:dyDescent="0.25">
      <c r="A149" s="21" t="s">
        <v>114</v>
      </c>
      <c r="B149" s="124" t="s">
        <v>260</v>
      </c>
      <c r="C149" s="121">
        <f t="shared" si="6"/>
        <v>0</v>
      </c>
      <c r="D149" s="40"/>
      <c r="E149" s="40"/>
      <c r="F149" s="40"/>
      <c r="H149" s="33">
        <f>'[1]1.2.sz.mell. '!C149+'[1]1.3.sz.mell.'!C149+'[1]1.4.sz.mell. '!C149</f>
        <v>0</v>
      </c>
      <c r="I149" s="34">
        <f t="shared" si="3"/>
        <v>0</v>
      </c>
    </row>
    <row r="150" spans="1:9" ht="12" customHeight="1" thickBot="1" x14ac:dyDescent="0.3">
      <c r="A150" s="21" t="s">
        <v>261</v>
      </c>
      <c r="B150" s="124" t="s">
        <v>262</v>
      </c>
      <c r="C150" s="122">
        <f t="shared" si="6"/>
        <v>0</v>
      </c>
      <c r="D150" s="61"/>
      <c r="E150" s="61"/>
      <c r="F150" s="40"/>
      <c r="H150" s="42">
        <f>'[1]1.2.sz.mell. '!C150+'[1]1.3.sz.mell.'!C150+'[1]1.4.sz.mell. '!C150</f>
        <v>0</v>
      </c>
      <c r="I150" s="43">
        <f t="shared" si="3"/>
        <v>0</v>
      </c>
    </row>
    <row r="151" spans="1:9" ht="12" customHeight="1" thickBot="1" x14ac:dyDescent="0.3">
      <c r="A151" s="15" t="s">
        <v>116</v>
      </c>
      <c r="B151" s="119" t="s">
        <v>263</v>
      </c>
      <c r="C151" s="123">
        <f t="shared" si="6"/>
        <v>0</v>
      </c>
      <c r="D151" s="125"/>
      <c r="E151" s="126"/>
      <c r="F151" s="127"/>
      <c r="H151" s="20">
        <f>'[1]1.2.sz.mell. '!C151+'[1]1.3.sz.mell.'!C151+'[1]1.4.sz.mell. '!C151</f>
        <v>0</v>
      </c>
      <c r="I151" s="20">
        <f t="shared" si="3"/>
        <v>0</v>
      </c>
    </row>
    <row r="152" spans="1:9" ht="12" customHeight="1" thickBot="1" x14ac:dyDescent="0.3">
      <c r="A152" s="15" t="s">
        <v>264</v>
      </c>
      <c r="B152" s="119" t="s">
        <v>265</v>
      </c>
      <c r="C152" s="123">
        <f t="shared" si="6"/>
        <v>0</v>
      </c>
      <c r="D152" s="125"/>
      <c r="E152" s="126"/>
      <c r="F152" s="127"/>
      <c r="H152" s="20">
        <f>'[1]1.2.sz.mell. '!C152+'[1]1.3.sz.mell.'!C152+'[1]1.4.sz.mell. '!C152</f>
        <v>0</v>
      </c>
      <c r="I152" s="20">
        <f t="shared" si="3"/>
        <v>0</v>
      </c>
    </row>
    <row r="153" spans="1:9" ht="15" customHeight="1" thickBot="1" x14ac:dyDescent="0.3">
      <c r="A153" s="15" t="s">
        <v>266</v>
      </c>
      <c r="B153" s="119" t="s">
        <v>267</v>
      </c>
      <c r="C153" s="87">
        <f>C152+C151+C145+C140+C133+C129</f>
        <v>138325932</v>
      </c>
      <c r="D153" s="128">
        <f>+D129+D133+D140+D145+D151+D152</f>
        <v>138325932</v>
      </c>
      <c r="E153" s="129">
        <f>+E129+E133+E140+E145+E151+E152</f>
        <v>0</v>
      </c>
      <c r="F153" s="129">
        <f>+F129+F133+F140+F145+F151+F152</f>
        <v>0</v>
      </c>
      <c r="G153" s="130"/>
      <c r="H153" s="20">
        <f>'[1]1.2.sz.mell. '!C153+'[1]1.3.sz.mell.'!C153+'[1]1.4.sz.mell. '!C153</f>
        <v>138325932</v>
      </c>
      <c r="I153" s="20">
        <f t="shared" si="3"/>
        <v>0</v>
      </c>
    </row>
    <row r="154" spans="1:9" s="19" customFormat="1" ht="12.95" customHeight="1" thickBot="1" x14ac:dyDescent="0.25">
      <c r="A154" s="131" t="s">
        <v>268</v>
      </c>
      <c r="B154" s="132" t="s">
        <v>269</v>
      </c>
      <c r="C154" s="87">
        <f>C153+C128</f>
        <v>3461990509</v>
      </c>
      <c r="D154" s="128">
        <f>+D128+D153</f>
        <v>659384880</v>
      </c>
      <c r="E154" s="129">
        <f>+E128+E153</f>
        <v>225723850</v>
      </c>
      <c r="F154" s="129">
        <f>+F128+F153</f>
        <v>1397286981</v>
      </c>
      <c r="H154" s="20">
        <f>'[1]1.2.sz.mell. '!C154+'[1]1.3.sz.mell.'!C154+'[1]1.4.sz.mell. '!C154</f>
        <v>3461990509</v>
      </c>
      <c r="I154" s="20">
        <f t="shared" si="3"/>
        <v>0</v>
      </c>
    </row>
    <row r="155" spans="1:9" ht="7.5" customHeight="1" x14ac:dyDescent="0.25"/>
    <row r="156" spans="1:9" x14ac:dyDescent="0.25">
      <c r="A156" s="134" t="s">
        <v>270</v>
      </c>
      <c r="B156" s="134"/>
      <c r="C156" s="134"/>
    </row>
    <row r="157" spans="1:9" ht="15" customHeight="1" thickBot="1" x14ac:dyDescent="0.3">
      <c r="A157" s="5" t="s">
        <v>271</v>
      </c>
      <c r="B157" s="5"/>
      <c r="C157" s="6" t="s">
        <v>2</v>
      </c>
    </row>
    <row r="158" spans="1:9" ht="13.5" customHeight="1" thickBot="1" x14ac:dyDescent="0.3">
      <c r="A158" s="15">
        <v>1</v>
      </c>
      <c r="B158" s="135" t="s">
        <v>272</v>
      </c>
      <c r="C158" s="17">
        <f>+C62-C128</f>
        <v>-342173483</v>
      </c>
    </row>
    <row r="159" spans="1:9" ht="27.75" customHeight="1" thickBot="1" x14ac:dyDescent="0.3">
      <c r="A159" s="15" t="s">
        <v>26</v>
      </c>
      <c r="B159" s="135" t="s">
        <v>273</v>
      </c>
      <c r="C159" s="17">
        <f>+C86-C153</f>
        <v>342173483</v>
      </c>
      <c r="H159" s="3">
        <f>C154-H154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2017. ÉVI KÖLTSÉGVETÉSÉNEK ÖSSZEVONT MÉRLEGE&amp;10
&amp;R&amp;"Times New Roman CE,Félkövér dőlt"&amp;11 1. melléklet a 30/2017.(XI.30.)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1.1.sz.mell. </vt:lpstr>
      <vt:lpstr>'1.1.sz.mell.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2017-12-04T10:57:57Z</dcterms:created>
  <dcterms:modified xsi:type="dcterms:W3CDTF">2017-12-04T10:57:58Z</dcterms:modified>
</cp:coreProperties>
</file>